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60" yWindow="915" windowWidth="10500" windowHeight="6270" tabRatio="480" activeTab="4"/>
  </bookViews>
  <sheets>
    <sheet name="Contents" sheetId="1" r:id="rId1"/>
    <sheet name="Income Statement" sheetId="2" r:id="rId2"/>
    <sheet name="Balance Sheet" sheetId="6" r:id="rId3"/>
    <sheet name="Cashflow" sheetId="7" r:id="rId4"/>
    <sheet name="Other Metrics" sheetId="5" r:id="rId5"/>
  </sheets>
  <definedNames>
    <definedName name="_xlnm._FilterDatabase" localSheetId="1" hidden="1">'Income Statement'!$AR$7:$AR$100</definedName>
    <definedName name="_xlnm.Print_Area" localSheetId="2">'Balance Sheet'!$A$1:$AD$58</definedName>
    <definedName name="_xlnm.Print_Area" localSheetId="3">Cashflow!$A$1:$AI$77</definedName>
    <definedName name="_xlnm.Print_Area" localSheetId="0">Contents!$A$1:$B$20</definedName>
    <definedName name="_xlnm.Print_Area" localSheetId="1">'Income Statement'!$A$1:$AN$104</definedName>
    <definedName name="_xlnm.Print_Area" localSheetId="4">'Other Metrics'!$A$1:$AO$70</definedName>
    <definedName name="_xlnm.Print_Titles" localSheetId="1">'Income Statement'!$A:$A,'Income Statement'!$4:$5</definedName>
    <definedName name="_xlnm.Print_Titles" localSheetId="4">'Other Metrics'!$B:$B</definedName>
    <definedName name="Z_168DC811_186D_42DC_8A72_3741D1063270_.wvu.PrintArea" localSheetId="4" hidden="1">'Other Metrics'!$A$1:$O$46</definedName>
    <definedName name="Z_168DC811_186D_42DC_8A72_3741D1063270_.wvu.PrintTitles" localSheetId="1" hidden="1">'Income Statement'!$A:$A,'Income Statement'!$4:$5</definedName>
    <definedName name="Z_168DC811_186D_42DC_8A72_3741D1063270_.wvu.PrintTitles" localSheetId="4" hidden="1">'Other Metrics'!$B:$B</definedName>
    <definedName name="Z_168DC811_186D_42DC_8A72_3741D1063270_.wvu.Rows" localSheetId="4" hidden="1">'Other Metrics'!#REF!</definedName>
  </definedNames>
  <calcPr calcId="144525"/>
  <customWorkbookViews>
    <customWorkbookView name="rahul13232 - Personal View" guid="{168DC811-186D-42DC-8A72-3741D1063270}" mergeInterval="0" personalView="1" maximized="1" xWindow="1" yWindow="1" windowWidth="1276" windowHeight="803" activeSheetId="2"/>
  </customWorkbookViews>
</workbook>
</file>

<file path=xl/calcChain.xml><?xml version="1.0" encoding="utf-8"?>
<calcChain xmlns="http://schemas.openxmlformats.org/spreadsheetml/2006/main">
  <c r="AI30" i="7" l="1"/>
  <c r="AD32" i="6"/>
  <c r="AI31" i="7" l="1"/>
  <c r="AD51" i="6"/>
  <c r="AD13" i="6"/>
  <c r="AN38" i="2" l="1"/>
  <c r="AO6" i="5" l="1"/>
  <c r="AO59" i="5" l="1"/>
  <c r="AO55" i="5"/>
  <c r="AO51" i="5"/>
  <c r="AO53" i="5" s="1"/>
  <c r="AG76" i="7" l="1"/>
  <c r="AF76" i="7"/>
  <c r="AE76" i="7"/>
  <c r="AD76" i="7"/>
  <c r="AH65" i="7"/>
  <c r="AH68" i="7" s="1"/>
  <c r="AG65" i="7"/>
  <c r="AG68" i="7" s="1"/>
  <c r="AF65" i="7"/>
  <c r="AF68" i="7" s="1"/>
  <c r="AE65" i="7"/>
  <c r="AE68" i="7" s="1"/>
  <c r="AD65" i="7"/>
  <c r="AD68" i="7" s="1"/>
  <c r="AI45" i="7"/>
  <c r="AI48" i="7" s="1"/>
  <c r="AH45" i="7"/>
  <c r="AH48" i="7" s="1"/>
  <c r="AG45" i="7"/>
  <c r="AG48" i="7" s="1"/>
  <c r="AF45" i="7"/>
  <c r="AF48" i="7" s="1"/>
  <c r="AE45" i="7"/>
  <c r="AE48" i="7" s="1"/>
  <c r="AD45" i="7"/>
  <c r="AD48" i="7" s="1"/>
  <c r="AG33" i="7"/>
  <c r="AG36" i="7" s="1"/>
  <c r="AF33" i="7"/>
  <c r="AF36" i="7" s="1"/>
  <c r="AE33" i="7"/>
  <c r="AE36" i="7" s="1"/>
  <c r="AD33" i="7"/>
  <c r="AD36" i="7" s="1"/>
  <c r="AO61" i="5" l="1"/>
  <c r="AO57" i="5"/>
  <c r="AO48" i="5"/>
  <c r="AO32" i="5"/>
  <c r="AO30" i="5"/>
  <c r="AO28" i="5"/>
  <c r="AO25" i="5"/>
  <c r="AO22" i="5"/>
  <c r="AO10" i="5"/>
  <c r="AI65" i="7"/>
  <c r="AI68" i="7" s="1"/>
  <c r="AD54" i="6"/>
  <c r="AD35" i="6"/>
  <c r="AD43" i="6" s="1"/>
  <c r="AD16" i="6"/>
  <c r="AD56" i="6" l="1"/>
  <c r="AD24" i="6"/>
  <c r="AD58" i="6"/>
  <c r="AN88" i="2" l="1"/>
  <c r="AN87" i="2"/>
  <c r="AN79" i="2"/>
  <c r="AN89" i="2" s="1"/>
  <c r="AN78" i="2"/>
  <c r="AN77" i="2"/>
  <c r="AN54" i="2"/>
  <c r="AN50" i="2"/>
  <c r="AC19" i="6" l="1"/>
  <c r="AC20" i="6"/>
  <c r="AL58" i="2" l="1"/>
  <c r="AC54" i="6" l="1"/>
  <c r="AM51" i="5" l="1"/>
  <c r="AO52" i="5" s="1"/>
  <c r="AM24" i="5"/>
  <c r="AM55" i="5" l="1"/>
  <c r="AO56" i="5" s="1"/>
  <c r="AN48" i="5"/>
  <c r="AM48" i="5"/>
  <c r="AL48" i="5"/>
  <c r="AK9" i="2" l="1"/>
  <c r="AM13" i="2"/>
  <c r="AL50" i="2"/>
  <c r="AL12" i="2"/>
  <c r="AL9" i="2" l="1"/>
  <c r="AM59" i="5" l="1"/>
  <c r="AO60" i="5" s="1"/>
  <c r="AM57" i="5"/>
  <c r="AM53" i="5"/>
  <c r="AN8" i="5" l="1"/>
  <c r="AN6" i="5"/>
  <c r="AM61" i="5"/>
  <c r="AM10" i="5"/>
  <c r="AC35" i="6"/>
  <c r="AL78" i="2"/>
  <c r="AO97" i="2"/>
  <c r="AO94" i="2"/>
  <c r="AO93" i="2"/>
  <c r="AO91" i="2"/>
  <c r="AO85" i="2"/>
  <c r="AO80" i="2"/>
  <c r="AO74" i="2"/>
  <c r="AO69" i="2"/>
  <c r="AM88" i="2"/>
  <c r="AM87" i="2"/>
  <c r="AL87" i="2"/>
  <c r="AM76" i="2"/>
  <c r="AM68" i="2"/>
  <c r="AM79" i="2" s="1"/>
  <c r="AM78" i="2"/>
  <c r="AM77" i="2"/>
  <c r="AL68" i="2"/>
  <c r="AL79" i="2" s="1"/>
  <c r="AL89" i="2" s="1"/>
  <c r="AO67" i="2"/>
  <c r="AO64" i="2"/>
  <c r="AO62" i="2"/>
  <c r="AN10" i="5" l="1"/>
  <c r="AM89" i="2"/>
  <c r="AC56" i="6"/>
  <c r="AC43" i="6"/>
  <c r="AC16" i="6"/>
  <c r="AC24" i="6" s="1"/>
  <c r="AC58" i="6" l="1"/>
  <c r="AM61" i="2"/>
  <c r="AL61" i="2"/>
  <c r="AL63" i="2" s="1"/>
  <c r="AO56" i="2"/>
  <c r="AO52" i="2"/>
  <c r="AL54" i="2"/>
  <c r="AL55" i="2" s="1"/>
  <c r="AK54" i="2"/>
  <c r="AL51" i="2"/>
  <c r="AO42" i="2"/>
  <c r="AO41" i="2"/>
  <c r="AO39" i="2"/>
  <c r="AO37" i="2"/>
  <c r="AL38" i="2"/>
  <c r="AO38" i="2" s="1"/>
  <c r="AL33" i="2"/>
  <c r="AO33" i="2" s="1"/>
  <c r="AL32" i="2"/>
  <c r="AL17" i="2"/>
  <c r="AL20" i="2"/>
  <c r="AL21" i="2" s="1"/>
  <c r="AL23" i="2"/>
  <c r="AO35" i="2"/>
  <c r="AO34" i="2"/>
  <c r="AO25" i="2"/>
  <c r="AO22" i="2"/>
  <c r="AO20" i="2"/>
  <c r="AO19" i="2"/>
  <c r="AM26" i="2"/>
  <c r="AK26" i="2"/>
  <c r="AM24" i="2"/>
  <c r="AM21" i="2"/>
  <c r="AK21" i="2"/>
  <c r="AM18" i="2"/>
  <c r="AL14" i="2"/>
  <c r="AL26" i="2" l="1"/>
  <c r="AL28" i="2" s="1"/>
  <c r="AL36" i="2" s="1"/>
  <c r="AL40" i="2" s="1"/>
  <c r="AL43" i="2" s="1"/>
  <c r="AL18" i="2"/>
  <c r="AO17" i="2"/>
  <c r="AL65" i="2"/>
  <c r="AL24" i="2"/>
  <c r="AO23" i="2"/>
  <c r="AM63" i="2"/>
  <c r="AO32" i="2"/>
  <c r="AM10" i="2"/>
  <c r="AL10" i="2"/>
  <c r="AO8" i="2"/>
  <c r="AO92" i="2"/>
  <c r="AL44" i="2" l="1"/>
  <c r="AL30" i="2"/>
  <c r="AL46" i="2"/>
  <c r="AL86" i="2"/>
  <c r="AL75" i="2"/>
  <c r="AD48" i="5" l="1"/>
  <c r="AC48" i="5"/>
  <c r="AB48" i="5"/>
  <c r="AA48" i="5"/>
  <c r="Z48" i="5"/>
  <c r="Y48" i="5"/>
  <c r="X48" i="5"/>
  <c r="W48" i="5"/>
  <c r="V48" i="5"/>
  <c r="U48" i="5"/>
  <c r="AL8" i="5" l="1"/>
  <c r="AE48" i="5"/>
  <c r="AK48" i="5"/>
  <c r="AJ48" i="5"/>
  <c r="AI48" i="5"/>
  <c r="AH48" i="5"/>
  <c r="AG48" i="5"/>
  <c r="AF48" i="5"/>
  <c r="AL59" i="5" l="1"/>
  <c r="AL55" i="5"/>
  <c r="AL51" i="5"/>
  <c r="AM52" i="5" s="1"/>
  <c r="AL28" i="5"/>
  <c r="AL25" i="5"/>
  <c r="AL22" i="5"/>
  <c r="AK87" i="2"/>
  <c r="AK68" i="2"/>
  <c r="AK61" i="2"/>
  <c r="AK50" i="2"/>
  <c r="AK24" i="2"/>
  <c r="AK18" i="2"/>
  <c r="AK10" i="2"/>
  <c r="AL57" i="5" l="1"/>
  <c r="AM56" i="5"/>
  <c r="AK63" i="2"/>
  <c r="AL60" i="5"/>
  <c r="AN59" i="5"/>
  <c r="AM60" i="5"/>
  <c r="AL53" i="5"/>
  <c r="AL61" i="5"/>
  <c r="AK88" i="2"/>
  <c r="AK78" i="2"/>
  <c r="AK77" i="2"/>
  <c r="AK79" i="2"/>
  <c r="AL32" i="5"/>
  <c r="AL30" i="5"/>
  <c r="AL10" i="5"/>
  <c r="AK89" i="2" l="1"/>
  <c r="AK60" i="5" l="1"/>
  <c r="AK55" i="5"/>
  <c r="AN55" i="5" s="1"/>
  <c r="AK51" i="5"/>
  <c r="AN51" i="5" s="1"/>
  <c r="AK52" i="5" l="1"/>
  <c r="AL52" i="5"/>
  <c r="AK56" i="5"/>
  <c r="AL56" i="5"/>
  <c r="AK32" i="5"/>
  <c r="AK30" i="5"/>
  <c r="AK28" i="5"/>
  <c r="AK25" i="5"/>
  <c r="AK22" i="5"/>
  <c r="AK10" i="5"/>
  <c r="AA54" i="6"/>
  <c r="AA56" i="6" s="1"/>
  <c r="AA35" i="6"/>
  <c r="AA43" i="6" s="1"/>
  <c r="AA16" i="6"/>
  <c r="AA24" i="6" s="1"/>
  <c r="AJ9" i="2"/>
  <c r="AJ10" i="2"/>
  <c r="AI9" i="2"/>
  <c r="AI10" i="2"/>
  <c r="AJ88" i="2"/>
  <c r="AJ78" i="2"/>
  <c r="AJ87" i="2"/>
  <c r="AJ77" i="2"/>
  <c r="AJ68" i="2"/>
  <c r="AJ79" i="2" l="1"/>
  <c r="AO68" i="2"/>
  <c r="AA58" i="6"/>
  <c r="AJ89" i="2" l="1"/>
  <c r="AJ50" i="2"/>
  <c r="AJ54" i="2"/>
  <c r="AJ76" i="2"/>
  <c r="AJ26" i="2"/>
  <c r="AJ21" i="2" l="1"/>
  <c r="AJ61" i="2"/>
  <c r="AJ18" i="2"/>
  <c r="AJ24" i="2"/>
  <c r="AJ13" i="2"/>
  <c r="AJ63" i="2" l="1"/>
  <c r="AO61" i="2"/>
  <c r="AJ28" i="2"/>
  <c r="AJ14" i="2"/>
  <c r="AJ70" i="2" l="1"/>
  <c r="AJ65" i="2"/>
  <c r="AJ75" i="2" s="1"/>
  <c r="AJ81" i="2" s="1"/>
  <c r="AJ84" i="2" s="1"/>
  <c r="AJ30" i="2"/>
  <c r="AJ36" i="2"/>
  <c r="AJ73" i="2" l="1"/>
  <c r="AJ82" i="2"/>
  <c r="AJ71" i="2"/>
  <c r="AJ40" i="2" l="1"/>
  <c r="AJ53" i="2" l="1"/>
  <c r="AJ55" i="2" s="1"/>
  <c r="AJ43" i="2"/>
  <c r="AJ49" i="2"/>
  <c r="AJ51" i="2" s="1"/>
  <c r="AJ86" i="2" l="1"/>
  <c r="AJ44" i="2"/>
  <c r="AJ46" i="2"/>
  <c r="AJ95" i="2" l="1"/>
  <c r="AJ98" i="2" s="1"/>
  <c r="AJ100" i="2" s="1"/>
  <c r="AJ96" i="2" l="1"/>
  <c r="AI63" i="2"/>
  <c r="AO63" i="2" s="1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J10" i="5" l="1"/>
  <c r="AJ28" i="5"/>
  <c r="AJ22" i="5"/>
  <c r="Z54" i="6"/>
  <c r="Z56" i="6" s="1"/>
  <c r="Z35" i="6"/>
  <c r="Z43" i="6" s="1"/>
  <c r="AI87" i="2"/>
  <c r="AO87" i="2" s="1"/>
  <c r="AI88" i="2"/>
  <c r="AI50" i="2"/>
  <c r="AM50" i="2" s="1"/>
  <c r="AO50" i="2" s="1"/>
  <c r="AI24" i="2"/>
  <c r="AI21" i="2"/>
  <c r="AH92" i="2"/>
  <c r="AG86" i="2"/>
  <c r="AH86" i="2"/>
  <c r="AH75" i="2"/>
  <c r="AG75" i="2"/>
  <c r="AG79" i="2"/>
  <c r="AG89" i="2" s="1"/>
  <c r="AG95" i="2" s="1"/>
  <c r="AG96" i="2" s="1"/>
  <c r="AH68" i="2"/>
  <c r="AH70" i="2" s="1"/>
  <c r="AJ53" i="5"/>
  <c r="AJ52" i="5"/>
  <c r="AJ56" i="5"/>
  <c r="AJ60" i="5"/>
  <c r="Y54" i="6"/>
  <c r="AI79" i="2"/>
  <c r="AJ25" i="5"/>
  <c r="AI77" i="2"/>
  <c r="AI54" i="2"/>
  <c r="AM54" i="2" s="1"/>
  <c r="AO54" i="2" s="1"/>
  <c r="AI13" i="2"/>
  <c r="AI14" i="2" s="1"/>
  <c r="AH53" i="5"/>
  <c r="AH61" i="5"/>
  <c r="AH60" i="5"/>
  <c r="AH56" i="5"/>
  <c r="AH52" i="5"/>
  <c r="AE52" i="5"/>
  <c r="AB33" i="7"/>
  <c r="AB36" i="7" s="1"/>
  <c r="Z68" i="7"/>
  <c r="AA68" i="7"/>
  <c r="Z33" i="7"/>
  <c r="Z36" i="7" s="1"/>
  <c r="AA26" i="7"/>
  <c r="AA33" i="7" s="1"/>
  <c r="AA36" i="7" s="1"/>
  <c r="AB73" i="7"/>
  <c r="AC73" i="7"/>
  <c r="AB65" i="7"/>
  <c r="AB68" i="7" s="1"/>
  <c r="AC65" i="7"/>
  <c r="AC68" i="7" s="1"/>
  <c r="AB45" i="7"/>
  <c r="AB48" i="7" s="1"/>
  <c r="AC45" i="7"/>
  <c r="AC48" i="7" s="1"/>
  <c r="AC33" i="7"/>
  <c r="AC36" i="7" s="1"/>
  <c r="Y56" i="6"/>
  <c r="Y35" i="6"/>
  <c r="Y43" i="6"/>
  <c r="Y16" i="6"/>
  <c r="Y24" i="6" s="1"/>
  <c r="AH10" i="5"/>
  <c r="AI8" i="5"/>
  <c r="AG10" i="5"/>
  <c r="AH29" i="5"/>
  <c r="AH24" i="5"/>
  <c r="AI6" i="5"/>
  <c r="AI10" i="5" s="1"/>
  <c r="AH27" i="5"/>
  <c r="AH28" i="5" s="1"/>
  <c r="AI30" i="5"/>
  <c r="AI32" i="5"/>
  <c r="AI25" i="5"/>
  <c r="AG22" i="5"/>
  <c r="AI22" i="5"/>
  <c r="AH57" i="5"/>
  <c r="AI28" i="5"/>
  <c r="AH21" i="5"/>
  <c r="AG30" i="5"/>
  <c r="AG25" i="5"/>
  <c r="AG57" i="5"/>
  <c r="AG53" i="5"/>
  <c r="AG61" i="5"/>
  <c r="AG28" i="5"/>
  <c r="AG32" i="5"/>
  <c r="AF10" i="5"/>
  <c r="AF30" i="5"/>
  <c r="AF25" i="5"/>
  <c r="AF59" i="5"/>
  <c r="AG60" i="5" s="1"/>
  <c r="AF55" i="5"/>
  <c r="AF57" i="5" s="1"/>
  <c r="AF51" i="5"/>
  <c r="AI51" i="5" s="1"/>
  <c r="AN53" i="5" s="1"/>
  <c r="AF32" i="5"/>
  <c r="AF28" i="5"/>
  <c r="AF22" i="5"/>
  <c r="AE10" i="5"/>
  <c r="AE30" i="5"/>
  <c r="AE25" i="5"/>
  <c r="AE59" i="5"/>
  <c r="AJ61" i="5" s="1"/>
  <c r="AE55" i="5"/>
  <c r="AE57" i="5" s="1"/>
  <c r="AE53" i="5"/>
  <c r="AE32" i="5"/>
  <c r="AE28" i="5"/>
  <c r="AE22" i="5"/>
  <c r="AD28" i="5"/>
  <c r="AD25" i="5"/>
  <c r="AD55" i="5"/>
  <c r="AD59" i="5"/>
  <c r="AD51" i="5"/>
  <c r="AD32" i="5"/>
  <c r="AD8" i="5"/>
  <c r="AD10" i="5" s="1"/>
  <c r="AC10" i="5"/>
  <c r="AC53" i="5"/>
  <c r="AC52" i="5"/>
  <c r="AC57" i="5"/>
  <c r="AC56" i="5"/>
  <c r="AC61" i="5"/>
  <c r="AC60" i="5"/>
  <c r="AB8" i="5"/>
  <c r="AB10" i="5" s="1"/>
  <c r="AB61" i="5"/>
  <c r="AB60" i="5"/>
  <c r="AB57" i="5"/>
  <c r="AB56" i="5"/>
  <c r="AA52" i="5"/>
  <c r="Z52" i="5"/>
  <c r="X52" i="5"/>
  <c r="AB53" i="5"/>
  <c r="AB52" i="5"/>
  <c r="AB22" i="5"/>
  <c r="AB28" i="5"/>
  <c r="AC29" i="5"/>
  <c r="AC30" i="5" s="1"/>
  <c r="AB25" i="5"/>
  <c r="AA28" i="5"/>
  <c r="Z28" i="5"/>
  <c r="Y28" i="5"/>
  <c r="W28" i="5"/>
  <c r="V28" i="5"/>
  <c r="U28" i="5"/>
  <c r="T28" i="5"/>
  <c r="R28" i="5"/>
  <c r="P28" i="5"/>
  <c r="M28" i="5"/>
  <c r="K28" i="5"/>
  <c r="AA22" i="5"/>
  <c r="Z22" i="5"/>
  <c r="Y22" i="5"/>
  <c r="W22" i="5"/>
  <c r="V22" i="5"/>
  <c r="U22" i="5"/>
  <c r="T22" i="5"/>
  <c r="R22" i="5"/>
  <c r="Q22" i="5"/>
  <c r="P22" i="5"/>
  <c r="M22" i="5"/>
  <c r="L22" i="5"/>
  <c r="K22" i="5"/>
  <c r="AA60" i="5"/>
  <c r="AA56" i="5"/>
  <c r="AA30" i="5"/>
  <c r="AA25" i="5"/>
  <c r="AA10" i="5"/>
  <c r="AA32" i="5"/>
  <c r="AA61" i="5"/>
  <c r="AA57" i="5"/>
  <c r="AA53" i="5"/>
  <c r="Z61" i="5"/>
  <c r="X61" i="5"/>
  <c r="W61" i="5"/>
  <c r="V61" i="5"/>
  <c r="U61" i="5"/>
  <c r="S61" i="5"/>
  <c r="R61" i="5"/>
  <c r="Q61" i="5"/>
  <c r="P61" i="5"/>
  <c r="N61" i="5"/>
  <c r="M61" i="5"/>
  <c r="L61" i="5"/>
  <c r="K61" i="5"/>
  <c r="Z60" i="5"/>
  <c r="X60" i="5"/>
  <c r="W60" i="5"/>
  <c r="V60" i="5"/>
  <c r="U60" i="5"/>
  <c r="S60" i="5"/>
  <c r="R60" i="5"/>
  <c r="Q60" i="5"/>
  <c r="P60" i="5"/>
  <c r="N60" i="5"/>
  <c r="M60" i="5"/>
  <c r="L60" i="5"/>
  <c r="K60" i="5"/>
  <c r="I60" i="5"/>
  <c r="H60" i="5"/>
  <c r="G60" i="5"/>
  <c r="Y59" i="5"/>
  <c r="T59" i="5"/>
  <c r="O59" i="5"/>
  <c r="J59" i="5"/>
  <c r="Z57" i="5"/>
  <c r="X57" i="5"/>
  <c r="W57" i="5"/>
  <c r="V57" i="5"/>
  <c r="U57" i="5"/>
  <c r="S57" i="5"/>
  <c r="R57" i="5"/>
  <c r="Q57" i="5"/>
  <c r="P57" i="5"/>
  <c r="N57" i="5"/>
  <c r="M57" i="5"/>
  <c r="L57" i="5"/>
  <c r="K57" i="5"/>
  <c r="Z56" i="5"/>
  <c r="X56" i="5"/>
  <c r="W56" i="5"/>
  <c r="V56" i="5"/>
  <c r="U56" i="5"/>
  <c r="S56" i="5"/>
  <c r="R56" i="5"/>
  <c r="Q56" i="5"/>
  <c r="P56" i="5"/>
  <c r="N56" i="5"/>
  <c r="M56" i="5"/>
  <c r="L56" i="5"/>
  <c r="K56" i="5"/>
  <c r="I56" i="5"/>
  <c r="H56" i="5"/>
  <c r="G56" i="5"/>
  <c r="T57" i="5"/>
  <c r="Z53" i="5"/>
  <c r="X53" i="5"/>
  <c r="W53" i="5"/>
  <c r="V53" i="5"/>
  <c r="U53" i="5"/>
  <c r="S53" i="5"/>
  <c r="R53" i="5"/>
  <c r="Q53" i="5"/>
  <c r="P53" i="5"/>
  <c r="N53" i="5"/>
  <c r="M53" i="5"/>
  <c r="L53" i="5"/>
  <c r="K53" i="5"/>
  <c r="W52" i="5"/>
  <c r="V52" i="5"/>
  <c r="U52" i="5"/>
  <c r="S52" i="5"/>
  <c r="R52" i="5"/>
  <c r="Q52" i="5"/>
  <c r="P52" i="5"/>
  <c r="N52" i="5"/>
  <c r="M52" i="5"/>
  <c r="L52" i="5"/>
  <c r="K52" i="5"/>
  <c r="I52" i="5"/>
  <c r="H52" i="5"/>
  <c r="G52" i="5"/>
  <c r="Y51" i="5"/>
  <c r="T51" i="5"/>
  <c r="O51" i="5"/>
  <c r="J51" i="5"/>
  <c r="V45" i="5"/>
  <c r="U45" i="5"/>
  <c r="T45" i="5"/>
  <c r="S45" i="5"/>
  <c r="Q45" i="5"/>
  <c r="P45" i="5"/>
  <c r="M45" i="5"/>
  <c r="L45" i="5"/>
  <c r="K45" i="5"/>
  <c r="J45" i="5"/>
  <c r="E45" i="5"/>
  <c r="Z30" i="5"/>
  <c r="Z25" i="5"/>
  <c r="Z10" i="5"/>
  <c r="Z32" i="5"/>
  <c r="Y30" i="5"/>
  <c r="X29" i="5"/>
  <c r="Y25" i="5"/>
  <c r="X24" i="5"/>
  <c r="X27" i="5"/>
  <c r="AC28" i="5" s="1"/>
  <c r="X21" i="5"/>
  <c r="Y32" i="5"/>
  <c r="Y10" i="5"/>
  <c r="X10" i="5"/>
  <c r="W32" i="5"/>
  <c r="W30" i="5"/>
  <c r="W25" i="5"/>
  <c r="W10" i="5"/>
  <c r="V10" i="5"/>
  <c r="V30" i="5"/>
  <c r="V32" i="5"/>
  <c r="V25" i="5"/>
  <c r="U32" i="5"/>
  <c r="U30" i="5"/>
  <c r="U25" i="5"/>
  <c r="U10" i="5"/>
  <c r="S21" i="5"/>
  <c r="T25" i="5"/>
  <c r="T6" i="5"/>
  <c r="T10" i="5" s="1"/>
  <c r="S10" i="5"/>
  <c r="R10" i="5"/>
  <c r="R29" i="5"/>
  <c r="R30" i="5" s="1"/>
  <c r="R24" i="5"/>
  <c r="R25" i="5" s="1"/>
  <c r="R32" i="5"/>
  <c r="Q10" i="5"/>
  <c r="Q32" i="5"/>
  <c r="Q25" i="5"/>
  <c r="Q30" i="5"/>
  <c r="P32" i="5"/>
  <c r="P30" i="5"/>
  <c r="P25" i="5"/>
  <c r="L10" i="5"/>
  <c r="O6" i="5"/>
  <c r="O8" i="5"/>
  <c r="N10" i="5"/>
  <c r="O10" i="5" s="1"/>
  <c r="O32" i="5"/>
  <c r="O30" i="5"/>
  <c r="O25" i="5"/>
  <c r="J6" i="5"/>
  <c r="J10" i="5" s="1"/>
  <c r="M10" i="5"/>
  <c r="C10" i="5"/>
  <c r="D10" i="5"/>
  <c r="F10" i="5"/>
  <c r="G10" i="5"/>
  <c r="H10" i="5"/>
  <c r="I10" i="5"/>
  <c r="K10" i="5"/>
  <c r="J21" i="5"/>
  <c r="J24" i="5"/>
  <c r="J25" i="5" s="1"/>
  <c r="N24" i="5"/>
  <c r="D25" i="5"/>
  <c r="F25" i="5"/>
  <c r="G25" i="5"/>
  <c r="H25" i="5"/>
  <c r="I25" i="5"/>
  <c r="K25" i="5"/>
  <c r="L25" i="5"/>
  <c r="J27" i="5"/>
  <c r="O28" i="5" s="1"/>
  <c r="L27" i="5"/>
  <c r="L28" i="5" s="1"/>
  <c r="J29" i="5"/>
  <c r="N29" i="5"/>
  <c r="D30" i="5"/>
  <c r="F30" i="5"/>
  <c r="G30" i="5"/>
  <c r="H30" i="5"/>
  <c r="I30" i="5"/>
  <c r="K30" i="5"/>
  <c r="D32" i="5"/>
  <c r="F32" i="5"/>
  <c r="G32" i="5"/>
  <c r="H32" i="5"/>
  <c r="I32" i="5"/>
  <c r="K32" i="5"/>
  <c r="M30" i="5"/>
  <c r="M25" i="5"/>
  <c r="N21" i="5"/>
  <c r="M32" i="5"/>
  <c r="P10" i="5"/>
  <c r="T30" i="5"/>
  <c r="T32" i="5"/>
  <c r="S27" i="5"/>
  <c r="S32" i="5" s="1"/>
  <c r="O57" i="5"/>
  <c r="Y57" i="5"/>
  <c r="AB30" i="5"/>
  <c r="AB32" i="5"/>
  <c r="AC21" i="5"/>
  <c r="AD22" i="5"/>
  <c r="AD30" i="5"/>
  <c r="AC24" i="5"/>
  <c r="AG70" i="2"/>
  <c r="AJ30" i="5"/>
  <c r="AI78" i="2"/>
  <c r="AO78" i="2" s="1"/>
  <c r="AI26" i="2"/>
  <c r="AO26" i="2" s="1"/>
  <c r="Z16" i="6"/>
  <c r="Z24" i="6" s="1"/>
  <c r="N22" i="5"/>
  <c r="AI18" i="2"/>
  <c r="AJ32" i="5"/>
  <c r="AI76" i="2"/>
  <c r="AE60" i="5"/>
  <c r="AD61" i="5" l="1"/>
  <c r="S24" i="5"/>
  <c r="S25" i="5" s="1"/>
  <c r="AI89" i="2"/>
  <c r="AO89" i="2" s="1"/>
  <c r="AO79" i="2"/>
  <c r="AE56" i="5"/>
  <c r="S22" i="5"/>
  <c r="AE61" i="5"/>
  <c r="AJ57" i="5"/>
  <c r="AI59" i="5"/>
  <c r="Y53" i="5"/>
  <c r="AC22" i="5"/>
  <c r="O61" i="5"/>
  <c r="AF56" i="5"/>
  <c r="S29" i="5"/>
  <c r="S30" i="5" s="1"/>
  <c r="N25" i="5"/>
  <c r="AH30" i="5"/>
  <c r="AI55" i="5"/>
  <c r="AN57" i="5" s="1"/>
  <c r="AH32" i="5"/>
  <c r="T61" i="5"/>
  <c r="AI53" i="5"/>
  <c r="AD53" i="5"/>
  <c r="AF60" i="5"/>
  <c r="AH25" i="5"/>
  <c r="AH71" i="2"/>
  <c r="AH73" i="2"/>
  <c r="AC32" i="5"/>
  <c r="AC25" i="5"/>
  <c r="X32" i="5"/>
  <c r="AH79" i="2"/>
  <c r="AH89" i="2" s="1"/>
  <c r="AH95" i="2" s="1"/>
  <c r="AH96" i="2" s="1"/>
  <c r="AF52" i="5"/>
  <c r="AK53" i="5"/>
  <c r="X30" i="5"/>
  <c r="X28" i="5"/>
  <c r="X25" i="5"/>
  <c r="O53" i="5"/>
  <c r="Y61" i="5"/>
  <c r="AG56" i="5"/>
  <c r="AK57" i="5"/>
  <c r="J30" i="5"/>
  <c r="J32" i="5"/>
  <c r="AF61" i="5"/>
  <c r="AK61" i="5"/>
  <c r="Y58" i="6"/>
  <c r="Z72" i="7"/>
  <c r="AG73" i="2"/>
  <c r="AG71" i="2"/>
  <c r="AI28" i="2"/>
  <c r="AJ29" i="2" s="1"/>
  <c r="AG81" i="2"/>
  <c r="AG82" i="2" s="1"/>
  <c r="AA72" i="7"/>
  <c r="AC72" i="7"/>
  <c r="AC74" i="7" s="1"/>
  <c r="AG98" i="2"/>
  <c r="Z58" i="6"/>
  <c r="AB72" i="7"/>
  <c r="AB74" i="7" s="1"/>
  <c r="AB76" i="7" s="1"/>
  <c r="AF53" i="5"/>
  <c r="O22" i="5"/>
  <c r="T53" i="5"/>
  <c r="Q28" i="5"/>
  <c r="X22" i="5"/>
  <c r="AG72" i="2"/>
  <c r="L30" i="5"/>
  <c r="N27" i="5"/>
  <c r="S28" i="5" s="1"/>
  <c r="AH22" i="5"/>
  <c r="AD57" i="5"/>
  <c r="AG52" i="5"/>
  <c r="AI57" i="5" l="1"/>
  <c r="AH73" i="7"/>
  <c r="AI61" i="5"/>
  <c r="AN61" i="5"/>
  <c r="AH81" i="2"/>
  <c r="AH82" i="2" s="1"/>
  <c r="AI29" i="2"/>
  <c r="AI36" i="2"/>
  <c r="AI40" i="2" s="1"/>
  <c r="AI53" i="2" s="1"/>
  <c r="AH98" i="2"/>
  <c r="AH100" i="2" s="1"/>
  <c r="AG84" i="2"/>
  <c r="AG83" i="2"/>
  <c r="AI65" i="2"/>
  <c r="AI75" i="2" s="1"/>
  <c r="AI81" i="2" s="1"/>
  <c r="AI30" i="2"/>
  <c r="AI70" i="2"/>
  <c r="AJ72" i="2" s="1"/>
  <c r="AC76" i="7"/>
  <c r="N30" i="5"/>
  <c r="AH84" i="2"/>
  <c r="AI43" i="2"/>
  <c r="AG100" i="2"/>
  <c r="AG99" i="2"/>
  <c r="N28" i="5"/>
  <c r="N32" i="5"/>
  <c r="AI55" i="2" l="1"/>
  <c r="AI49" i="2"/>
  <c r="AI46" i="2"/>
  <c r="AI45" i="2"/>
  <c r="AJ45" i="2"/>
  <c r="AJ83" i="2"/>
  <c r="AI82" i="2"/>
  <c r="AI83" i="2"/>
  <c r="AI84" i="2"/>
  <c r="AI71" i="2"/>
  <c r="AI72" i="2"/>
  <c r="AI73" i="2"/>
  <c r="AI86" i="2"/>
  <c r="AI95" i="2" s="1"/>
  <c r="AI96" i="2" s="1"/>
  <c r="AI44" i="2"/>
  <c r="AI51" i="2" l="1"/>
  <c r="AI98" i="2"/>
  <c r="AJ99" i="2" l="1"/>
  <c r="AI99" i="2"/>
  <c r="AI100" i="2"/>
  <c r="AK76" i="2" l="1"/>
  <c r="AK13" i="2"/>
  <c r="AK28" i="2" l="1"/>
  <c r="AK14" i="2"/>
  <c r="AK36" i="2" l="1"/>
  <c r="AK40" i="2" s="1"/>
  <c r="AK30" i="2"/>
  <c r="AK29" i="2"/>
  <c r="AL29" i="2"/>
  <c r="AK53" i="2"/>
  <c r="AM53" i="2" s="1"/>
  <c r="AK49" i="2"/>
  <c r="AK70" i="2"/>
  <c r="AK65" i="2"/>
  <c r="AK75" i="2" s="1"/>
  <c r="AK81" i="2" s="1"/>
  <c r="AK72" i="2" l="1"/>
  <c r="AK71" i="2"/>
  <c r="AK51" i="2"/>
  <c r="AM49" i="2"/>
  <c r="AM55" i="2"/>
  <c r="AO53" i="2"/>
  <c r="AK73" i="2"/>
  <c r="AK84" i="2"/>
  <c r="AK83" i="2"/>
  <c r="AK82" i="2"/>
  <c r="AK43" i="2"/>
  <c r="AK55" i="2"/>
  <c r="AM51" i="2" l="1"/>
  <c r="AO51" i="2" s="1"/>
  <c r="AO49" i="2"/>
  <c r="AK45" i="2"/>
  <c r="AL45" i="2"/>
  <c r="AO55" i="2"/>
  <c r="AK46" i="2"/>
  <c r="AK44" i="2"/>
  <c r="AK86" i="2"/>
  <c r="AK95" i="2" s="1"/>
  <c r="AK96" i="2" l="1"/>
  <c r="AK98" i="2"/>
  <c r="AK99" i="2" l="1"/>
  <c r="AK100" i="2"/>
  <c r="AB35" i="6" l="1"/>
  <c r="AB43" i="6" s="1"/>
  <c r="AB16" i="6" l="1"/>
  <c r="AB24" i="6" s="1"/>
  <c r="AB54" i="6" l="1"/>
  <c r="AB56" i="6" s="1"/>
  <c r="AB58" i="6" s="1"/>
  <c r="AO90" i="2" l="1"/>
  <c r="AO12" i="2" l="1"/>
  <c r="AM14" i="2"/>
  <c r="AM28" i="2" l="1"/>
  <c r="AO28" i="2" l="1"/>
  <c r="AM65" i="2"/>
  <c r="AM36" i="2"/>
  <c r="AM70" i="2"/>
  <c r="AM30" i="2"/>
  <c r="AM29" i="2"/>
  <c r="AO36" i="2" l="1"/>
  <c r="AM40" i="2"/>
  <c r="AM73" i="2"/>
  <c r="AM71" i="2"/>
  <c r="AO65" i="2"/>
  <c r="AM75" i="2"/>
  <c r="AO75" i="2" l="1"/>
  <c r="AM81" i="2"/>
  <c r="AO40" i="2"/>
  <c r="AM43" i="2"/>
  <c r="AH8" i="7" s="1"/>
  <c r="AH33" i="7" s="1"/>
  <c r="AH36" i="7" s="1"/>
  <c r="AO43" i="2" l="1"/>
  <c r="AM44" i="2"/>
  <c r="AM86" i="2"/>
  <c r="AM46" i="2"/>
  <c r="AM82" i="2"/>
  <c r="AM84" i="2"/>
  <c r="AO86" i="2" l="1"/>
  <c r="AM95" i="2"/>
  <c r="AM98" i="2" s="1"/>
  <c r="AM96" i="2" l="1"/>
  <c r="AM21" i="5" l="1"/>
  <c r="AN22" i="5"/>
  <c r="AM22" i="5" l="1"/>
  <c r="AN28" i="5" l="1"/>
  <c r="AM27" i="5"/>
  <c r="AN32" i="5"/>
  <c r="AM28" i="5" l="1"/>
  <c r="AM32" i="5"/>
  <c r="AL77" i="2" l="1"/>
  <c r="AO77" i="2" s="1"/>
  <c r="AL88" i="2"/>
  <c r="AO66" i="2"/>
  <c r="AL76" i="2"/>
  <c r="AL70" i="2"/>
  <c r="AO76" i="2" l="1"/>
  <c r="AL81" i="2"/>
  <c r="AO88" i="2"/>
  <c r="AL95" i="2"/>
  <c r="AL71" i="2"/>
  <c r="AO71" i="2" s="1"/>
  <c r="AL72" i="2"/>
  <c r="AL73" i="2"/>
  <c r="AO73" i="2" s="1"/>
  <c r="AO70" i="2"/>
  <c r="AL96" i="2" l="1"/>
  <c r="AO96" i="2" s="1"/>
  <c r="AL98" i="2"/>
  <c r="AM100" i="2" s="1"/>
  <c r="AO95" i="2"/>
  <c r="AL84" i="2"/>
  <c r="AO84" i="2" s="1"/>
  <c r="AL82" i="2"/>
  <c r="AL83" i="2"/>
  <c r="AO81" i="2"/>
  <c r="AL100" i="2" l="1"/>
  <c r="AO100" i="2" s="1"/>
  <c r="AL99" i="2"/>
  <c r="AO98" i="2"/>
  <c r="AN30" i="5" l="1"/>
  <c r="AM29" i="5"/>
  <c r="AM30" i="5" s="1"/>
  <c r="AN25" i="5"/>
  <c r="AM25" i="5"/>
  <c r="AH72" i="7" l="1"/>
  <c r="AH74" i="7" s="1"/>
  <c r="AI73" i="7" l="1"/>
  <c r="AH76" i="7"/>
  <c r="AN9" i="2"/>
  <c r="AN61" i="2"/>
  <c r="AN63" i="2" s="1"/>
  <c r="AN21" i="2"/>
  <c r="AN10" i="2"/>
  <c r="AN13" i="2"/>
  <c r="AN26" i="2"/>
  <c r="AN18" i="2"/>
  <c r="AN76" i="2"/>
  <c r="AN24" i="2"/>
  <c r="AN28" i="2" l="1"/>
  <c r="AN70" i="2" s="1"/>
  <c r="AN14" i="2"/>
  <c r="AN29" i="2" l="1"/>
  <c r="AN65" i="2"/>
  <c r="AN75" i="2" s="1"/>
  <c r="AN81" i="2" s="1"/>
  <c r="AN82" i="2" s="1"/>
  <c r="AN36" i="2"/>
  <c r="AN40" i="2" s="1"/>
  <c r="AN30" i="2"/>
  <c r="AN73" i="2" l="1"/>
  <c r="AN71" i="2"/>
  <c r="AN72" i="2"/>
  <c r="AN53" i="2"/>
  <c r="AN49" i="2"/>
  <c r="AN51" i="2" s="1"/>
  <c r="AN43" i="2"/>
  <c r="AI8" i="7" s="1"/>
  <c r="AN83" i="2"/>
  <c r="AN84" i="2"/>
  <c r="AN55" i="2" l="1"/>
  <c r="AI33" i="7"/>
  <c r="AI36" i="7" s="1"/>
  <c r="AI72" i="7" s="1"/>
  <c r="AI74" i="7" s="1"/>
  <c r="AI76" i="7" s="1"/>
  <c r="AN45" i="2"/>
  <c r="AN44" i="2"/>
  <c r="AN86" i="2"/>
  <c r="AN95" i="2" s="1"/>
  <c r="AN46" i="2"/>
  <c r="AN96" i="2" l="1"/>
  <c r="AN98" i="2"/>
  <c r="AN100" i="2" l="1"/>
  <c r="AN99" i="2"/>
</calcChain>
</file>

<file path=xl/sharedStrings.xml><?xml version="1.0" encoding="utf-8"?>
<sst xmlns="http://schemas.openxmlformats.org/spreadsheetml/2006/main" count="546" uniqueCount="213">
  <si>
    <t>Headcount</t>
  </si>
  <si>
    <t>Revenues</t>
  </si>
  <si>
    <t>Gross profit</t>
  </si>
  <si>
    <t>General and administrative expenses</t>
  </si>
  <si>
    <t>Selling and marketing expenses</t>
  </si>
  <si>
    <t>Depreciation and amortization</t>
  </si>
  <si>
    <t>Total operating expenses</t>
  </si>
  <si>
    <t>Other income/ (expense)</t>
  </si>
  <si>
    <t>Interest on redeemable preferred stock</t>
  </si>
  <si>
    <t>Dividends and accretion on preferred stock</t>
  </si>
  <si>
    <t>Q1</t>
  </si>
  <si>
    <t>Q2</t>
  </si>
  <si>
    <t>Q3</t>
  </si>
  <si>
    <t>Q4</t>
  </si>
  <si>
    <t>FY</t>
  </si>
  <si>
    <t>Income Statement</t>
  </si>
  <si>
    <t>Balance Sheet</t>
  </si>
  <si>
    <t>Foreign Exchange Gain / (Loss)</t>
  </si>
  <si>
    <t>Assets</t>
  </si>
  <si>
    <t>Current assets:</t>
  </si>
  <si>
    <t>Restricted cash</t>
  </si>
  <si>
    <t>Accounts receivable</t>
  </si>
  <si>
    <t/>
  </si>
  <si>
    <t>Goodwill</t>
  </si>
  <si>
    <t>Liabilities and Stockholders Equity</t>
  </si>
  <si>
    <t>Current liabilities:</t>
  </si>
  <si>
    <t>Accounts payable</t>
  </si>
  <si>
    <t>Deferred revenue</t>
  </si>
  <si>
    <t>Accrued employee cost</t>
  </si>
  <si>
    <t>Income taxes payable</t>
  </si>
  <si>
    <t>Total current liabilities</t>
  </si>
  <si>
    <t>Additional paid-in capital</t>
  </si>
  <si>
    <t>Other assets</t>
  </si>
  <si>
    <t>Non-current assets of discontinued operations</t>
  </si>
  <si>
    <t>Other non-current liabilities</t>
  </si>
  <si>
    <t>Non-current liabilities of discontinued</t>
  </si>
  <si>
    <t>Retained earnings</t>
  </si>
  <si>
    <t>Net income</t>
  </si>
  <si>
    <t>Amortization of deferred financing costs</t>
  </si>
  <si>
    <t>Interest on senior long-term debt</t>
  </si>
  <si>
    <t>Non-employee stock options</t>
  </si>
  <si>
    <t>Foreign exchange (gain)/loss (unrealized)</t>
  </si>
  <si>
    <t>Deferred income taxes</t>
  </si>
  <si>
    <t>Prepaid expenses and other current assets</t>
  </si>
  <si>
    <t>Accrued expenses and other liabilities</t>
  </si>
  <si>
    <t>Purchase of fixed assets</t>
  </si>
  <si>
    <t>Proceeds from sale of discontinued operations</t>
  </si>
  <si>
    <t>Repayment of senior long-term debt</t>
  </si>
  <si>
    <t>Principal payments on capital lease obligations</t>
  </si>
  <si>
    <t>Repayment on redemption of preferred stock</t>
  </si>
  <si>
    <t>Proceeds from exercise of stock options</t>
  </si>
  <si>
    <t>Acquisition of treasury stock</t>
  </si>
  <si>
    <t>Cash and cash equivalents, end of year</t>
  </si>
  <si>
    <t>Cash Flow Statement</t>
  </si>
  <si>
    <t>Client Concentration</t>
  </si>
  <si>
    <t>Top - 3</t>
  </si>
  <si>
    <t>Top - 5</t>
  </si>
  <si>
    <t>Top - 10</t>
  </si>
  <si>
    <t>Top - 1</t>
  </si>
  <si>
    <t>Cashflow Statement</t>
  </si>
  <si>
    <t>Income from discontinued operations, net of taxes</t>
  </si>
  <si>
    <t>Adjustments to reconcile net income to net cash provided by operating activities:</t>
  </si>
  <si>
    <t>Excess tax expense/(benefit) from stock-based compensation</t>
  </si>
  <si>
    <t>Repayment of bank borrowings and other long term debt</t>
  </si>
  <si>
    <t>Proceeds from sale of common stock, net of issuance costs</t>
  </si>
  <si>
    <t>Excess tax benefit/(deficiency) from stock-based compensation</t>
  </si>
  <si>
    <t>Effect of exchange rate changes on cash and cash equivalents</t>
  </si>
  <si>
    <t>GM</t>
  </si>
  <si>
    <t>Other metrics</t>
  </si>
  <si>
    <t>GM%</t>
  </si>
  <si>
    <t>Revenue by Industry</t>
  </si>
  <si>
    <t>Income tax (provision)/benefit</t>
  </si>
  <si>
    <t>Adjusted Operating Margin</t>
  </si>
  <si>
    <t>Operating expenses</t>
  </si>
  <si>
    <t>Accrued expenses and other current liabilities</t>
  </si>
  <si>
    <t>Non-current liabilities</t>
  </si>
  <si>
    <t>Capital lease obligations, less current portion</t>
  </si>
  <si>
    <t>($ in thousands)</t>
  </si>
  <si>
    <t>Gross Margin</t>
  </si>
  <si>
    <t>Operating Margin</t>
  </si>
  <si>
    <t>Change in operating assets and liabilities (net of effect of acquisitions)</t>
  </si>
  <si>
    <t>EBIT</t>
  </si>
  <si>
    <t>Adjusted EBIT</t>
  </si>
  <si>
    <t>($ in thousands, except per share amounts)</t>
  </si>
  <si>
    <t>Total Liabilities</t>
  </si>
  <si>
    <t>Less: Shares Held in Treasury</t>
  </si>
  <si>
    <t>Preferred Stock $0.001 par value; 15,000,000 shares authorized</t>
  </si>
  <si>
    <t>Common Stock</t>
  </si>
  <si>
    <t>Net Cash Flows from Investing</t>
  </si>
  <si>
    <t>Net Cash Flows from Financing</t>
  </si>
  <si>
    <t>Cash and Cash Equivalents from Continuing Operations, end of period</t>
  </si>
  <si>
    <t>Cash Flows from Investing (continuing operations)</t>
  </si>
  <si>
    <t>Cash Flows from Investing (discontinued operations)</t>
  </si>
  <si>
    <t>Cash Flows from Financing (continuing operations)</t>
  </si>
  <si>
    <t>Cash Flows from Financing (discontinued operations)</t>
  </si>
  <si>
    <t>Total Workstations</t>
  </si>
  <si>
    <t>NA</t>
  </si>
  <si>
    <t>Total Revenues</t>
  </si>
  <si>
    <t>Current assets of discontinued operations</t>
  </si>
  <si>
    <t>Current liabilities of discontinued operations</t>
  </si>
  <si>
    <t>Income Tax Payable</t>
  </si>
  <si>
    <t>NM</t>
  </si>
  <si>
    <t>Utilities</t>
  </si>
  <si>
    <t>Banking and Financial Services</t>
  </si>
  <si>
    <t>Other</t>
  </si>
  <si>
    <t>Revenue by Geography</t>
  </si>
  <si>
    <t>United States</t>
  </si>
  <si>
    <t>United Kingdom</t>
  </si>
  <si>
    <t>Reconciliation of GAAP to Non-GAAP Measures</t>
  </si>
  <si>
    <t>Seat Utilization</t>
  </si>
  <si>
    <t>Cost of revenues (exclusive of depreciation and amortization)</t>
  </si>
  <si>
    <t>Interest and other income, net</t>
  </si>
  <si>
    <t>Income from continuing operations</t>
  </si>
  <si>
    <t>Income/(loss) from continuing operations before income taxes</t>
  </si>
  <si>
    <t>Income/(loss) from discontinued operations, net of taxes</t>
  </si>
  <si>
    <t>Net income/(loss) to common stockholders</t>
  </si>
  <si>
    <t>Diluted</t>
  </si>
  <si>
    <t>Continuing operations</t>
  </si>
  <si>
    <t>Discontinued operations</t>
  </si>
  <si>
    <t>Basic</t>
  </si>
  <si>
    <t>Total</t>
  </si>
  <si>
    <t>Weighted-average number of shares used in computing earnings per share</t>
  </si>
  <si>
    <t>Advance income-tax, net</t>
  </si>
  <si>
    <t>Short-term investments</t>
  </si>
  <si>
    <t>Cash and cash equivalents</t>
  </si>
  <si>
    <t>Total current assets</t>
  </si>
  <si>
    <t>Fixed assets</t>
  </si>
  <si>
    <t>Intangible assets</t>
  </si>
  <si>
    <t>Deferred tax assets, net</t>
  </si>
  <si>
    <t>Total assets</t>
  </si>
  <si>
    <t>Stockholders' equity:</t>
  </si>
  <si>
    <t>Total Liabilities and Stockholders' Equity</t>
  </si>
  <si>
    <t>Cash flows from operating activities</t>
  </si>
  <si>
    <t>Share-based compensation expense</t>
  </si>
  <si>
    <t>Other assets and liabilities</t>
  </si>
  <si>
    <t>Net cash provided by operating activities - continuing operations</t>
  </si>
  <si>
    <t>Net cash provided by operating activities - discontinued operations</t>
  </si>
  <si>
    <t>Net cash provided by operating activities</t>
  </si>
  <si>
    <t>Cash flows from investing activities:</t>
  </si>
  <si>
    <t>Business acquisition</t>
  </si>
  <si>
    <t>Cash flows from financing activities:</t>
  </si>
  <si>
    <t>Net increase/(decrease) in cash and cash equivalents</t>
  </si>
  <si>
    <t xml:space="preserve">Cash and cash equivalents, beginning of period </t>
  </si>
  <si>
    <t>Less cash and equivalents of discontinued operations, end of period</t>
  </si>
  <si>
    <t xml:space="preserve">Purchase of short-term investments </t>
  </si>
  <si>
    <t>Proceeds from Redemption of short-term investments</t>
  </si>
  <si>
    <t>Exl Service Holdings, Inc. stockholders' equity</t>
  </si>
  <si>
    <t>Total stockholders' equity</t>
  </si>
  <si>
    <t>Proceeds from issuance of stock to minority shareholders</t>
  </si>
  <si>
    <t>Noncontrolling interest</t>
  </si>
  <si>
    <t>Adjusted EBITDA</t>
  </si>
  <si>
    <t>Adjusted EBITDA Margin</t>
  </si>
  <si>
    <t>Net Income</t>
  </si>
  <si>
    <t>add: Amortization of intangibles</t>
  </si>
  <si>
    <t>add: Stock compensation expense</t>
  </si>
  <si>
    <t>add: Depreciation</t>
  </si>
  <si>
    <t>add: Amortization of Intangibles</t>
  </si>
  <si>
    <t>subtract: Tax impact on stock compensation expense</t>
  </si>
  <si>
    <t>subtract: Tax impact on amortization of intangibles</t>
  </si>
  <si>
    <t>Accumulated other comprehensive Income/(loss)</t>
  </si>
  <si>
    <t>Sequential Growth</t>
  </si>
  <si>
    <t>Year-Over-Year Growth</t>
  </si>
  <si>
    <t>% of revenue</t>
  </si>
  <si>
    <t>Adjusted Net Income</t>
  </si>
  <si>
    <t>Adjusted Net Income Margin</t>
  </si>
  <si>
    <t>Adjusted Diluted earnings per share</t>
  </si>
  <si>
    <t>subtract: One-time client payment</t>
  </si>
  <si>
    <t>add: Tax impact of the one-time client payment</t>
  </si>
  <si>
    <t>Non-controlling Interest</t>
  </si>
  <si>
    <t>Deferred Tax payable</t>
  </si>
  <si>
    <t>Short-term borrowings</t>
  </si>
  <si>
    <t>Receipts from sub-lease arrangement</t>
  </si>
  <si>
    <t>Proceeds from short term borrowings</t>
  </si>
  <si>
    <t>Repayment of short-term borrowings</t>
  </si>
  <si>
    <t>Payment of debt issuance cost</t>
  </si>
  <si>
    <t>Proceeds from issuance of common stock from public offering, net of issuance costs</t>
  </si>
  <si>
    <t>Gain on bargain purchase</t>
  </si>
  <si>
    <t>Attrition (1)</t>
  </si>
  <si>
    <t>(1) Note: In 1Q12 EXLS altered its definition of attrition to  180+ all levels, from 180+ agents. Prior periods have not been restated.</t>
  </si>
  <si>
    <t>Rest of world</t>
  </si>
  <si>
    <t>U.K. pound sterling / U.S. dollar</t>
  </si>
  <si>
    <t>Philippine peso / U.S. dollar</t>
  </si>
  <si>
    <t>Indian rupee / U.S. dollar</t>
  </si>
  <si>
    <t>Exchange Rates (average of month end exchange rates)</t>
  </si>
  <si>
    <t xml:space="preserve">    Q/Q Appreciation / (Depreciation)</t>
  </si>
  <si>
    <t xml:space="preserve">    Y/Y Appreciation / (Depreciation)</t>
  </si>
  <si>
    <t>Earnings/(loss)  per share (a)</t>
  </si>
  <si>
    <t>(a) Per share amounts may not foot due to rounding</t>
  </si>
  <si>
    <t>(b) Adjusted operating income margin % and Adjusted EBITDA margin % calculated for three months ended December 31, 2009 and year ended December 31, 2009 excludes a one-time client payment of $5.1 million.</t>
  </si>
  <si>
    <t>Y/Y revenue growth</t>
  </si>
  <si>
    <r>
      <t xml:space="preserve">Y/Y constant currency revenue growth % </t>
    </r>
    <r>
      <rPr>
        <b/>
        <sz val="10"/>
        <color indexed="8"/>
        <rFont val="Arial"/>
        <family val="2"/>
      </rPr>
      <t>(2)</t>
    </r>
  </si>
  <si>
    <t>These figures are our best approximations of Y/Y constant currency revenue growth in this segment.</t>
  </si>
  <si>
    <t>(2) Represents Y/Y Outsourcing segment revenue growth excluding Y/Y currency impact.</t>
  </si>
  <si>
    <t>Travel, Transportation and Logistics</t>
  </si>
  <si>
    <t>(3) Note: In 1Q13 EXLS reclassified one large client into Travel, Transportation and Logistics from Other. Perior periods have not been restated.</t>
  </si>
  <si>
    <t>Loss on sale of business unit</t>
  </si>
  <si>
    <t>Healthcare</t>
  </si>
  <si>
    <t>Write-off of Doubtful receivables</t>
  </si>
  <si>
    <t>(4) Note: Prior to 1Q11, "Healthcare" revenues are included in "Insurance".</t>
  </si>
  <si>
    <t>Insurance</t>
  </si>
  <si>
    <t>add: reimbursement of transition and disentanglement costs</t>
  </si>
  <si>
    <t>subtract: Tax impact on reimbursement of transition and disentanglement costs</t>
  </si>
  <si>
    <t>add: Reimbursement of transition and disentanglement costs</t>
  </si>
  <si>
    <t>Adjusted Revenues</t>
  </si>
  <si>
    <t>YTD</t>
  </si>
  <si>
    <t>Gain/Loss on sale of fixed assets</t>
  </si>
  <si>
    <t>Analytics Revenue (5)</t>
  </si>
  <si>
    <t>Long term borrowings</t>
  </si>
  <si>
    <t>Proceeds from long-term borrowings</t>
  </si>
  <si>
    <t>(5)  Analytics revenue is included in the Analytics and Business Transformation segment for reporting purposes.</t>
  </si>
  <si>
    <t xml:space="preserve">* In FY 2014 the Company changed the nomenclature of its reporting segments. Operations Management (previously Outsourcing Services) and Analytics and Business Transformation (previously Transformation Services). </t>
  </si>
  <si>
    <t>Operations Management*</t>
  </si>
  <si>
    <t>Analytics and Business Transformation*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</si>
</sst>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"/>
    <numFmt numFmtId="168" formatCode="_(&quot;$&quot;* #,##0.0000_);_(&quot;$&quot;* \(#,##0.0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i/>
      <sz val="10"/>
      <name val="Arial"/>
      <family val="2"/>
    </font>
    <font>
      <b/>
      <sz val="10"/>
      <color indexed="36"/>
      <name val="Arial"/>
      <family val="2"/>
    </font>
    <font>
      <sz val="10"/>
      <color indexed="28"/>
      <name val="Arial"/>
      <family val="2"/>
    </font>
    <font>
      <b/>
      <sz val="10"/>
      <color indexed="28"/>
      <name val="Arial"/>
      <family val="2"/>
    </font>
    <font>
      <sz val="10"/>
      <color indexed="10"/>
      <name val="Arial"/>
      <family val="2"/>
    </font>
    <font>
      <sz val="10"/>
      <color indexed="36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2"/>
      <color indexed="12"/>
      <name val="Calibri"/>
      <family val="2"/>
    </font>
    <font>
      <strike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i/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Border="1"/>
    <xf numFmtId="0" fontId="4" fillId="0" borderId="0" xfId="0" applyFont="1"/>
    <xf numFmtId="16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9" fontId="2" fillId="0" borderId="0" xfId="6" applyFont="1" applyFill="1" applyBorder="1"/>
    <xf numFmtId="9" fontId="4" fillId="0" borderId="0" xfId="6" applyFont="1" applyFill="1" applyBorder="1"/>
    <xf numFmtId="0" fontId="7" fillId="0" borderId="0" xfId="0" applyFont="1"/>
    <xf numFmtId="10" fontId="4" fillId="0" borderId="0" xfId="0" applyNumberFormat="1" applyFont="1"/>
    <xf numFmtId="0" fontId="5" fillId="0" borderId="0" xfId="0" applyFont="1" applyFill="1" applyAlignment="1" applyProtection="1"/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 indent="1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Alignment="1">
      <alignment horizontal="left" wrapTex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left" wrapText="1" indent="1"/>
    </xf>
    <xf numFmtId="0" fontId="8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right"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 applyAlignment="1">
      <alignment horizontal="left"/>
    </xf>
    <xf numFmtId="5" fontId="5" fillId="0" borderId="0" xfId="2" applyNumberFormat="1" applyFont="1"/>
    <xf numFmtId="164" fontId="5" fillId="0" borderId="0" xfId="2" applyNumberFormat="1" applyFont="1"/>
    <xf numFmtId="0" fontId="5" fillId="0" borderId="0" xfId="0" applyFont="1"/>
    <xf numFmtId="164" fontId="2" fillId="0" borderId="0" xfId="2" applyNumberFormat="1" applyFont="1"/>
    <xf numFmtId="5" fontId="2" fillId="0" borderId="0" xfId="2" applyNumberFormat="1" applyFont="1" applyFill="1"/>
    <xf numFmtId="164" fontId="2" fillId="0" borderId="0" xfId="2" applyNumberFormat="1" applyFont="1" applyFill="1"/>
    <xf numFmtId="0" fontId="2" fillId="0" borderId="0" xfId="0" applyFont="1" applyFill="1"/>
    <xf numFmtId="7" fontId="2" fillId="0" borderId="0" xfId="2" applyNumberFormat="1" applyFont="1"/>
    <xf numFmtId="43" fontId="2" fillId="0" borderId="0" xfId="2" applyFont="1"/>
    <xf numFmtId="165" fontId="10" fillId="0" borderId="0" xfId="6" applyNumberFormat="1" applyFont="1"/>
    <xf numFmtId="165" fontId="10" fillId="0" borderId="0" xfId="6" applyNumberFormat="1" applyFont="1" applyAlignment="1">
      <alignment horizontal="right"/>
    </xf>
    <xf numFmtId="0" fontId="11" fillId="0" borderId="0" xfId="0" applyFont="1"/>
    <xf numFmtId="0" fontId="9" fillId="0" borderId="0" xfId="0" applyFont="1" applyFill="1" applyAlignment="1" applyProtection="1">
      <alignment horizontal="left" indent="2"/>
    </xf>
    <xf numFmtId="0" fontId="2" fillId="0" borderId="0" xfId="0" applyFont="1" applyFill="1" applyAlignment="1" applyProtection="1"/>
    <xf numFmtId="0" fontId="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165" fontId="5" fillId="0" borderId="0" xfId="6" applyNumberFormat="1" applyFont="1"/>
    <xf numFmtId="5" fontId="5" fillId="2" borderId="1" xfId="2" applyNumberFormat="1" applyFont="1" applyFill="1" applyBorder="1"/>
    <xf numFmtId="0" fontId="8" fillId="0" borderId="1" xfId="0" applyFont="1" applyFill="1" applyBorder="1" applyAlignment="1" applyProtection="1">
      <alignment wrapText="1"/>
    </xf>
    <xf numFmtId="0" fontId="3" fillId="0" borderId="1" xfId="0" applyFont="1" applyBorder="1"/>
    <xf numFmtId="0" fontId="9" fillId="0" borderId="0" xfId="0" applyFont="1" applyFill="1" applyAlignment="1" applyProtection="1">
      <alignment horizontal="left" indent="3"/>
    </xf>
    <xf numFmtId="0" fontId="2" fillId="0" borderId="0" xfId="0" applyFont="1" applyFill="1" applyAlignment="1" applyProtection="1">
      <alignment horizontal="left" indent="1"/>
    </xf>
    <xf numFmtId="0" fontId="8" fillId="2" borderId="1" xfId="0" applyFont="1" applyFill="1" applyBorder="1" applyAlignment="1" applyProtection="1">
      <alignment wrapText="1"/>
    </xf>
    <xf numFmtId="0" fontId="3" fillId="2" borderId="1" xfId="0" applyFont="1" applyFill="1" applyBorder="1"/>
    <xf numFmtId="0" fontId="3" fillId="2" borderId="0" xfId="0" applyFont="1" applyFill="1"/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wrapText="1" indent="1"/>
    </xf>
    <xf numFmtId="0" fontId="8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3" xfId="0" applyFont="1" applyFill="1" applyBorder="1" applyAlignment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164" fontId="3" fillId="0" borderId="0" xfId="2" applyNumberFormat="1" applyFont="1" applyBorder="1"/>
    <xf numFmtId="0" fontId="15" fillId="0" borderId="0" xfId="0" applyFont="1"/>
    <xf numFmtId="165" fontId="4" fillId="0" borderId="0" xfId="6" applyNumberFormat="1" applyFont="1" applyFill="1" applyBorder="1"/>
    <xf numFmtId="5" fontId="2" fillId="0" borderId="0" xfId="2" applyNumberFormat="1" applyFont="1"/>
    <xf numFmtId="37" fontId="2" fillId="0" borderId="0" xfId="2" applyNumberFormat="1" applyFont="1"/>
    <xf numFmtId="0" fontId="5" fillId="2" borderId="4" xfId="1" applyFont="1" applyFill="1" applyBorder="1" applyAlignment="1"/>
    <xf numFmtId="0" fontId="10" fillId="0" borderId="5" xfId="1" applyFont="1" applyFill="1" applyBorder="1" applyAlignment="1">
      <alignment horizontal="left" indent="2"/>
    </xf>
    <xf numFmtId="0" fontId="2" fillId="0" borderId="5" xfId="1" applyFont="1" applyFill="1" applyBorder="1" applyAlignment="1">
      <alignment horizontal="left" indent="1"/>
    </xf>
    <xf numFmtId="0" fontId="5" fillId="0" borderId="5" xfId="1" applyFont="1" applyFill="1" applyBorder="1" applyAlignment="1"/>
    <xf numFmtId="0" fontId="2" fillId="0" borderId="5" xfId="0" applyFont="1" applyBorder="1" applyAlignment="1">
      <alignment horizontal="left" indent="1"/>
    </xf>
    <xf numFmtId="0" fontId="2" fillId="0" borderId="5" xfId="1" applyFont="1" applyFill="1" applyBorder="1" applyAlignment="1"/>
    <xf numFmtId="5" fontId="5" fillId="2" borderId="4" xfId="2" applyNumberFormat="1" applyFont="1" applyFill="1" applyBorder="1"/>
    <xf numFmtId="0" fontId="2" fillId="0" borderId="5" xfId="5" applyFont="1" applyBorder="1" applyAlignment="1">
      <alignment horizontal="left" indent="1"/>
    </xf>
    <xf numFmtId="5" fontId="2" fillId="0" borderId="0" xfId="0" applyNumberFormat="1" applyFont="1"/>
    <xf numFmtId="7" fontId="2" fillId="0" borderId="0" xfId="2" applyNumberFormat="1" applyFont="1" applyFill="1"/>
    <xf numFmtId="43" fontId="2" fillId="0" borderId="0" xfId="2" applyFont="1" applyFill="1"/>
    <xf numFmtId="0" fontId="5" fillId="0" borderId="0" xfId="0" applyFont="1" applyFill="1" applyAlignment="1" applyProtection="1">
      <alignment horizontal="left" wrapText="1" indent="1"/>
    </xf>
    <xf numFmtId="0" fontId="4" fillId="3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37" fontId="2" fillId="4" borderId="0" xfId="2" applyNumberFormat="1" applyFont="1" applyFill="1"/>
    <xf numFmtId="0" fontId="9" fillId="4" borderId="0" xfId="0" applyFont="1" applyFill="1" applyAlignment="1" applyProtection="1">
      <alignment horizontal="left" wrapText="1" indent="2"/>
    </xf>
    <xf numFmtId="0" fontId="9" fillId="4" borderId="0" xfId="0" applyFont="1" applyFill="1" applyAlignment="1" applyProtection="1">
      <alignment horizontal="left" wrapText="1" indent="1"/>
    </xf>
    <xf numFmtId="0" fontId="2" fillId="4" borderId="0" xfId="0" applyFont="1" applyFill="1" applyAlignment="1" applyProtection="1">
      <alignment horizontal="left" wrapText="1" indent="1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 applyProtection="1">
      <alignment wrapText="1"/>
    </xf>
    <xf numFmtId="0" fontId="8" fillId="4" borderId="0" xfId="0" applyFont="1" applyFill="1" applyAlignment="1" applyProtection="1">
      <alignment horizontal="left" wrapText="1" indent="1"/>
    </xf>
    <xf numFmtId="0" fontId="3" fillId="5" borderId="1" xfId="0" applyFont="1" applyFill="1" applyBorder="1"/>
    <xf numFmtId="164" fontId="3" fillId="5" borderId="1" xfId="2" applyNumberFormat="1" applyFont="1" applyFill="1" applyBorder="1"/>
    <xf numFmtId="0" fontId="4" fillId="5" borderId="1" xfId="0" applyFont="1" applyFill="1" applyBorder="1"/>
    <xf numFmtId="165" fontId="3" fillId="5" borderId="1" xfId="6" applyNumberFormat="1" applyFont="1" applyFill="1" applyBorder="1"/>
    <xf numFmtId="165" fontId="3" fillId="5" borderId="1" xfId="0" applyNumberFormat="1" applyFont="1" applyFill="1" applyBorder="1"/>
    <xf numFmtId="5" fontId="3" fillId="5" borderId="1" xfId="2" applyNumberFormat="1" applyFont="1" applyFill="1" applyBorder="1"/>
    <xf numFmtId="0" fontId="4" fillId="5" borderId="0" xfId="0" applyFont="1" applyFill="1"/>
    <xf numFmtId="164" fontId="2" fillId="0" borderId="6" xfId="2" applyNumberFormat="1" applyFont="1" applyBorder="1"/>
    <xf numFmtId="164" fontId="2" fillId="0" borderId="6" xfId="2" applyNumberFormat="1" applyFont="1" applyFill="1" applyBorder="1"/>
    <xf numFmtId="16" fontId="3" fillId="0" borderId="0" xfId="0" applyNumberFormat="1" applyFont="1" applyAlignment="1">
      <alignment horizontal="center"/>
    </xf>
    <xf numFmtId="39" fontId="2" fillId="0" borderId="0" xfId="2" applyNumberFormat="1" applyFont="1"/>
    <xf numFmtId="165" fontId="10" fillId="0" borderId="6" xfId="6" applyNumberFormat="1" applyFont="1" applyBorder="1" applyAlignment="1">
      <alignment horizontal="right"/>
    </xf>
    <xf numFmtId="165" fontId="10" fillId="0" borderId="6" xfId="6" applyNumberFormat="1" applyFont="1" applyBorder="1"/>
    <xf numFmtId="43" fontId="3" fillId="5" borderId="1" xfId="2" applyFont="1" applyFill="1" applyBorder="1"/>
    <xf numFmtId="9" fontId="4" fillId="0" borderId="0" xfId="6" applyFont="1" applyBorder="1"/>
    <xf numFmtId="37" fontId="4" fillId="4" borderId="0" xfId="2" applyNumberFormat="1" applyFont="1" applyFill="1" applyBorder="1"/>
    <xf numFmtId="165" fontId="4" fillId="0" borderId="0" xfId="6" applyNumberFormat="1" applyFont="1" applyBorder="1"/>
    <xf numFmtId="9" fontId="4" fillId="0" borderId="0" xfId="0" applyNumberFormat="1" applyFont="1" applyBorder="1"/>
    <xf numFmtId="9" fontId="17" fillId="0" borderId="0" xfId="6" applyFont="1" applyBorder="1"/>
    <xf numFmtId="164" fontId="5" fillId="5" borderId="1" xfId="2" applyNumberFormat="1" applyFont="1" applyFill="1" applyBorder="1"/>
    <xf numFmtId="0" fontId="4" fillId="0" borderId="0" xfId="0" applyFont="1" applyBorder="1" applyAlignment="1">
      <alignment horizontal="left" indent="1"/>
    </xf>
    <xf numFmtId="9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15" fillId="0" borderId="0" xfId="0" applyFont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37" fontId="2" fillId="0" borderId="0" xfId="0" applyNumberFormat="1" applyFont="1"/>
    <xf numFmtId="165" fontId="10" fillId="0" borderId="2" xfId="6" applyNumberFormat="1" applyFont="1" applyBorder="1" applyAlignment="1">
      <alignment horizontal="right"/>
    </xf>
    <xf numFmtId="165" fontId="10" fillId="0" borderId="2" xfId="6" applyNumberFormat="1" applyFont="1" applyBorder="1"/>
    <xf numFmtId="0" fontId="16" fillId="0" borderId="0" xfId="0" applyFont="1" applyBorder="1" applyAlignment="1">
      <alignment horizontal="center"/>
    </xf>
    <xf numFmtId="0" fontId="18" fillId="0" borderId="0" xfId="4" applyFont="1" applyBorder="1" applyAlignment="1" applyProtection="1"/>
    <xf numFmtId="0" fontId="2" fillId="0" borderId="5" xfId="1" applyFont="1" applyFill="1" applyBorder="1" applyAlignment="1">
      <alignment horizontal="left" indent="2"/>
    </xf>
    <xf numFmtId="0" fontId="2" fillId="0" borderId="5" xfId="1" applyFont="1" applyFill="1" applyBorder="1" applyAlignment="1">
      <alignment horizontal="left" indent="3"/>
    </xf>
    <xf numFmtId="43" fontId="5" fillId="0" borderId="0" xfId="2" applyFont="1" applyBorder="1"/>
    <xf numFmtId="43" fontId="5" fillId="0" borderId="0" xfId="2" applyFont="1" applyFill="1" applyBorder="1"/>
    <xf numFmtId="0" fontId="2" fillId="0" borderId="7" xfId="1" applyFont="1" applyFill="1" applyBorder="1" applyAlignment="1">
      <alignment horizontal="left" indent="1"/>
    </xf>
    <xf numFmtId="43" fontId="5" fillId="0" borderId="0" xfId="2" applyFont="1"/>
    <xf numFmtId="0" fontId="5" fillId="0" borderId="5" xfId="1" applyFont="1" applyFill="1" applyBorder="1" applyAlignment="1">
      <alignment horizontal="left" indent="2"/>
    </xf>
    <xf numFmtId="9" fontId="2" fillId="0" borderId="0" xfId="6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164" fontId="5" fillId="0" borderId="0" xfId="2" applyNumberFormat="1" applyFont="1" applyBorder="1"/>
    <xf numFmtId="43" fontId="5" fillId="5" borderId="1" xfId="2" applyFont="1" applyFill="1" applyBorder="1"/>
    <xf numFmtId="0" fontId="2" fillId="5" borderId="1" xfId="0" applyFont="1" applyFill="1" applyBorder="1"/>
    <xf numFmtId="9" fontId="2" fillId="0" borderId="0" xfId="6" applyFont="1" applyBorder="1"/>
    <xf numFmtId="165" fontId="5" fillId="5" borderId="1" xfId="0" applyNumberFormat="1" applyFont="1" applyFill="1" applyBorder="1"/>
    <xf numFmtId="0" fontId="2" fillId="0" borderId="0" xfId="0" applyFont="1" applyFill="1" applyBorder="1"/>
    <xf numFmtId="5" fontId="5" fillId="5" borderId="1" xfId="2" applyNumberFormat="1" applyFont="1" applyFill="1" applyBorder="1"/>
    <xf numFmtId="37" fontId="2" fillId="4" borderId="0" xfId="2" applyNumberFormat="1" applyFont="1" applyFill="1" applyBorder="1"/>
    <xf numFmtId="165" fontId="2" fillId="0" borderId="0" xfId="6" applyNumberFormat="1" applyFont="1" applyBorder="1"/>
    <xf numFmtId="0" fontId="19" fillId="0" borderId="0" xfId="0" applyFont="1" applyFill="1" applyAlignment="1" applyProtection="1">
      <alignment horizontal="left" wrapText="1" indent="1"/>
    </xf>
    <xf numFmtId="5" fontId="4" fillId="0" borderId="0" xfId="0" applyNumberFormat="1" applyFont="1"/>
    <xf numFmtId="9" fontId="2" fillId="0" borderId="0" xfId="0" applyNumberFormat="1" applyFont="1" applyFill="1" applyBorder="1"/>
    <xf numFmtId="165" fontId="2" fillId="0" borderId="0" xfId="6" applyNumberFormat="1" applyFont="1"/>
    <xf numFmtId="5" fontId="4" fillId="0" borderId="0" xfId="0" applyNumberFormat="1" applyFont="1" applyBorder="1"/>
    <xf numFmtId="165" fontId="10" fillId="0" borderId="0" xfId="6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5" fillId="2" borderId="1" xfId="2" applyNumberFormat="1" applyFont="1" applyFill="1" applyBorder="1"/>
    <xf numFmtId="164" fontId="21" fillId="0" borderId="0" xfId="2" applyNumberFormat="1" applyFont="1" applyBorder="1" applyAlignment="1">
      <alignment horizontal="right"/>
    </xf>
    <xf numFmtId="37" fontId="21" fillId="0" borderId="0" xfId="2" applyNumberFormat="1" applyFont="1"/>
    <xf numFmtId="165" fontId="10" fillId="0" borderId="0" xfId="6" applyNumberFormat="1" applyFont="1" applyBorder="1"/>
    <xf numFmtId="7" fontId="5" fillId="2" borderId="1" xfId="2" applyNumberFormat="1" applyFont="1" applyFill="1" applyBorder="1"/>
    <xf numFmtId="0" fontId="10" fillId="0" borderId="5" xfId="0" applyFont="1" applyBorder="1" applyAlignment="1">
      <alignment horizontal="left" indent="2"/>
    </xf>
    <xf numFmtId="0" fontId="5" fillId="2" borderId="8" xfId="1" applyFont="1" applyFill="1" applyBorder="1" applyAlignment="1"/>
    <xf numFmtId="0" fontId="10" fillId="0" borderId="7" xfId="1" applyFont="1" applyFill="1" applyBorder="1" applyAlignment="1">
      <alignment horizontal="left" indent="2"/>
    </xf>
    <xf numFmtId="165" fontId="10" fillId="0" borderId="5" xfId="6" applyNumberFormat="1" applyFont="1" applyBorder="1" applyAlignment="1">
      <alignment horizontal="right"/>
    </xf>
    <xf numFmtId="10" fontId="2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10" fillId="0" borderId="0" xfId="1" applyFont="1" applyFill="1" applyBorder="1" applyAlignment="1">
      <alignment horizontal="left" indent="2"/>
    </xf>
    <xf numFmtId="0" fontId="10" fillId="0" borderId="2" xfId="1" applyFont="1" applyFill="1" applyBorder="1" applyAlignment="1">
      <alignment horizontal="left" indent="2"/>
    </xf>
    <xf numFmtId="164" fontId="5" fillId="5" borderId="1" xfId="6" applyNumberFormat="1" applyFont="1" applyFill="1" applyBorder="1"/>
    <xf numFmtId="164" fontId="4" fillId="0" borderId="0" xfId="3" applyNumberFormat="1" applyFont="1"/>
    <xf numFmtId="5" fontId="3" fillId="2" borderId="1" xfId="3" applyNumberFormat="1" applyFont="1" applyFill="1" applyBorder="1"/>
    <xf numFmtId="5" fontId="4" fillId="0" borderId="0" xfId="3" applyNumberFormat="1" applyFont="1"/>
    <xf numFmtId="5" fontId="3" fillId="0" borderId="1" xfId="3" applyNumberFormat="1" applyFont="1" applyBorder="1"/>
    <xf numFmtId="0" fontId="3" fillId="0" borderId="1" xfId="0" applyFont="1" applyFill="1" applyBorder="1" applyAlignment="1" applyProtection="1">
      <alignment wrapText="1"/>
    </xf>
    <xf numFmtId="164" fontId="4" fillId="0" borderId="0" xfId="3" applyNumberFormat="1" applyFont="1" applyBorder="1"/>
    <xf numFmtId="0" fontId="4" fillId="0" borderId="0" xfId="0" applyFont="1" applyFill="1" applyBorder="1" applyAlignment="1" applyProtection="1">
      <alignment wrapText="1"/>
    </xf>
    <xf numFmtId="37" fontId="4" fillId="0" borderId="0" xfId="3" applyNumberFormat="1" applyFont="1"/>
    <xf numFmtId="37" fontId="4" fillId="4" borderId="0" xfId="3" applyNumberFormat="1" applyFont="1" applyFill="1"/>
    <xf numFmtId="164" fontId="4" fillId="4" borderId="0" xfId="3" applyNumberFormat="1" applyFont="1" applyFill="1"/>
    <xf numFmtId="5" fontId="4" fillId="4" borderId="0" xfId="3" applyNumberFormat="1" applyFont="1" applyFill="1"/>
    <xf numFmtId="43" fontId="4" fillId="4" borderId="0" xfId="3" applyFont="1" applyFill="1"/>
    <xf numFmtId="5" fontId="3" fillId="4" borderId="0" xfId="3" applyNumberFormat="1" applyFont="1" applyFill="1"/>
    <xf numFmtId="164" fontId="3" fillId="4" borderId="0" xfId="3" applyNumberFormat="1" applyFont="1" applyFill="1"/>
    <xf numFmtId="5" fontId="4" fillId="0" borderId="0" xfId="3" applyNumberFormat="1" applyFont="1" applyFill="1" applyBorder="1"/>
    <xf numFmtId="164" fontId="4" fillId="0" borderId="0" xfId="3" applyNumberFormat="1" applyFont="1" applyFill="1" applyBorder="1"/>
    <xf numFmtId="164" fontId="3" fillId="2" borderId="1" xfId="3" applyNumberFormat="1" applyFont="1" applyFill="1" applyBorder="1"/>
    <xf numFmtId="164" fontId="14" fillId="4" borderId="0" xfId="3" applyNumberFormat="1" applyFont="1" applyFill="1"/>
    <xf numFmtId="5" fontId="3" fillId="4" borderId="1" xfId="3" applyNumberFormat="1" applyFont="1" applyFill="1" applyBorder="1"/>
    <xf numFmtId="164" fontId="4" fillId="0" borderId="1" xfId="3" applyNumberFormat="1" applyFont="1" applyBorder="1"/>
    <xf numFmtId="5" fontId="3" fillId="0" borderId="0" xfId="3" applyNumberFormat="1" applyFont="1"/>
    <xf numFmtId="5" fontId="2" fillId="0" borderId="0" xfId="3" applyNumberFormat="1" applyFont="1"/>
    <xf numFmtId="5" fontId="5" fillId="2" borderId="1" xfId="3" applyNumberFormat="1" applyFont="1" applyFill="1" applyBorder="1"/>
    <xf numFmtId="5" fontId="5" fillId="0" borderId="0" xfId="3" applyNumberFormat="1" applyFont="1"/>
    <xf numFmtId="37" fontId="5" fillId="0" borderId="3" xfId="3" applyNumberFormat="1" applyFont="1" applyBorder="1"/>
    <xf numFmtId="37" fontId="3" fillId="0" borderId="3" xfId="3" applyNumberFormat="1" applyFont="1" applyBorder="1"/>
    <xf numFmtId="5" fontId="5" fillId="0" borderId="2" xfId="3" applyNumberFormat="1" applyFont="1" applyBorder="1"/>
    <xf numFmtId="5" fontId="3" fillId="0" borderId="2" xfId="3" applyNumberFormat="1" applyFont="1" applyBorder="1"/>
    <xf numFmtId="37" fontId="2" fillId="0" borderId="0" xfId="3" applyNumberFormat="1" applyFont="1"/>
    <xf numFmtId="37" fontId="2" fillId="4" borderId="0" xfId="3" applyNumberFormat="1" applyFont="1" applyFill="1"/>
    <xf numFmtId="0" fontId="10" fillId="0" borderId="0" xfId="0" applyFont="1" applyBorder="1"/>
    <xf numFmtId="166" fontId="2" fillId="0" borderId="0" xfId="2" applyNumberFormat="1" applyFont="1" applyBorder="1" applyAlignment="1">
      <alignment horizontal="right"/>
    </xf>
    <xf numFmtId="5" fontId="4" fillId="4" borderId="0" xfId="3" applyNumberFormat="1" applyFont="1" applyFill="1" applyBorder="1"/>
    <xf numFmtId="37" fontId="4" fillId="4" borderId="0" xfId="3" applyNumberFormat="1" applyFont="1" applyFill="1" applyBorder="1"/>
    <xf numFmtId="5" fontId="4" fillId="0" borderId="0" xfId="3" applyNumberFormat="1" applyFont="1" applyBorder="1"/>
    <xf numFmtId="0" fontId="7" fillId="4" borderId="0" xfId="0" applyFont="1" applyFill="1" applyBorder="1"/>
    <xf numFmtId="37" fontId="4" fillId="0" borderId="0" xfId="3" applyNumberFormat="1" applyFont="1" applyBorder="1"/>
    <xf numFmtId="9" fontId="2" fillId="0" borderId="0" xfId="6" applyFont="1" applyFill="1"/>
    <xf numFmtId="0" fontId="23" fillId="0" borderId="0" xfId="0" applyFont="1"/>
    <xf numFmtId="167" fontId="2" fillId="0" borderId="0" xfId="0" applyNumberFormat="1" applyFont="1"/>
    <xf numFmtId="167" fontId="2" fillId="0" borderId="0" xfId="6" applyNumberFormat="1" applyFont="1"/>
    <xf numFmtId="167" fontId="4" fillId="0" borderId="0" xfId="0" applyNumberFormat="1" applyFont="1"/>
    <xf numFmtId="9" fontId="10" fillId="0" borderId="0" xfId="6" applyFont="1"/>
    <xf numFmtId="165" fontId="4" fillId="0" borderId="0" xfId="6" applyNumberFormat="1" applyFont="1"/>
    <xf numFmtId="0" fontId="24" fillId="0" borderId="0" xfId="0" applyFont="1"/>
    <xf numFmtId="4" fontId="2" fillId="0" borderId="0" xfId="0" applyNumberFormat="1" applyFont="1"/>
    <xf numFmtId="4" fontId="2" fillId="0" borderId="0" xfId="6" applyNumberFormat="1" applyFont="1"/>
    <xf numFmtId="4" fontId="4" fillId="0" borderId="0" xfId="0" applyNumberFormat="1" applyFont="1"/>
    <xf numFmtId="9" fontId="2" fillId="6" borderId="0" xfId="6" applyFont="1" applyFill="1" applyBorder="1"/>
    <xf numFmtId="9" fontId="2" fillId="6" borderId="0" xfId="0" applyNumberFormat="1" applyFont="1" applyFill="1" applyBorder="1"/>
    <xf numFmtId="37" fontId="2" fillId="6" borderId="0" xfId="0" applyNumberFormat="1" applyFont="1" applyFill="1"/>
    <xf numFmtId="9" fontId="5" fillId="0" borderId="0" xfId="6" applyFont="1" applyBorder="1"/>
    <xf numFmtId="9" fontId="2" fillId="5" borderId="1" xfId="0" applyNumberFormat="1" applyFont="1" applyFill="1" applyBorder="1"/>
    <xf numFmtId="164" fontId="2" fillId="0" borderId="0" xfId="2" applyNumberFormat="1" applyFont="1" applyBorder="1"/>
    <xf numFmtId="164" fontId="2" fillId="0" borderId="0" xfId="0" applyNumberFormat="1" applyFont="1" applyFill="1" applyBorder="1"/>
    <xf numFmtId="9" fontId="4" fillId="0" borderId="0" xfId="0" applyNumberFormat="1" applyFont="1"/>
    <xf numFmtId="0" fontId="26" fillId="0" borderId="5" xfId="0" applyFont="1" applyBorder="1" applyAlignment="1">
      <alignment horizontal="left" indent="1"/>
    </xf>
    <xf numFmtId="164" fontId="26" fillId="0" borderId="0" xfId="2" applyNumberFormat="1" applyFont="1" applyBorder="1" applyAlignment="1">
      <alignment horizontal="right"/>
    </xf>
    <xf numFmtId="0" fontId="26" fillId="0" borderId="0" xfId="0" applyFont="1"/>
    <xf numFmtId="7" fontId="5" fillId="0" borderId="0" xfId="2" applyNumberFormat="1" applyFont="1"/>
    <xf numFmtId="165" fontId="2" fillId="6" borderId="0" xfId="6" applyNumberFormat="1" applyFont="1" applyFill="1" applyBorder="1"/>
    <xf numFmtId="5" fontId="5" fillId="0" borderId="0" xfId="2" applyNumberFormat="1" applyFont="1" applyFill="1"/>
    <xf numFmtId="165" fontId="10" fillId="0" borderId="0" xfId="6" applyNumberFormat="1" applyFont="1" applyFill="1"/>
    <xf numFmtId="37" fontId="2" fillId="0" borderId="0" xfId="2" applyNumberFormat="1" applyFont="1" applyFill="1"/>
    <xf numFmtId="37" fontId="2" fillId="0" borderId="0" xfId="0" applyNumberFormat="1" applyFont="1" applyFill="1"/>
    <xf numFmtId="165" fontId="5" fillId="0" borderId="0" xfId="6" applyNumberFormat="1" applyFont="1" applyAlignment="1">
      <alignment horizontal="center"/>
    </xf>
    <xf numFmtId="7" fontId="5" fillId="0" borderId="0" xfId="2" applyNumberFormat="1" applyFont="1" applyBorder="1"/>
    <xf numFmtId="0" fontId="5" fillId="0" borderId="0" xfId="0" applyFont="1" applyAlignment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" fillId="0" borderId="0" xfId="0" applyFont="1" applyBorder="1" applyAlignment="1">
      <alignment horizontal="left" indent="1"/>
    </xf>
    <xf numFmtId="9" fontId="2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Border="1"/>
    <xf numFmtId="0" fontId="5" fillId="0" borderId="0" xfId="0" applyFont="1" applyAlignment="1">
      <alignment horizontal="center"/>
    </xf>
    <xf numFmtId="44" fontId="2" fillId="0" borderId="0" xfId="2" applyNumberFormat="1" applyFont="1"/>
    <xf numFmtId="164" fontId="26" fillId="0" borderId="0" xfId="2" applyNumberFormat="1" applyFont="1"/>
    <xf numFmtId="164" fontId="4" fillId="0" borderId="0" xfId="2" applyNumberFormat="1" applyFont="1"/>
    <xf numFmtId="164" fontId="5" fillId="0" borderId="0" xfId="2" applyNumberFormat="1" applyFont="1" applyAlignment="1">
      <alignment horizontal="center"/>
    </xf>
    <xf numFmtId="164" fontId="2" fillId="0" borderId="0" xfId="3" applyNumberFormat="1" applyFont="1"/>
    <xf numFmtId="164" fontId="2" fillId="0" borderId="0" xfId="0" applyNumberFormat="1" applyFont="1"/>
    <xf numFmtId="166" fontId="2" fillId="0" borderId="0" xfId="2" applyNumberFormat="1" applyFont="1"/>
    <xf numFmtId="5" fontId="5" fillId="0" borderId="0" xfId="0" applyNumberFormat="1" applyFont="1"/>
    <xf numFmtId="168" fontId="2" fillId="0" borderId="0" xfId="0" applyNumberFormat="1" applyFont="1"/>
    <xf numFmtId="9" fontId="2" fillId="0" borderId="0" xfId="6" applyNumberFormat="1" applyFont="1" applyBorder="1"/>
    <xf numFmtId="9" fontId="2" fillId="0" borderId="0" xfId="6" applyNumberFormat="1" applyFont="1" applyFill="1" applyBorder="1"/>
    <xf numFmtId="10" fontId="10" fillId="0" borderId="2" xfId="6" applyNumberFormat="1" applyFont="1" applyBorder="1"/>
    <xf numFmtId="0" fontId="5" fillId="0" borderId="0" xfId="0" applyFont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5" fontId="10" fillId="0" borderId="0" xfId="6" applyNumberFormat="1" applyFont="1" applyFill="1" applyBorder="1"/>
    <xf numFmtId="165" fontId="10" fillId="0" borderId="0" xfId="6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5" fontId="5" fillId="0" borderId="0" xfId="2" applyNumberFormat="1" applyFont="1" applyFill="1" applyBorder="1"/>
    <xf numFmtId="164" fontId="2" fillId="0" borderId="0" xfId="2" applyNumberFormat="1" applyFont="1" applyFill="1" applyBorder="1"/>
    <xf numFmtId="37" fontId="2" fillId="0" borderId="0" xfId="2" applyNumberFormat="1" applyFont="1" applyFill="1" applyBorder="1"/>
    <xf numFmtId="164" fontId="5" fillId="0" borderId="0" xfId="2" applyNumberFormat="1" applyFont="1" applyFill="1" applyBorder="1"/>
    <xf numFmtId="5" fontId="2" fillId="0" borderId="0" xfId="2" applyNumberFormat="1" applyFont="1" applyFill="1" applyBorder="1"/>
    <xf numFmtId="7" fontId="2" fillId="0" borderId="0" xfId="2" applyNumberFormat="1" applyFont="1" applyFill="1" applyBorder="1"/>
    <xf numFmtId="39" fontId="2" fillId="0" borderId="0" xfId="2" applyNumberFormat="1" applyFont="1" applyFill="1" applyBorder="1"/>
    <xf numFmtId="43" fontId="2" fillId="0" borderId="0" xfId="2" applyFont="1" applyFill="1" applyBorder="1"/>
    <xf numFmtId="37" fontId="2" fillId="0" borderId="0" xfId="0" applyNumberFormat="1" applyFont="1" applyFill="1" applyBorder="1"/>
    <xf numFmtId="7" fontId="5" fillId="0" borderId="0" xfId="2" applyNumberFormat="1" applyFont="1" applyFill="1" applyBorder="1"/>
    <xf numFmtId="10" fontId="10" fillId="0" borderId="0" xfId="6" applyNumberFormat="1" applyFont="1" applyFill="1" applyBorder="1"/>
    <xf numFmtId="5" fontId="5" fillId="0" borderId="0" xfId="0" applyNumberFormat="1" applyFont="1" applyFill="1" applyBorder="1"/>
    <xf numFmtId="165" fontId="10" fillId="0" borderId="2" xfId="6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8">
    <cellStyle name="%" xfId="1"/>
    <cellStyle name="Comma" xfId="2" builtinId="3"/>
    <cellStyle name="Comma 2" xfId="3"/>
    <cellStyle name="Hyperlink" xfId="4" builtinId="8"/>
    <cellStyle name="Normal" xfId="0" builtinId="0"/>
    <cellStyle name="Normal_CO DO Breakup YTD 04 05 06 v1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28575</xdr:rowOff>
    </xdr:to>
    <xdr:pic>
      <xdr:nvPicPr>
        <xdr:cNvPr id="102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952500</xdr:colOff>
      <xdr:row>2</xdr:row>
      <xdr:rowOff>66675</xdr:rowOff>
    </xdr:to>
    <xdr:pic>
      <xdr:nvPicPr>
        <xdr:cNvPr id="206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914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638175</xdr:colOff>
      <xdr:row>66</xdr:row>
      <xdr:rowOff>95250</xdr:rowOff>
    </xdr:from>
    <xdr:to>
      <xdr:col>13</xdr:col>
      <xdr:colOff>200025</xdr:colOff>
      <xdr:row>68</xdr:row>
      <xdr:rowOff>161924</xdr:rowOff>
    </xdr:to>
    <xdr:sp macro="" textlink="">
      <xdr:nvSpPr>
        <xdr:cNvPr id="4" name="TextBox 3"/>
        <xdr:cNvSpPr txBox="1"/>
      </xdr:nvSpPr>
      <xdr:spPr>
        <a:xfrm>
          <a:off x="13039725" y="9353550"/>
          <a:ext cx="3048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i="1"/>
            <a:t>(b)</a:t>
          </a:r>
        </a:p>
      </xdr:txBody>
    </xdr:sp>
    <xdr:clientData/>
  </xdr:twoCellAnchor>
  <xdr:twoCellAnchor>
    <xdr:from>
      <xdr:col>13</xdr:col>
      <xdr:colOff>800100</xdr:colOff>
      <xdr:row>66</xdr:row>
      <xdr:rowOff>95250</xdr:rowOff>
    </xdr:from>
    <xdr:to>
      <xdr:col>14</xdr:col>
      <xdr:colOff>190500</xdr:colOff>
      <xdr:row>68</xdr:row>
      <xdr:rowOff>161924</xdr:rowOff>
    </xdr:to>
    <xdr:sp macro="" textlink="">
      <xdr:nvSpPr>
        <xdr:cNvPr id="5" name="TextBox 4"/>
        <xdr:cNvSpPr txBox="1"/>
      </xdr:nvSpPr>
      <xdr:spPr>
        <a:xfrm>
          <a:off x="13944600" y="9353550"/>
          <a:ext cx="3048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i="1"/>
            <a:t>(b)</a:t>
          </a:r>
        </a:p>
      </xdr:txBody>
    </xdr:sp>
    <xdr:clientData/>
  </xdr:twoCellAnchor>
  <xdr:twoCellAnchor>
    <xdr:from>
      <xdr:col>13</xdr:col>
      <xdr:colOff>809625</xdr:colOff>
      <xdr:row>77</xdr:row>
      <xdr:rowOff>95250</xdr:rowOff>
    </xdr:from>
    <xdr:to>
      <xdr:col>14</xdr:col>
      <xdr:colOff>200025</xdr:colOff>
      <xdr:row>79</xdr:row>
      <xdr:rowOff>161924</xdr:rowOff>
    </xdr:to>
    <xdr:sp macro="" textlink="">
      <xdr:nvSpPr>
        <xdr:cNvPr id="6" name="TextBox 5"/>
        <xdr:cNvSpPr txBox="1"/>
      </xdr:nvSpPr>
      <xdr:spPr>
        <a:xfrm>
          <a:off x="13954125" y="10896600"/>
          <a:ext cx="3048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i="1"/>
            <a:t>(b)</a:t>
          </a:r>
        </a:p>
      </xdr:txBody>
    </xdr:sp>
    <xdr:clientData/>
  </xdr:twoCellAnchor>
  <xdr:twoCellAnchor>
    <xdr:from>
      <xdr:col>12</xdr:col>
      <xdr:colOff>638175</xdr:colOff>
      <xdr:row>77</xdr:row>
      <xdr:rowOff>85725</xdr:rowOff>
    </xdr:from>
    <xdr:to>
      <xdr:col>13</xdr:col>
      <xdr:colOff>200025</xdr:colOff>
      <xdr:row>79</xdr:row>
      <xdr:rowOff>152399</xdr:rowOff>
    </xdr:to>
    <xdr:sp macro="" textlink="">
      <xdr:nvSpPr>
        <xdr:cNvPr id="7" name="TextBox 6"/>
        <xdr:cNvSpPr txBox="1"/>
      </xdr:nvSpPr>
      <xdr:spPr>
        <a:xfrm>
          <a:off x="13039725" y="10887075"/>
          <a:ext cx="3048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i="1"/>
            <a:t>(b)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1</xdr:row>
      <xdr:rowOff>466725</xdr:rowOff>
    </xdr:to>
    <xdr:pic>
      <xdr:nvPicPr>
        <xdr:cNvPr id="307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876300</xdr:colOff>
      <xdr:row>2</xdr:row>
      <xdr:rowOff>323850</xdr:rowOff>
    </xdr:to>
    <xdr:pic>
      <xdr:nvPicPr>
        <xdr:cNvPr id="410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857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733425</xdr:colOff>
      <xdr:row>3</xdr:row>
      <xdr:rowOff>38100</xdr:rowOff>
    </xdr:to>
    <xdr:pic>
      <xdr:nvPicPr>
        <xdr:cNvPr id="51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80" zoomScaleSheetLayoutView="100" workbookViewId="0">
      <selection activeCell="C30" sqref="C30"/>
    </sheetView>
  </sheetViews>
  <sheetFormatPr defaultRowHeight="12.75" x14ac:dyDescent="0.2"/>
  <cols>
    <col min="1" max="1" width="9.140625" style="6"/>
    <col min="2" max="2" width="36.42578125" style="6" bestFit="1" customWidth="1"/>
    <col min="3" max="16384" width="9.140625" style="6"/>
  </cols>
  <sheetData>
    <row r="1" spans="1:10" s="61" customFormat="1" x14ac:dyDescent="0.2"/>
    <row r="2" spans="1:10" ht="34.5" customHeight="1" x14ac:dyDescent="0.2"/>
    <row r="3" spans="1:10" ht="34.5" customHeight="1" x14ac:dyDescent="0.2"/>
    <row r="4" spans="1:10" ht="15.75" x14ac:dyDescent="0.25">
      <c r="A4" s="125">
        <v>1</v>
      </c>
      <c r="B4" s="126" t="s">
        <v>15</v>
      </c>
    </row>
    <row r="5" spans="1:10" ht="15.75" x14ac:dyDescent="0.25">
      <c r="A5" s="125">
        <v>2</v>
      </c>
      <c r="B5" s="126" t="s">
        <v>16</v>
      </c>
    </row>
    <row r="6" spans="1:10" ht="15.75" x14ac:dyDescent="0.25">
      <c r="A6" s="125">
        <v>3</v>
      </c>
      <c r="B6" s="126" t="s">
        <v>59</v>
      </c>
    </row>
    <row r="7" spans="1:10" ht="15.75" x14ac:dyDescent="0.25">
      <c r="A7" s="125">
        <v>4</v>
      </c>
      <c r="B7" s="126" t="s">
        <v>68</v>
      </c>
    </row>
    <row r="9" spans="1:10" s="45" customFormat="1" x14ac:dyDescent="0.2">
      <c r="A9" s="43"/>
      <c r="B9" s="44"/>
      <c r="C9" s="43"/>
      <c r="D9" s="43"/>
      <c r="E9" s="43"/>
      <c r="F9" s="43"/>
      <c r="G9" s="43"/>
      <c r="H9" s="43"/>
      <c r="I9" s="43"/>
      <c r="J9" s="43"/>
    </row>
    <row r="10" spans="1:10" x14ac:dyDescent="0.2">
      <c r="A10" s="43"/>
      <c r="B10" s="44"/>
      <c r="C10" s="43"/>
      <c r="D10" s="43"/>
      <c r="E10" s="43"/>
      <c r="F10" s="43"/>
      <c r="G10" s="43"/>
      <c r="H10" s="43"/>
      <c r="I10" s="43"/>
      <c r="J10" s="43"/>
    </row>
    <row r="11" spans="1:10" x14ac:dyDescent="0.2">
      <c r="A11" s="43"/>
      <c r="B11" s="44"/>
      <c r="C11" s="43"/>
      <c r="D11" s="43"/>
      <c r="E11" s="43"/>
      <c r="F11" s="43"/>
      <c r="G11" s="43"/>
      <c r="H11" s="43"/>
      <c r="I11" s="43"/>
      <c r="J11" s="43"/>
    </row>
    <row r="12" spans="1:10" x14ac:dyDescent="0.2">
      <c r="A12" s="43"/>
      <c r="B12" s="44"/>
      <c r="C12" s="43"/>
      <c r="D12" s="43"/>
      <c r="E12" s="43"/>
      <c r="F12" s="43"/>
      <c r="G12" s="43"/>
      <c r="H12" s="43"/>
      <c r="I12" s="43"/>
      <c r="J12" s="43"/>
    </row>
    <row r="13" spans="1:10" x14ac:dyDescent="0.2">
      <c r="A13" s="43"/>
      <c r="B13" s="44"/>
      <c r="C13" s="43"/>
      <c r="D13" s="43"/>
      <c r="E13" s="43"/>
      <c r="F13" s="43"/>
      <c r="G13" s="43"/>
      <c r="H13" s="43"/>
      <c r="I13" s="43"/>
      <c r="J13" s="43"/>
    </row>
    <row r="14" spans="1:10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</row>
  </sheetData>
  <sheetProtection password="EDC4" sheet="1" objects="1" scenarios="1"/>
  <customSheetViews>
    <customSheetView guid="{168DC811-186D-42DC-8A72-3741D1063270}" scale="80" showPageBreaks="1" showGridLines="0">
      <selection activeCell="B4" sqref="B4:B7"/>
      <pageMargins left="0.7" right="0.7" top="0.75" bottom="0.75" header="0.3" footer="0.3"/>
      <pageSetup orientation="portrait" horizontalDpi="300" verticalDpi="300" r:id="rId1"/>
    </customSheetView>
  </customSheetViews>
  <phoneticPr fontId="0" type="noConversion"/>
  <hyperlinks>
    <hyperlink ref="B4" location="'Income Statement'!A1" display="Income Statement"/>
    <hyperlink ref="B5" location="'Balance Sheet'!A1" display="Balance Sheet"/>
    <hyperlink ref="B6" location="Cashflow!A1" display="Cashflow Statement"/>
    <hyperlink ref="B7" location="'Other Metrics'!A1" display="Other metrics"/>
  </hyperlinks>
  <pageMargins left="0.7" right="0.7" top="0.75" bottom="0.75" header="0.3" footer="0.3"/>
  <pageSetup paperSize="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8"/>
  <sheetViews>
    <sheetView showGridLines="0" view="pageBreakPreview" zoomScale="80" zoomScaleNormal="90" zoomScaleSheetLayoutView="80" workbookViewId="0">
      <pane xSplit="1" ySplit="5" topLeftCell="S63" activePane="bottomRight" state="frozen"/>
      <selection activeCell="W48" sqref="W48"/>
      <selection pane="topRight" activeCell="W48" sqref="W48"/>
      <selection pane="bottomLeft" activeCell="W48" sqref="W48"/>
      <selection pane="bottomRight" activeCell="AN99" sqref="AN99"/>
    </sheetView>
  </sheetViews>
  <sheetFormatPr defaultRowHeight="12.75" outlineLevelRow="1" outlineLevelCol="1" x14ac:dyDescent="0.2"/>
  <cols>
    <col min="1" max="1" width="50.5703125" style="26" customWidth="1"/>
    <col min="2" max="2" width="11.140625" style="26" hidden="1" customWidth="1" outlineLevel="1"/>
    <col min="3" max="3" width="10.42578125" style="26" hidden="1" customWidth="1" outlineLevel="1" collapsed="1"/>
    <col min="4" max="8" width="10.42578125" style="26" hidden="1" customWidth="1" outlineLevel="1"/>
    <col min="9" max="9" width="10.42578125" style="26" customWidth="1" collapsed="1"/>
    <col min="10" max="13" width="10.42578125" style="26" hidden="1" customWidth="1" outlineLevel="1"/>
    <col min="14" max="14" width="10.42578125" style="26" customWidth="1" collapsed="1"/>
    <col min="15" max="18" width="10.42578125" style="2" hidden="1" customWidth="1" outlineLevel="1"/>
    <col min="19" max="19" width="10.42578125" style="2" customWidth="1" collapsed="1"/>
    <col min="20" max="20" width="10.42578125" style="2" hidden="1" customWidth="1" outlineLevel="1"/>
    <col min="21" max="23" width="10.42578125" style="26" hidden="1" customWidth="1" outlineLevel="1"/>
    <col min="24" max="24" width="10.42578125" style="26" customWidth="1" collapsed="1"/>
    <col min="25" max="28" width="10.42578125" style="26" hidden="1" customWidth="1" outlineLevel="1"/>
    <col min="29" max="29" width="10.42578125" style="26" customWidth="1" collapsed="1"/>
    <col min="30" max="33" width="10.42578125" style="26" customWidth="1" outlineLevel="1"/>
    <col min="34" max="40" width="10.42578125" style="26" customWidth="1"/>
    <col min="41" max="41" width="15.5703125" style="31" hidden="1" customWidth="1"/>
    <col min="42" max="42" width="16.85546875" style="142" customWidth="1"/>
    <col min="43" max="43" width="13.85546875" style="26" bestFit="1" customWidth="1"/>
    <col min="44" max="16384" width="9.140625" style="26"/>
  </cols>
  <sheetData>
    <row r="1" spans="1:44" x14ac:dyDescent="0.2">
      <c r="A1" s="136"/>
    </row>
    <row r="2" spans="1:44" ht="30.75" customHeight="1" x14ac:dyDescent="0.2">
      <c r="A2" s="162"/>
      <c r="C2" s="77"/>
      <c r="O2" s="26"/>
      <c r="P2" s="26"/>
      <c r="Q2" s="26"/>
      <c r="R2" s="26"/>
      <c r="S2" s="26"/>
      <c r="T2" s="26"/>
    </row>
    <row r="3" spans="1:44" x14ac:dyDescent="0.2">
      <c r="A3" s="136"/>
    </row>
    <row r="4" spans="1:44" s="5" customFormat="1" x14ac:dyDescent="0.2">
      <c r="A4" s="163" t="s">
        <v>15</v>
      </c>
      <c r="B4" s="5">
        <v>2005</v>
      </c>
      <c r="C4" s="5">
        <v>2006</v>
      </c>
      <c r="D4" s="5">
        <v>2007</v>
      </c>
      <c r="I4" s="5">
        <v>2008</v>
      </c>
      <c r="J4" s="277">
        <v>2009</v>
      </c>
      <c r="K4" s="277"/>
      <c r="L4" s="277"/>
      <c r="M4" s="277"/>
      <c r="N4" s="277"/>
      <c r="O4" s="277">
        <v>2010</v>
      </c>
      <c r="P4" s="277"/>
      <c r="Q4" s="277"/>
      <c r="R4" s="277"/>
      <c r="S4" s="277"/>
      <c r="T4" s="5">
        <v>2011</v>
      </c>
      <c r="U4" s="234"/>
      <c r="V4" s="234"/>
      <c r="W4" s="234"/>
      <c r="X4" s="5">
        <v>2011</v>
      </c>
      <c r="AA4" s="5">
        <v>2012</v>
      </c>
      <c r="AC4" s="5">
        <v>2012</v>
      </c>
      <c r="AE4" s="232"/>
      <c r="AF4" s="5">
        <v>2013</v>
      </c>
      <c r="AG4" s="232"/>
      <c r="AH4" s="5">
        <v>2013</v>
      </c>
      <c r="AJ4" s="239"/>
      <c r="AK4" s="5">
        <v>2014</v>
      </c>
      <c r="AL4" s="244"/>
      <c r="AM4" s="244">
        <v>2014</v>
      </c>
      <c r="AN4" s="257">
        <v>2015</v>
      </c>
      <c r="AO4" s="248"/>
      <c r="AP4" s="263"/>
    </row>
    <row r="5" spans="1:44" s="5" customFormat="1" x14ac:dyDescent="0.2">
      <c r="A5" s="163" t="s">
        <v>83</v>
      </c>
      <c r="B5" s="5" t="s">
        <v>14</v>
      </c>
      <c r="C5" s="5" t="s">
        <v>14</v>
      </c>
      <c r="D5" s="5" t="s">
        <v>14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10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10</v>
      </c>
      <c r="U5" s="5" t="s">
        <v>11</v>
      </c>
      <c r="V5" s="5" t="s">
        <v>12</v>
      </c>
      <c r="W5" s="5" t="s">
        <v>13</v>
      </c>
      <c r="X5" s="5" t="s">
        <v>14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14</v>
      </c>
      <c r="AD5" s="5" t="s">
        <v>10</v>
      </c>
      <c r="AE5" s="5" t="s">
        <v>11</v>
      </c>
      <c r="AF5" s="5" t="s">
        <v>12</v>
      </c>
      <c r="AG5" s="5" t="s">
        <v>13</v>
      </c>
      <c r="AH5" s="5" t="s">
        <v>14</v>
      </c>
      <c r="AI5" s="5" t="s">
        <v>10</v>
      </c>
      <c r="AJ5" s="239" t="s">
        <v>11</v>
      </c>
      <c r="AK5" s="240" t="s">
        <v>12</v>
      </c>
      <c r="AL5" s="244" t="s">
        <v>13</v>
      </c>
      <c r="AM5" s="244" t="s">
        <v>14</v>
      </c>
      <c r="AN5" s="257" t="s">
        <v>10</v>
      </c>
      <c r="AO5" s="248"/>
      <c r="AP5" s="263"/>
    </row>
    <row r="6" spans="1:44" ht="6" customHeight="1" x14ac:dyDescent="0.2">
      <c r="A6" s="136"/>
      <c r="O6" s="26"/>
      <c r="T6" s="26"/>
    </row>
    <row r="7" spans="1:44" ht="6" customHeight="1" x14ac:dyDescent="0.2">
      <c r="A7" s="136"/>
      <c r="O7" s="26"/>
      <c r="T7" s="26"/>
    </row>
    <row r="8" spans="1:44" s="30" customFormat="1" x14ac:dyDescent="0.2">
      <c r="A8" s="69" t="s">
        <v>1</v>
      </c>
      <c r="B8" s="47">
        <v>54180.404230986998</v>
      </c>
      <c r="C8" s="47">
        <v>98679.335932916933</v>
      </c>
      <c r="D8" s="47">
        <v>152032.533</v>
      </c>
      <c r="E8" s="47">
        <v>44431.273999999998</v>
      </c>
      <c r="F8" s="47">
        <v>47015.218999999997</v>
      </c>
      <c r="G8" s="47">
        <v>46572.901709433092</v>
      </c>
      <c r="H8" s="47">
        <v>43694.368000000002</v>
      </c>
      <c r="I8" s="47">
        <v>181713.7627094331</v>
      </c>
      <c r="J8" s="47">
        <v>40985.678940000005</v>
      </c>
      <c r="K8" s="47">
        <v>42385.281719999992</v>
      </c>
      <c r="L8" s="47">
        <v>48185.784160000003</v>
      </c>
      <c r="M8" s="47">
        <v>59438.099990000002</v>
      </c>
      <c r="N8" s="47">
        <v>190994.84480999998</v>
      </c>
      <c r="O8" s="47">
        <v>54489</v>
      </c>
      <c r="P8" s="47">
        <v>60639</v>
      </c>
      <c r="Q8" s="47">
        <v>67585</v>
      </c>
      <c r="R8" s="47">
        <v>70040.251009999978</v>
      </c>
      <c r="S8" s="47">
        <v>252753.25100999998</v>
      </c>
      <c r="T8" s="47">
        <v>72907</v>
      </c>
      <c r="U8" s="47">
        <v>85028</v>
      </c>
      <c r="V8" s="47">
        <v>100026</v>
      </c>
      <c r="W8" s="47">
        <v>102580</v>
      </c>
      <c r="X8" s="47">
        <v>360541</v>
      </c>
      <c r="Y8" s="47">
        <v>104608</v>
      </c>
      <c r="Z8" s="47">
        <v>108030</v>
      </c>
      <c r="AA8" s="47">
        <v>112639</v>
      </c>
      <c r="AB8" s="47">
        <v>117653</v>
      </c>
      <c r="AC8" s="47">
        <v>442930</v>
      </c>
      <c r="AD8" s="47">
        <v>116006</v>
      </c>
      <c r="AE8" s="47">
        <v>116008</v>
      </c>
      <c r="AF8" s="47">
        <v>122315</v>
      </c>
      <c r="AG8" s="47">
        <v>124123</v>
      </c>
      <c r="AH8" s="47">
        <v>478452</v>
      </c>
      <c r="AI8" s="47">
        <v>121797</v>
      </c>
      <c r="AJ8" s="47">
        <v>119738</v>
      </c>
      <c r="AK8" s="47">
        <v>122457</v>
      </c>
      <c r="AL8" s="47">
        <v>135286</v>
      </c>
      <c r="AM8" s="47">
        <v>499278</v>
      </c>
      <c r="AN8" s="47">
        <v>143510</v>
      </c>
      <c r="AO8" s="29">
        <f>AM8-AL8-AK8-AJ8-AI8</f>
        <v>0</v>
      </c>
      <c r="AP8" s="264"/>
      <c r="AQ8" s="29"/>
      <c r="AR8" s="252"/>
    </row>
    <row r="9" spans="1:44" s="30" customFormat="1" x14ac:dyDescent="0.2">
      <c r="A9" s="70" t="s">
        <v>160</v>
      </c>
      <c r="B9" s="38" t="s">
        <v>96</v>
      </c>
      <c r="C9" s="37">
        <v>0.82131044117385876</v>
      </c>
      <c r="D9" s="37">
        <v>0.54067243727048409</v>
      </c>
      <c r="E9" s="38" t="s">
        <v>96</v>
      </c>
      <c r="F9" s="37">
        <v>5.8155996157121193E-2</v>
      </c>
      <c r="G9" s="37">
        <v>-9.4079598048220081E-3</v>
      </c>
      <c r="H9" s="37">
        <v>-6.180705096264294E-2</v>
      </c>
      <c r="I9" s="38" t="s">
        <v>96</v>
      </c>
      <c r="J9" s="37">
        <v>-6.1991720763646119E-2</v>
      </c>
      <c r="K9" s="37">
        <v>3.4148581070205131E-2</v>
      </c>
      <c r="L9" s="37">
        <v>0.13685180809504871</v>
      </c>
      <c r="M9" s="37">
        <v>0.23351940880814337</v>
      </c>
      <c r="N9" s="38" t="s">
        <v>96</v>
      </c>
      <c r="O9" s="37">
        <v>-8.3264774460029001E-2</v>
      </c>
      <c r="P9" s="37">
        <v>0.1128668171557563</v>
      </c>
      <c r="Q9" s="37">
        <v>0.1145467438447203</v>
      </c>
      <c r="R9" s="37">
        <v>3.6328342235702804E-2</v>
      </c>
      <c r="S9" s="38" t="s">
        <v>96</v>
      </c>
      <c r="T9" s="37">
        <v>4.0930021646991666E-2</v>
      </c>
      <c r="U9" s="37">
        <v>0.16625289752698635</v>
      </c>
      <c r="V9" s="37">
        <v>0.17638895422684286</v>
      </c>
      <c r="W9" s="37">
        <v>2.5533361326055326E-2</v>
      </c>
      <c r="X9" s="38" t="s">
        <v>96</v>
      </c>
      <c r="Y9" s="37">
        <v>1.9769935659972759E-2</v>
      </c>
      <c r="Z9" s="37">
        <v>3.2712603242581739E-2</v>
      </c>
      <c r="AA9" s="37">
        <v>4.2664074794038775E-2</v>
      </c>
      <c r="AB9" s="37">
        <v>4.4513889505411131E-2</v>
      </c>
      <c r="AC9" s="38" t="s">
        <v>96</v>
      </c>
      <c r="AD9" s="37">
        <v>-1.3998793060950421E-2</v>
      </c>
      <c r="AE9" s="37">
        <v>1.7240487560910012E-5</v>
      </c>
      <c r="AF9" s="37">
        <v>5.4366940211019843E-2</v>
      </c>
      <c r="AG9" s="37">
        <v>1.4781506765318975E-2</v>
      </c>
      <c r="AH9" s="38" t="s">
        <v>96</v>
      </c>
      <c r="AI9" s="37">
        <f>AI8/AG8-1</f>
        <v>-1.8739476164772007E-2</v>
      </c>
      <c r="AJ9" s="37">
        <f>AJ8/AI8-1</f>
        <v>-1.6905178288463607E-2</v>
      </c>
      <c r="AK9" s="37">
        <f>AK8/AJ8-1</f>
        <v>2.2707912275134134E-2</v>
      </c>
      <c r="AL9" s="37">
        <f>AL8/AK8-1</f>
        <v>0.10476330467021078</v>
      </c>
      <c r="AM9" s="38" t="s">
        <v>96</v>
      </c>
      <c r="AN9" s="37">
        <f>AN8/AL8-1</f>
        <v>6.0789734340582102E-2</v>
      </c>
      <c r="AO9" s="29"/>
      <c r="AP9" s="260"/>
      <c r="AR9" s="252"/>
    </row>
    <row r="10" spans="1:44" s="30" customFormat="1" x14ac:dyDescent="0.2">
      <c r="A10" s="70" t="s">
        <v>161</v>
      </c>
      <c r="B10" s="38" t="s">
        <v>96</v>
      </c>
      <c r="C10" s="37">
        <v>0.82131044117385876</v>
      </c>
      <c r="D10" s="37">
        <v>0.54067243727048409</v>
      </c>
      <c r="E10" s="38" t="s">
        <v>96</v>
      </c>
      <c r="F10" s="38" t="s">
        <v>96</v>
      </c>
      <c r="G10" s="38" t="s">
        <v>96</v>
      </c>
      <c r="H10" s="38" t="s">
        <v>96</v>
      </c>
      <c r="I10" s="37">
        <v>0.19522946256136575</v>
      </c>
      <c r="J10" s="37">
        <v>-7.7548869294182143E-2</v>
      </c>
      <c r="K10" s="37">
        <v>-9.8477416004379426E-2</v>
      </c>
      <c r="L10" s="37">
        <v>3.4631349805722467E-2</v>
      </c>
      <c r="M10" s="37">
        <v>0.36031490351342299</v>
      </c>
      <c r="N10" s="37">
        <v>5.1075284349307415E-2</v>
      </c>
      <c r="O10" s="37">
        <v>0.32946437412365071</v>
      </c>
      <c r="P10" s="37">
        <v>0.43066171886234694</v>
      </c>
      <c r="Q10" s="37">
        <v>0.40259209595064926</v>
      </c>
      <c r="R10" s="37">
        <v>0.1783729799873095</v>
      </c>
      <c r="S10" s="37">
        <v>0.32335116825502142</v>
      </c>
      <c r="T10" s="37">
        <v>0.33801317697149891</v>
      </c>
      <c r="U10" s="37">
        <v>0.40219990435198461</v>
      </c>
      <c r="V10" s="37">
        <v>0.48000295923651692</v>
      </c>
      <c r="W10" s="37">
        <v>0.46458641310914439</v>
      </c>
      <c r="X10" s="37">
        <v>0.42645445136424964</v>
      </c>
      <c r="Y10" s="37">
        <v>0.43481421537026632</v>
      </c>
      <c r="Z10" s="37">
        <v>0.27052265136190434</v>
      </c>
      <c r="AA10" s="37">
        <v>0.12609721472417168</v>
      </c>
      <c r="AB10" s="37">
        <v>0.14693897445895887</v>
      </c>
      <c r="AC10" s="37">
        <v>0.22851492618037894</v>
      </c>
      <c r="AD10" s="37">
        <v>0.10895916182318754</v>
      </c>
      <c r="AE10" s="37">
        <v>7.3849856521336577E-2</v>
      </c>
      <c r="AF10" s="37">
        <v>8.5902751267322941E-2</v>
      </c>
      <c r="AG10" s="37">
        <v>5.4992222892743969E-2</v>
      </c>
      <c r="AH10" s="37">
        <v>8.0197773914614023E-2</v>
      </c>
      <c r="AI10" s="37">
        <f t="shared" ref="AI10:AN10" si="0">AI8/AD8-1</f>
        <v>4.9919831732841313E-2</v>
      </c>
      <c r="AJ10" s="37">
        <f t="shared" si="0"/>
        <v>3.2152954968622804E-2</v>
      </c>
      <c r="AK10" s="37">
        <f t="shared" si="0"/>
        <v>1.1609369251521784E-3</v>
      </c>
      <c r="AL10" s="37">
        <f t="shared" si="0"/>
        <v>8.9934983846668315E-2</v>
      </c>
      <c r="AM10" s="37">
        <f t="shared" si="0"/>
        <v>4.3527877404629933E-2</v>
      </c>
      <c r="AN10" s="37">
        <f t="shared" si="0"/>
        <v>0.17827204282535702</v>
      </c>
      <c r="AO10" s="29"/>
      <c r="AP10" s="260"/>
      <c r="AR10" s="252"/>
    </row>
    <row r="11" spans="1:44" s="30" customFormat="1" ht="6" customHeight="1" x14ac:dyDescent="0.2">
      <c r="A11" s="70"/>
      <c r="B11" s="38"/>
      <c r="C11" s="37"/>
      <c r="D11" s="37"/>
      <c r="E11" s="38"/>
      <c r="F11" s="38"/>
      <c r="G11" s="38"/>
      <c r="H11" s="38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229"/>
      <c r="AF11" s="229"/>
      <c r="AG11" s="229"/>
      <c r="AH11" s="37"/>
      <c r="AI11" s="37"/>
      <c r="AJ11" s="37"/>
      <c r="AK11" s="37"/>
      <c r="AL11" s="37"/>
      <c r="AM11" s="37"/>
      <c r="AN11" s="37"/>
      <c r="AO11" s="29"/>
      <c r="AP11" s="260"/>
      <c r="AR11" s="252"/>
    </row>
    <row r="12" spans="1:44" x14ac:dyDescent="0.2">
      <c r="A12" s="71" t="s">
        <v>110</v>
      </c>
      <c r="B12" s="31">
        <v>-38098.286290077354</v>
      </c>
      <c r="C12" s="31">
        <v>-62618.776281290142</v>
      </c>
      <c r="D12" s="31">
        <v>-100111.986</v>
      </c>
      <c r="E12" s="31">
        <v>-28633.905999999999</v>
      </c>
      <c r="F12" s="31">
        <v>-30222.365000000002</v>
      </c>
      <c r="G12" s="31">
        <v>-28046.251948680161</v>
      </c>
      <c r="H12" s="31">
        <v>-25533.753000000001</v>
      </c>
      <c r="I12" s="31">
        <v>-112436.27594868015</v>
      </c>
      <c r="J12" s="31">
        <v>-24355.620650000004</v>
      </c>
      <c r="K12" s="31">
        <v>-25827.531800000001</v>
      </c>
      <c r="L12" s="31">
        <v>-28802.981769999999</v>
      </c>
      <c r="M12" s="31">
        <v>-30402.945390000001</v>
      </c>
      <c r="N12" s="31">
        <v>-109389.07961000002</v>
      </c>
      <c r="O12" s="31">
        <v>-31485</v>
      </c>
      <c r="P12" s="31">
        <v>-37447</v>
      </c>
      <c r="Q12" s="31">
        <v>-40584</v>
      </c>
      <c r="R12" s="31">
        <v>-41769</v>
      </c>
      <c r="S12" s="31">
        <v>-151285</v>
      </c>
      <c r="T12" s="31">
        <v>-44219</v>
      </c>
      <c r="U12" s="31">
        <v>-51998</v>
      </c>
      <c r="V12" s="31">
        <v>-61755</v>
      </c>
      <c r="W12" s="31">
        <v>-62015</v>
      </c>
      <c r="X12" s="31">
        <v>-219987</v>
      </c>
      <c r="Y12" s="31">
        <v>-66672</v>
      </c>
      <c r="Z12" s="31">
        <v>-66045</v>
      </c>
      <c r="AA12" s="31">
        <v>-68650</v>
      </c>
      <c r="AB12" s="31">
        <v>-70509</v>
      </c>
      <c r="AC12" s="31">
        <v>-271876</v>
      </c>
      <c r="AD12" s="33">
        <v>-72913</v>
      </c>
      <c r="AE12" s="33">
        <v>-73930</v>
      </c>
      <c r="AF12" s="33">
        <v>-72049</v>
      </c>
      <c r="AG12" s="33">
        <v>-72050</v>
      </c>
      <c r="AH12" s="31">
        <v>-290942</v>
      </c>
      <c r="AI12" s="33">
        <v>-74922</v>
      </c>
      <c r="AJ12" s="33">
        <v>-81259</v>
      </c>
      <c r="AK12" s="33">
        <v>-84983</v>
      </c>
      <c r="AL12" s="33">
        <f>-(AL8-AL13)</f>
        <v>-91371</v>
      </c>
      <c r="AM12" s="31">
        <v>-332535</v>
      </c>
      <c r="AN12" s="33">
        <v>-93125</v>
      </c>
      <c r="AO12" s="29">
        <f>AM12-AL12-AK12-AJ12-AI12</f>
        <v>0</v>
      </c>
      <c r="AP12" s="265"/>
      <c r="AR12" s="252"/>
    </row>
    <row r="13" spans="1:44" s="30" customFormat="1" x14ac:dyDescent="0.2">
      <c r="A13" s="72" t="s">
        <v>2</v>
      </c>
      <c r="B13" s="28">
        <v>16082.117940909644</v>
      </c>
      <c r="C13" s="28">
        <v>36060.559651626791</v>
      </c>
      <c r="D13" s="28">
        <v>51920.546999999991</v>
      </c>
      <c r="E13" s="28">
        <v>15797.367999999999</v>
      </c>
      <c r="F13" s="28">
        <v>16792.853999999996</v>
      </c>
      <c r="G13" s="28">
        <v>18526.649760752931</v>
      </c>
      <c r="H13" s="28">
        <v>18160.615000000002</v>
      </c>
      <c r="I13" s="28">
        <v>69277.486760752945</v>
      </c>
      <c r="J13" s="28">
        <v>16630.058290000001</v>
      </c>
      <c r="K13" s="28">
        <v>16557.749919999991</v>
      </c>
      <c r="L13" s="28">
        <v>19382.802390000004</v>
      </c>
      <c r="M13" s="28">
        <v>29035.154600000002</v>
      </c>
      <c r="N13" s="28">
        <v>81605.765199999965</v>
      </c>
      <c r="O13" s="28">
        <v>23004</v>
      </c>
      <c r="P13" s="28">
        <v>23192</v>
      </c>
      <c r="Q13" s="28">
        <v>27001</v>
      </c>
      <c r="R13" s="28">
        <v>28271.251009999978</v>
      </c>
      <c r="S13" s="28">
        <v>101468.25100999998</v>
      </c>
      <c r="T13" s="28">
        <v>28688</v>
      </c>
      <c r="U13" s="28">
        <v>33030</v>
      </c>
      <c r="V13" s="28">
        <v>38271</v>
      </c>
      <c r="W13" s="28">
        <v>40565</v>
      </c>
      <c r="X13" s="28">
        <v>140554</v>
      </c>
      <c r="Y13" s="28">
        <v>37936</v>
      </c>
      <c r="Z13" s="28">
        <v>41985</v>
      </c>
      <c r="AA13" s="28">
        <v>43989</v>
      </c>
      <c r="AB13" s="28">
        <v>47144</v>
      </c>
      <c r="AC13" s="28">
        <v>171054</v>
      </c>
      <c r="AD13" s="228">
        <v>43093</v>
      </c>
      <c r="AE13" s="228">
        <v>42078</v>
      </c>
      <c r="AF13" s="228">
        <v>50266</v>
      </c>
      <c r="AG13" s="228">
        <v>52073</v>
      </c>
      <c r="AH13" s="28">
        <v>187510</v>
      </c>
      <c r="AI13" s="228">
        <f>AI8+AI12</f>
        <v>46875</v>
      </c>
      <c r="AJ13" s="228">
        <f>AJ8+AJ12</f>
        <v>38479</v>
      </c>
      <c r="AK13" s="228">
        <f>AK8+AK12</f>
        <v>37474</v>
      </c>
      <c r="AL13" s="228">
        <v>43915</v>
      </c>
      <c r="AM13" s="228">
        <f>AM8+AM12</f>
        <v>166743</v>
      </c>
      <c r="AN13" s="228">
        <f>AN8+AN12</f>
        <v>50385</v>
      </c>
      <c r="AO13" s="29"/>
      <c r="AP13" s="264"/>
      <c r="AR13" s="252"/>
    </row>
    <row r="14" spans="1:44" x14ac:dyDescent="0.2">
      <c r="A14" s="70" t="s">
        <v>78</v>
      </c>
      <c r="B14" s="37">
        <v>0.29682535907902874</v>
      </c>
      <c r="C14" s="37">
        <v>0.36543172195788864</v>
      </c>
      <c r="D14" s="37">
        <v>0.34150945179608361</v>
      </c>
      <c r="E14" s="37">
        <v>0.35554614076562374</v>
      </c>
      <c r="F14" s="37">
        <v>0.35717910832234978</v>
      </c>
      <c r="G14" s="37">
        <v>0.39779891483550095</v>
      </c>
      <c r="H14" s="37">
        <v>0.41562827959887189</v>
      </c>
      <c r="I14" s="37">
        <v>0.38124512820490192</v>
      </c>
      <c r="J14" s="37">
        <v>0.40575290491942739</v>
      </c>
      <c r="K14" s="37">
        <v>0.39064857535645497</v>
      </c>
      <c r="L14" s="37">
        <v>0.40225146747928325</v>
      </c>
      <c r="M14" s="37">
        <v>0.48849398962761159</v>
      </c>
      <c r="N14" s="37">
        <v>0.42726684733915554</v>
      </c>
      <c r="O14" s="37">
        <v>0.42217695314650666</v>
      </c>
      <c r="P14" s="37">
        <v>0.38246013291775921</v>
      </c>
      <c r="Q14" s="37">
        <v>0.39951172597469853</v>
      </c>
      <c r="R14" s="37">
        <v>0.40364291392907142</v>
      </c>
      <c r="S14" s="37">
        <v>0.40145181359501275</v>
      </c>
      <c r="T14" s="37">
        <v>0.39348759378386161</v>
      </c>
      <c r="U14" s="37">
        <v>0.38846027191042953</v>
      </c>
      <c r="V14" s="37">
        <v>0.38261052126447126</v>
      </c>
      <c r="W14" s="37">
        <v>0.39544745564437511</v>
      </c>
      <c r="X14" s="37">
        <v>0.38984193198554395</v>
      </c>
      <c r="Y14" s="37">
        <v>0.36264912817375344</v>
      </c>
      <c r="Z14" s="37">
        <v>0.38864204387670093</v>
      </c>
      <c r="AA14" s="37">
        <v>0.39053081082040858</v>
      </c>
      <c r="AB14" s="37">
        <v>0.40070376445989475</v>
      </c>
      <c r="AC14" s="37">
        <v>0.38618743368026548</v>
      </c>
      <c r="AD14" s="229">
        <v>0.37147216523283277</v>
      </c>
      <c r="AE14" s="229">
        <v>0.36271636438866284</v>
      </c>
      <c r="AF14" s="229">
        <v>0.41095532027960596</v>
      </c>
      <c r="AG14" s="229">
        <v>0.41952740426834673</v>
      </c>
      <c r="AH14" s="37">
        <v>0.39190974225209635</v>
      </c>
      <c r="AI14" s="229">
        <f t="shared" ref="AI14:AN14" si="1">AI13/AI8</f>
        <v>0.38486169610088916</v>
      </c>
      <c r="AJ14" s="229">
        <f t="shared" si="1"/>
        <v>0.32135996926623128</v>
      </c>
      <c r="AK14" s="229">
        <f t="shared" si="1"/>
        <v>0.30601762251239212</v>
      </c>
      <c r="AL14" s="229">
        <f t="shared" si="1"/>
        <v>0.3246086069511997</v>
      </c>
      <c r="AM14" s="37">
        <f t="shared" si="1"/>
        <v>0.33396825015322124</v>
      </c>
      <c r="AN14" s="229">
        <f t="shared" si="1"/>
        <v>0.35109051634032473</v>
      </c>
      <c r="AP14" s="260"/>
      <c r="AR14" s="252"/>
    </row>
    <row r="15" spans="1:44" ht="6" customHeight="1" x14ac:dyDescent="0.2">
      <c r="A15" s="7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229"/>
      <c r="AE15" s="229"/>
      <c r="AF15" s="229"/>
      <c r="AG15" s="229"/>
      <c r="AH15" s="37"/>
      <c r="AI15" s="229"/>
      <c r="AJ15" s="229"/>
      <c r="AK15" s="229"/>
      <c r="AL15" s="229"/>
      <c r="AM15" s="37"/>
      <c r="AN15" s="229"/>
      <c r="AP15" s="260"/>
      <c r="AR15" s="252"/>
    </row>
    <row r="16" spans="1:44" x14ac:dyDescent="0.2">
      <c r="A16" s="72" t="s">
        <v>73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134"/>
      <c r="M16" s="134"/>
      <c r="N16" s="134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204"/>
      <c r="AE16" s="79"/>
      <c r="AF16" s="79"/>
      <c r="AG16" s="79"/>
      <c r="AH16" s="31"/>
      <c r="AI16" s="204"/>
      <c r="AJ16" s="204"/>
      <c r="AK16" s="204"/>
      <c r="AL16" s="204"/>
      <c r="AM16" s="31"/>
      <c r="AN16" s="204"/>
      <c r="AP16" s="11"/>
      <c r="AR16" s="252"/>
    </row>
    <row r="17" spans="1:44" x14ac:dyDescent="0.2">
      <c r="A17" s="71" t="s">
        <v>3</v>
      </c>
      <c r="B17" s="31">
        <v>-12523.642613540058</v>
      </c>
      <c r="C17" s="31">
        <v>-18697.908828688203</v>
      </c>
      <c r="D17" s="31">
        <v>-28723.594000000001</v>
      </c>
      <c r="E17" s="31">
        <v>-8373.9830000000002</v>
      </c>
      <c r="F17" s="31">
        <v>-8470.3349999999991</v>
      </c>
      <c r="G17" s="31">
        <v>-7348.8691871478095</v>
      </c>
      <c r="H17" s="31">
        <v>-6919.5159999999996</v>
      </c>
      <c r="I17" s="31">
        <v>-31112.70318714781</v>
      </c>
      <c r="J17" s="31">
        <v>-6733.0704599999999</v>
      </c>
      <c r="K17" s="31">
        <v>-7633.7693499999996</v>
      </c>
      <c r="L17" s="31">
        <v>-7769.6240199999993</v>
      </c>
      <c r="M17" s="31">
        <v>-9713.4317999999967</v>
      </c>
      <c r="N17" s="31">
        <v>-31849.895629999999</v>
      </c>
      <c r="O17" s="31">
        <v>-9305</v>
      </c>
      <c r="P17" s="31">
        <v>-9464</v>
      </c>
      <c r="Q17" s="31">
        <v>-10469</v>
      </c>
      <c r="R17" s="31">
        <v>-11040</v>
      </c>
      <c r="S17" s="31">
        <v>-40278</v>
      </c>
      <c r="T17" s="31">
        <v>-10471</v>
      </c>
      <c r="U17" s="31">
        <v>-12391</v>
      </c>
      <c r="V17" s="31">
        <v>-13253</v>
      </c>
      <c r="W17" s="31">
        <v>-14545</v>
      </c>
      <c r="X17" s="31">
        <v>-50660</v>
      </c>
      <c r="Y17" s="31">
        <v>-13347</v>
      </c>
      <c r="Z17" s="31">
        <v>-13858</v>
      </c>
      <c r="AA17" s="31">
        <v>-13777</v>
      </c>
      <c r="AB17" s="31">
        <v>-16210</v>
      </c>
      <c r="AC17" s="31">
        <v>-57192</v>
      </c>
      <c r="AD17" s="33">
        <v>-14720.8</v>
      </c>
      <c r="AE17" s="33">
        <v>-13753</v>
      </c>
      <c r="AF17" s="33">
        <v>-15791</v>
      </c>
      <c r="AG17" s="33">
        <v>-14532.199999999997</v>
      </c>
      <c r="AH17" s="31">
        <v>-58797</v>
      </c>
      <c r="AI17" s="33">
        <v>-14800</v>
      </c>
      <c r="AJ17" s="33">
        <v>-16240</v>
      </c>
      <c r="AK17" s="33">
        <v>-15952</v>
      </c>
      <c r="AL17" s="33">
        <f>AM17-AI17-AJ17-AK17</f>
        <v>-18389</v>
      </c>
      <c r="AM17" s="31">
        <v>-65381</v>
      </c>
      <c r="AN17" s="33">
        <v>-18621</v>
      </c>
      <c r="AO17" s="31">
        <f t="shared" ref="AO17:AO28" si="2">AM17-AL17-AK17-AJ17-AI17</f>
        <v>0</v>
      </c>
      <c r="AP17" s="265"/>
      <c r="AR17" s="252"/>
    </row>
    <row r="18" spans="1:44" x14ac:dyDescent="0.2">
      <c r="A18" s="70" t="s">
        <v>162</v>
      </c>
      <c r="B18" s="37">
        <v>0.23114708705656914</v>
      </c>
      <c r="C18" s="37">
        <v>0.18948150240288608</v>
      </c>
      <c r="D18" s="37">
        <v>0.18893057579985201</v>
      </c>
      <c r="E18" s="37">
        <v>0.188470467896104</v>
      </c>
      <c r="F18" s="37">
        <v>0.18016155577197246</v>
      </c>
      <c r="G18" s="37">
        <v>0.1577928133616664</v>
      </c>
      <c r="H18" s="37">
        <v>0.15836173668881076</v>
      </c>
      <c r="I18" s="37">
        <v>0.1712181990138972</v>
      </c>
      <c r="J18" s="37">
        <v>0.16427861228934906</v>
      </c>
      <c r="K18" s="37">
        <v>0.18010424940499845</v>
      </c>
      <c r="L18" s="37">
        <v>0.16124307522320497</v>
      </c>
      <c r="M18" s="37">
        <v>0.16342096738681428</v>
      </c>
      <c r="N18" s="37">
        <v>0.16675788114429999</v>
      </c>
      <c r="O18" s="37">
        <v>0.17076841197305878</v>
      </c>
      <c r="P18" s="37">
        <v>0.15607117531621564</v>
      </c>
      <c r="Q18" s="37">
        <v>0.15490123548124585</v>
      </c>
      <c r="R18" s="37">
        <v>0.15762364984134289</v>
      </c>
      <c r="S18" s="37">
        <v>0.15935700070740705</v>
      </c>
      <c r="T18" s="37">
        <v>0.14362132579862016</v>
      </c>
      <c r="U18" s="37">
        <v>0.14572846591710967</v>
      </c>
      <c r="V18" s="37">
        <v>0.13249555115669925</v>
      </c>
      <c r="W18" s="37">
        <v>0.14179177227529732</v>
      </c>
      <c r="X18" s="37">
        <v>0.14051106531573385</v>
      </c>
      <c r="Y18" s="37">
        <v>0.12759062404405017</v>
      </c>
      <c r="Z18" s="37">
        <v>0.12827918170878461</v>
      </c>
      <c r="AA18" s="37">
        <v>0.12231110006303322</v>
      </c>
      <c r="AB18" s="37">
        <v>0.13777804220886844</v>
      </c>
      <c r="AC18" s="37">
        <v>0.12912198315760956</v>
      </c>
      <c r="AD18" s="229">
        <v>0.12689688464389773</v>
      </c>
      <c r="AE18" s="229">
        <v>0.11855216881594373</v>
      </c>
      <c r="AF18" s="229">
        <v>0.12910109144422188</v>
      </c>
      <c r="AG18" s="229">
        <v>0.11707902644957016</v>
      </c>
      <c r="AH18" s="37">
        <v>0.12289007047728925</v>
      </c>
      <c r="AI18" s="229">
        <f t="shared" ref="AI18:AN18" si="3">-AI17/AI$8</f>
        <v>0.12151366618225408</v>
      </c>
      <c r="AJ18" s="229">
        <f t="shared" si="3"/>
        <v>0.13562945764920076</v>
      </c>
      <c r="AK18" s="229">
        <f t="shared" si="3"/>
        <v>0.13026613423487429</v>
      </c>
      <c r="AL18" s="229">
        <f t="shared" si="3"/>
        <v>0.13592685126324972</v>
      </c>
      <c r="AM18" s="37">
        <f t="shared" si="3"/>
        <v>0.13095109337883903</v>
      </c>
      <c r="AN18" s="229">
        <f t="shared" si="3"/>
        <v>0.12975402410981812</v>
      </c>
      <c r="AP18" s="260"/>
      <c r="AR18" s="252"/>
    </row>
    <row r="19" spans="1:44" ht="6" customHeight="1" x14ac:dyDescent="0.2">
      <c r="A19" s="7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229"/>
      <c r="AE19" s="229"/>
      <c r="AF19" s="229"/>
      <c r="AG19" s="229"/>
      <c r="AH19" s="37"/>
      <c r="AI19" s="229"/>
      <c r="AJ19" s="229"/>
      <c r="AK19" s="229"/>
      <c r="AL19" s="229"/>
      <c r="AM19" s="37"/>
      <c r="AN19" s="229"/>
      <c r="AO19" s="31">
        <f t="shared" si="2"/>
        <v>0</v>
      </c>
      <c r="AP19" s="260"/>
      <c r="AR19" s="252"/>
    </row>
    <row r="20" spans="1:44" x14ac:dyDescent="0.2">
      <c r="A20" s="71" t="s">
        <v>4</v>
      </c>
      <c r="B20" s="31">
        <v>-1685.0198899999996</v>
      </c>
      <c r="C20" s="31">
        <v>-4739.3900428728548</v>
      </c>
      <c r="D20" s="31">
        <v>-9171.2400000000016</v>
      </c>
      <c r="E20" s="31">
        <v>-2374.35</v>
      </c>
      <c r="F20" s="31">
        <v>-2910.4670000000001</v>
      </c>
      <c r="G20" s="31">
        <v>-3081.174</v>
      </c>
      <c r="H20" s="31">
        <v>-2978.2759999999998</v>
      </c>
      <c r="I20" s="31">
        <v>-11344.267</v>
      </c>
      <c r="J20" s="31">
        <v>-3183.8267099999998</v>
      </c>
      <c r="K20" s="31">
        <v>-3340.1738300000002</v>
      </c>
      <c r="L20" s="31">
        <v>-3515.8323999999993</v>
      </c>
      <c r="M20" s="31">
        <v>-3909.6970000000001</v>
      </c>
      <c r="N20" s="31">
        <v>-13949.52994</v>
      </c>
      <c r="O20" s="31">
        <v>-4150</v>
      </c>
      <c r="P20" s="31">
        <v>-4599</v>
      </c>
      <c r="Q20" s="31">
        <v>-5331</v>
      </c>
      <c r="R20" s="31">
        <v>-4752</v>
      </c>
      <c r="S20" s="31">
        <v>-18832</v>
      </c>
      <c r="T20" s="31">
        <v>-5857</v>
      </c>
      <c r="U20" s="31">
        <v>-6121</v>
      </c>
      <c r="V20" s="31">
        <v>-6915</v>
      </c>
      <c r="W20" s="31">
        <v>-6689</v>
      </c>
      <c r="X20" s="68">
        <v>-25582</v>
      </c>
      <c r="Y20" s="31">
        <v>-7799</v>
      </c>
      <c r="Z20" s="31">
        <v>-7694</v>
      </c>
      <c r="AA20" s="31">
        <v>-7009</v>
      </c>
      <c r="AB20" s="31">
        <v>-8505</v>
      </c>
      <c r="AC20" s="31">
        <v>-31007</v>
      </c>
      <c r="AD20" s="33">
        <v>-9755</v>
      </c>
      <c r="AE20" s="33">
        <v>-9136</v>
      </c>
      <c r="AF20" s="33">
        <v>-8993</v>
      </c>
      <c r="AG20" s="33">
        <v>-8492</v>
      </c>
      <c r="AH20" s="31">
        <v>-36376</v>
      </c>
      <c r="AI20" s="33">
        <v>-10232</v>
      </c>
      <c r="AJ20" s="33">
        <v>-9463</v>
      </c>
      <c r="AK20" s="33">
        <v>-9117</v>
      </c>
      <c r="AL20" s="33">
        <f>AM20-AI20-AJ20-AK20</f>
        <v>-10482</v>
      </c>
      <c r="AM20" s="31">
        <v>-39294</v>
      </c>
      <c r="AN20" s="33">
        <v>-11243</v>
      </c>
      <c r="AO20" s="31">
        <f t="shared" si="2"/>
        <v>0</v>
      </c>
      <c r="AP20" s="265"/>
      <c r="AR20" s="252"/>
    </row>
    <row r="21" spans="1:44" x14ac:dyDescent="0.2">
      <c r="A21" s="70" t="s">
        <v>162</v>
      </c>
      <c r="B21" s="37">
        <v>3.1100171988681816E-2</v>
      </c>
      <c r="C21" s="37">
        <v>4.802819149588454E-2</v>
      </c>
      <c r="D21" s="37">
        <v>6.0324193901314542E-2</v>
      </c>
      <c r="E21" s="37">
        <v>5.343871076035317E-2</v>
      </c>
      <c r="F21" s="37">
        <v>6.1904784491166577E-2</v>
      </c>
      <c r="G21" s="37">
        <v>6.6158085214946455E-2</v>
      </c>
      <c r="H21" s="37">
        <v>6.8161553452380855E-2</v>
      </c>
      <c r="I21" s="37">
        <v>6.2429321977883943E-2</v>
      </c>
      <c r="J21" s="37">
        <v>7.7681443673554507E-2</v>
      </c>
      <c r="K21" s="37">
        <v>7.8805040203941829E-2</v>
      </c>
      <c r="L21" s="37">
        <v>7.2964100538983515E-2</v>
      </c>
      <c r="M21" s="37">
        <v>6.5777624127584436E-2</v>
      </c>
      <c r="N21" s="37">
        <v>7.3036159451721705E-2</v>
      </c>
      <c r="O21" s="37">
        <v>7.6162161170144432E-2</v>
      </c>
      <c r="P21" s="37">
        <v>7.5842279720971656E-2</v>
      </c>
      <c r="Q21" s="37">
        <v>7.8878449360065106E-2</v>
      </c>
      <c r="R21" s="37">
        <v>6.7846701453447594E-2</v>
      </c>
      <c r="S21" s="37">
        <v>7.450744916137568E-2</v>
      </c>
      <c r="T21" s="37">
        <v>8.0335221583661381E-2</v>
      </c>
      <c r="U21" s="37">
        <v>7.1988050994966357E-2</v>
      </c>
      <c r="V21" s="37">
        <v>6.9132025673324937E-2</v>
      </c>
      <c r="W21" s="37">
        <v>6.520764281536362E-2</v>
      </c>
      <c r="X21" s="37">
        <v>7.0954482291889137E-2</v>
      </c>
      <c r="Y21" s="37">
        <v>7.4554527378403179E-2</v>
      </c>
      <c r="Z21" s="37">
        <v>7.1220957141534758E-2</v>
      </c>
      <c r="AA21" s="37">
        <v>6.222533935848152E-2</v>
      </c>
      <c r="AB21" s="37">
        <v>7.2288849413104636E-2</v>
      </c>
      <c r="AC21" s="37">
        <v>7.0004289616869483E-2</v>
      </c>
      <c r="AD21" s="229">
        <v>8.4090478078720068E-2</v>
      </c>
      <c r="AE21" s="229">
        <v>7.8753189435211368E-2</v>
      </c>
      <c r="AF21" s="229">
        <v>7.3523280055594165E-2</v>
      </c>
      <c r="AG21" s="229">
        <v>6.8416006703028442E-2</v>
      </c>
      <c r="AH21" s="37">
        <v>7.6028525327514571E-2</v>
      </c>
      <c r="AI21" s="229">
        <f t="shared" ref="AI21:AN21" si="4">-AI20/AI$8</f>
        <v>8.4008637322758359E-2</v>
      </c>
      <c r="AJ21" s="229">
        <f t="shared" si="4"/>
        <v>7.9030884096945003E-2</v>
      </c>
      <c r="AK21" s="229">
        <f t="shared" si="4"/>
        <v>7.4450623484161788E-2</v>
      </c>
      <c r="AL21" s="229">
        <f t="shared" si="4"/>
        <v>7.7480300991972562E-2</v>
      </c>
      <c r="AM21" s="37">
        <f t="shared" si="4"/>
        <v>7.8701645175633619E-2</v>
      </c>
      <c r="AN21" s="229">
        <f t="shared" si="4"/>
        <v>7.8342972615148776E-2</v>
      </c>
      <c r="AP21" s="260"/>
      <c r="AR21" s="252"/>
    </row>
    <row r="22" spans="1:44" ht="6" customHeight="1" x14ac:dyDescent="0.2">
      <c r="A22" s="7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229"/>
      <c r="AE22" s="229"/>
      <c r="AF22" s="229"/>
      <c r="AG22" s="229"/>
      <c r="AH22" s="37"/>
      <c r="AI22" s="229"/>
      <c r="AJ22" s="229"/>
      <c r="AK22" s="229"/>
      <c r="AL22" s="229"/>
      <c r="AM22" s="37"/>
      <c r="AN22" s="229"/>
      <c r="AO22" s="31">
        <f t="shared" si="2"/>
        <v>0</v>
      </c>
      <c r="AP22" s="260"/>
      <c r="AR22" s="252"/>
    </row>
    <row r="23" spans="1:44" x14ac:dyDescent="0.2">
      <c r="A23" s="71" t="s">
        <v>5</v>
      </c>
      <c r="B23" s="68">
        <v>-3946.1463397419789</v>
      </c>
      <c r="C23" s="68">
        <v>-7098.6840899223926</v>
      </c>
      <c r="D23" s="68">
        <v>-9211.8509999999987</v>
      </c>
      <c r="E23" s="68">
        <v>-2515.29</v>
      </c>
      <c r="F23" s="68">
        <v>-2953.8820000000001</v>
      </c>
      <c r="G23" s="68">
        <v>-2832.08187</v>
      </c>
      <c r="H23" s="68">
        <v>-2854.6790000000001</v>
      </c>
      <c r="I23" s="68">
        <v>-11155.932869999999</v>
      </c>
      <c r="J23" s="68">
        <v>-2430.2344899999998</v>
      </c>
      <c r="K23" s="68">
        <v>-2788.9193099999998</v>
      </c>
      <c r="L23" s="68">
        <v>-2918.00569</v>
      </c>
      <c r="M23" s="68">
        <v>-3268.26323</v>
      </c>
      <c r="N23" s="68">
        <v>-11405.42272</v>
      </c>
      <c r="O23" s="68">
        <v>-3073</v>
      </c>
      <c r="P23" s="68">
        <v>-3857</v>
      </c>
      <c r="Q23" s="68">
        <v>-4218</v>
      </c>
      <c r="R23" s="68">
        <v>-4687</v>
      </c>
      <c r="S23" s="68">
        <v>-15835</v>
      </c>
      <c r="T23" s="68">
        <v>-4852</v>
      </c>
      <c r="U23" s="68">
        <v>-5110</v>
      </c>
      <c r="V23" s="68">
        <v>-6443</v>
      </c>
      <c r="W23" s="68">
        <v>-6589</v>
      </c>
      <c r="X23" s="68">
        <v>-22994</v>
      </c>
      <c r="Y23" s="68">
        <v>-6359</v>
      </c>
      <c r="Z23" s="68">
        <v>-6040</v>
      </c>
      <c r="AA23" s="68">
        <v>-6333</v>
      </c>
      <c r="AB23" s="68">
        <v>-6891</v>
      </c>
      <c r="AC23" s="68">
        <v>-25623</v>
      </c>
      <c r="AD23" s="230">
        <v>-6512</v>
      </c>
      <c r="AE23" s="230">
        <v>-6362</v>
      </c>
      <c r="AF23" s="230">
        <v>-5969</v>
      </c>
      <c r="AG23" s="33">
        <v>-6074</v>
      </c>
      <c r="AH23" s="68">
        <v>-24917</v>
      </c>
      <c r="AI23" s="230">
        <v>-6356</v>
      </c>
      <c r="AJ23" s="230">
        <v>-6679</v>
      </c>
      <c r="AK23" s="230">
        <v>-7014</v>
      </c>
      <c r="AL23" s="230">
        <f>AM23-AI23-AJ23-AK23</f>
        <v>-7979</v>
      </c>
      <c r="AM23" s="68">
        <v>-28028</v>
      </c>
      <c r="AN23" s="230">
        <v>-7053</v>
      </c>
      <c r="AO23" s="31">
        <f t="shared" si="2"/>
        <v>0</v>
      </c>
      <c r="AP23" s="266"/>
      <c r="AR23" s="252"/>
    </row>
    <row r="24" spans="1:44" x14ac:dyDescent="0.2">
      <c r="A24" s="70" t="s">
        <v>162</v>
      </c>
      <c r="B24" s="37">
        <v>7.2833460653383031E-2</v>
      </c>
      <c r="C24" s="37">
        <v>7.1936885496960978E-2</v>
      </c>
      <c r="D24" s="37">
        <v>6.0591314360328385E-2</v>
      </c>
      <c r="E24" s="37">
        <v>5.6610800761643702E-2</v>
      </c>
      <c r="F24" s="37">
        <v>6.2828208882744971E-2</v>
      </c>
      <c r="G24" s="37">
        <v>6.0809650377150047E-2</v>
      </c>
      <c r="H24" s="37">
        <v>6.5332882260706923E-2</v>
      </c>
      <c r="I24" s="37">
        <v>6.13928890341605E-2</v>
      </c>
      <c r="J24" s="37">
        <v>5.9294723250959996E-2</v>
      </c>
      <c r="K24" s="37">
        <v>6.5799239661158498E-2</v>
      </c>
      <c r="L24" s="37">
        <v>6.0557397599068141E-2</v>
      </c>
      <c r="M24" s="37">
        <v>5.498599771106176E-2</v>
      </c>
      <c r="N24" s="37">
        <v>5.9715866841044934E-2</v>
      </c>
      <c r="O24" s="37">
        <v>5.6396703921892492E-2</v>
      </c>
      <c r="P24" s="37">
        <v>6.3605930176948822E-2</v>
      </c>
      <c r="Q24" s="37">
        <v>6.2410298143079086E-2</v>
      </c>
      <c r="R24" s="37">
        <v>6.6918663659997657E-2</v>
      </c>
      <c r="S24" s="37">
        <v>6.2650034912403563E-2</v>
      </c>
      <c r="T24" s="37">
        <v>6.655053698547464E-2</v>
      </c>
      <c r="U24" s="37">
        <v>6.009785011996048E-2</v>
      </c>
      <c r="V24" s="37">
        <v>6.4413252554335873E-2</v>
      </c>
      <c r="W24" s="37">
        <v>6.4232793916942879E-2</v>
      </c>
      <c r="X24" s="37">
        <v>6.3776380494867432E-2</v>
      </c>
      <c r="Y24" s="37">
        <v>6.0788849801162434E-2</v>
      </c>
      <c r="Z24" s="37">
        <v>5.5910395260575764E-2</v>
      </c>
      <c r="AA24" s="37">
        <v>5.6223865623807032E-2</v>
      </c>
      <c r="AB24" s="37">
        <v>5.8570542187619527E-2</v>
      </c>
      <c r="AC24" s="37">
        <v>5.7848870024608853E-2</v>
      </c>
      <c r="AD24" s="37">
        <v>5.6135027498577662E-2</v>
      </c>
      <c r="AE24" s="37">
        <v>5.4841045445141713E-2</v>
      </c>
      <c r="AF24" s="37">
        <v>4.880022891714017E-2</v>
      </c>
      <c r="AG24" s="37">
        <v>4.8935330277225013E-2</v>
      </c>
      <c r="AH24" s="37">
        <v>5.2078369408007488E-2</v>
      </c>
      <c r="AI24" s="37">
        <f t="shared" ref="AI24:AN24" si="5">-AI23/AI$8</f>
        <v>5.2185193395568034E-2</v>
      </c>
      <c r="AJ24" s="37">
        <f t="shared" si="5"/>
        <v>5.5780119928510584E-2</v>
      </c>
      <c r="AK24" s="37">
        <f t="shared" si="5"/>
        <v>5.7277248340233712E-2</v>
      </c>
      <c r="AL24" s="37">
        <f t="shared" si="5"/>
        <v>5.8978756116671346E-2</v>
      </c>
      <c r="AM24" s="37">
        <f t="shared" si="5"/>
        <v>5.6137061917408741E-2</v>
      </c>
      <c r="AN24" s="37">
        <f t="shared" si="5"/>
        <v>4.9146400947669151E-2</v>
      </c>
      <c r="AP24" s="260"/>
      <c r="AR24" s="252"/>
    </row>
    <row r="25" spans="1:44" ht="6" customHeight="1" x14ac:dyDescent="0.2">
      <c r="A25" s="7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1">
        <f t="shared" si="2"/>
        <v>0</v>
      </c>
      <c r="AP25" s="260"/>
      <c r="AR25" s="252"/>
    </row>
    <row r="26" spans="1:44" s="30" customFormat="1" x14ac:dyDescent="0.2">
      <c r="A26" s="72" t="s">
        <v>6</v>
      </c>
      <c r="B26" s="29">
        <v>-18154.808843282037</v>
      </c>
      <c r="C26" s="29">
        <v>-30535.982961483453</v>
      </c>
      <c r="D26" s="29">
        <v>-47106.684999999998</v>
      </c>
      <c r="E26" s="29">
        <v>-13263.623</v>
      </c>
      <c r="F26" s="29">
        <v>-14334.683999999999</v>
      </c>
      <c r="G26" s="29">
        <v>-13262.12505714781</v>
      </c>
      <c r="H26" s="29">
        <v>-12752.471</v>
      </c>
      <c r="I26" s="29">
        <v>-53612.903057147807</v>
      </c>
      <c r="J26" s="29">
        <v>-12347.131659999999</v>
      </c>
      <c r="K26" s="29">
        <v>-13762.86249</v>
      </c>
      <c r="L26" s="29">
        <v>-14203.462109999999</v>
      </c>
      <c r="M26" s="29">
        <v>-16891.392029999995</v>
      </c>
      <c r="N26" s="29">
        <v>-57204.848290000002</v>
      </c>
      <c r="O26" s="29">
        <v>-16528</v>
      </c>
      <c r="P26" s="29">
        <v>-17920</v>
      </c>
      <c r="Q26" s="29">
        <v>-20018</v>
      </c>
      <c r="R26" s="29">
        <v>-20479</v>
      </c>
      <c r="S26" s="29">
        <v>-74945</v>
      </c>
      <c r="T26" s="29">
        <v>-21180</v>
      </c>
      <c r="U26" s="29">
        <v>-23622</v>
      </c>
      <c r="V26" s="29">
        <v>-26611</v>
      </c>
      <c r="W26" s="29">
        <v>-27823</v>
      </c>
      <c r="X26" s="29">
        <v>-99236</v>
      </c>
      <c r="Y26" s="29">
        <v>-27505</v>
      </c>
      <c r="Z26" s="29">
        <v>-27592</v>
      </c>
      <c r="AA26" s="29">
        <v>-27119</v>
      </c>
      <c r="AB26" s="29">
        <v>-31606</v>
      </c>
      <c r="AC26" s="29">
        <v>-113822</v>
      </c>
      <c r="AD26" s="29">
        <v>-30987.8</v>
      </c>
      <c r="AE26" s="29">
        <v>-29251</v>
      </c>
      <c r="AF26" s="29">
        <v>-30753</v>
      </c>
      <c r="AG26" s="29">
        <v>-29098.199999999997</v>
      </c>
      <c r="AH26" s="29">
        <v>-120090</v>
      </c>
      <c r="AI26" s="29">
        <f t="shared" ref="AI26:AN26" si="6">AI17+AI20+AI23</f>
        <v>-31388</v>
      </c>
      <c r="AJ26" s="29">
        <f t="shared" si="6"/>
        <v>-32382</v>
      </c>
      <c r="AK26" s="29">
        <f t="shared" si="6"/>
        <v>-32083</v>
      </c>
      <c r="AL26" s="29">
        <f t="shared" si="6"/>
        <v>-36850</v>
      </c>
      <c r="AM26" s="29">
        <f t="shared" si="6"/>
        <v>-132703</v>
      </c>
      <c r="AN26" s="29">
        <f t="shared" si="6"/>
        <v>-36917</v>
      </c>
      <c r="AO26" s="29">
        <f t="shared" si="2"/>
        <v>0</v>
      </c>
      <c r="AP26" s="267"/>
      <c r="AR26" s="252"/>
    </row>
    <row r="27" spans="1:44" ht="6" customHeight="1" x14ac:dyDescent="0.2">
      <c r="A27" s="7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P27" s="265"/>
      <c r="AR27" s="252"/>
    </row>
    <row r="28" spans="1:44" s="30" customFormat="1" x14ac:dyDescent="0.2">
      <c r="A28" s="69" t="s">
        <v>112</v>
      </c>
      <c r="B28" s="47">
        <v>-2072.6909023723929</v>
      </c>
      <c r="C28" s="47">
        <v>5524.5766901433381</v>
      </c>
      <c r="D28" s="47">
        <v>4813.8619999999937</v>
      </c>
      <c r="E28" s="47">
        <v>2533.744999999999</v>
      </c>
      <c r="F28" s="47">
        <v>2458.1699999999964</v>
      </c>
      <c r="G28" s="47">
        <v>5264.5247036051205</v>
      </c>
      <c r="H28" s="47">
        <v>5408.1440000000021</v>
      </c>
      <c r="I28" s="47">
        <v>15664.583703605138</v>
      </c>
      <c r="J28" s="47">
        <v>4282.9266300000018</v>
      </c>
      <c r="K28" s="47">
        <v>2794.8874299999916</v>
      </c>
      <c r="L28" s="47">
        <v>5179.3402800000058</v>
      </c>
      <c r="M28" s="47">
        <v>12143.762570000006</v>
      </c>
      <c r="N28" s="47">
        <v>24400.916909999964</v>
      </c>
      <c r="O28" s="47">
        <v>6476</v>
      </c>
      <c r="P28" s="47">
        <v>5272</v>
      </c>
      <c r="Q28" s="47">
        <v>6983</v>
      </c>
      <c r="R28" s="47">
        <v>7792.2510099999781</v>
      </c>
      <c r="S28" s="47">
        <v>26523.251009999978</v>
      </c>
      <c r="T28" s="47">
        <v>7508</v>
      </c>
      <c r="U28" s="47">
        <v>9408</v>
      </c>
      <c r="V28" s="47">
        <v>11660</v>
      </c>
      <c r="W28" s="47">
        <v>12742</v>
      </c>
      <c r="X28" s="47">
        <v>41318</v>
      </c>
      <c r="Y28" s="47">
        <v>10431</v>
      </c>
      <c r="Z28" s="47">
        <v>14393</v>
      </c>
      <c r="AA28" s="47">
        <v>16870</v>
      </c>
      <c r="AB28" s="47">
        <v>15538</v>
      </c>
      <c r="AC28" s="47">
        <v>57232</v>
      </c>
      <c r="AD28" s="47">
        <v>12105.2</v>
      </c>
      <c r="AE28" s="47">
        <v>12827</v>
      </c>
      <c r="AF28" s="47">
        <v>19513</v>
      </c>
      <c r="AG28" s="47">
        <v>22974.800000000003</v>
      </c>
      <c r="AH28" s="47">
        <v>67420</v>
      </c>
      <c r="AI28" s="47">
        <f t="shared" ref="AI28:AN28" si="7">AI13+AI26</f>
        <v>15487</v>
      </c>
      <c r="AJ28" s="47">
        <f t="shared" si="7"/>
        <v>6097</v>
      </c>
      <c r="AK28" s="47">
        <f t="shared" si="7"/>
        <v>5391</v>
      </c>
      <c r="AL28" s="47">
        <f t="shared" si="7"/>
        <v>7065</v>
      </c>
      <c r="AM28" s="47">
        <f t="shared" si="7"/>
        <v>34040</v>
      </c>
      <c r="AN28" s="47">
        <f t="shared" si="7"/>
        <v>13468</v>
      </c>
      <c r="AO28" s="29">
        <f t="shared" si="2"/>
        <v>0</v>
      </c>
      <c r="AP28" s="264"/>
      <c r="AR28" s="252"/>
    </row>
    <row r="29" spans="1:44" s="30" customFormat="1" x14ac:dyDescent="0.2">
      <c r="A29" s="70" t="s">
        <v>160</v>
      </c>
      <c r="B29" s="38" t="s">
        <v>96</v>
      </c>
      <c r="C29" s="38" t="s">
        <v>101</v>
      </c>
      <c r="D29" s="37">
        <v>-0.1286459995046072</v>
      </c>
      <c r="E29" s="38" t="s">
        <v>96</v>
      </c>
      <c r="F29" s="37">
        <v>-2.9827389891249001E-2</v>
      </c>
      <c r="G29" s="37">
        <v>1.1416438666183089</v>
      </c>
      <c r="H29" s="37">
        <v>2.72805817202324E-2</v>
      </c>
      <c r="I29" s="37">
        <v>2.2540574913874054</v>
      </c>
      <c r="J29" s="37">
        <v>-0.20805980203189856</v>
      </c>
      <c r="K29" s="37">
        <v>-0.34743513689376682</v>
      </c>
      <c r="L29" s="37">
        <v>0.85314808188894431</v>
      </c>
      <c r="M29" s="37">
        <v>1.3446543214959403</v>
      </c>
      <c r="N29" s="37">
        <v>0.55771244047706126</v>
      </c>
      <c r="O29" s="37">
        <v>-0.46672211658696838</v>
      </c>
      <c r="P29" s="37">
        <v>-0.18591723285979</v>
      </c>
      <c r="Q29" s="37">
        <v>0.32454476479514405</v>
      </c>
      <c r="R29" s="37">
        <v>0.11588873120435039</v>
      </c>
      <c r="S29" s="37">
        <v>8.6977637267812824E-2</v>
      </c>
      <c r="T29" s="37">
        <v>-3.6478677295584072E-2</v>
      </c>
      <c r="U29" s="37">
        <v>0.25306339904102293</v>
      </c>
      <c r="V29" s="37">
        <v>0.2393707482993197</v>
      </c>
      <c r="W29" s="37">
        <v>9.2795883361921128E-2</v>
      </c>
      <c r="X29" s="37">
        <v>0.55780300025898044</v>
      </c>
      <c r="Y29" s="37">
        <v>-0.18136870193062316</v>
      </c>
      <c r="Z29" s="37">
        <v>0.37982935480778446</v>
      </c>
      <c r="AA29" s="37">
        <v>0.17209754741888417</v>
      </c>
      <c r="AB29" s="37">
        <v>-7.8956727919383574E-2</v>
      </c>
      <c r="AC29" s="37">
        <v>0.38515901060070679</v>
      </c>
      <c r="AD29" s="37">
        <v>-0.2209293345346891</v>
      </c>
      <c r="AE29" s="37">
        <v>5.9627267620526725E-2</v>
      </c>
      <c r="AF29" s="37">
        <v>0.5212442504092929</v>
      </c>
      <c r="AG29" s="37">
        <v>0.17740993184031173</v>
      </c>
      <c r="AH29" s="37">
        <v>0.17801230081073499</v>
      </c>
      <c r="AI29" s="37">
        <f>AI28/AG28-1</f>
        <v>-0.32591360969409966</v>
      </c>
      <c r="AJ29" s="37">
        <f>AJ28/AI28-1</f>
        <v>-0.60631497384903466</v>
      </c>
      <c r="AK29" s="37">
        <f>AK28/AJ28-1</f>
        <v>-0.1157946531080859</v>
      </c>
      <c r="AL29" s="37">
        <f>AL28/AK28-1</f>
        <v>0.31051752921535902</v>
      </c>
      <c r="AM29" s="37">
        <f>AM28/AH28-1</f>
        <v>-0.4951053099970335</v>
      </c>
      <c r="AN29" s="37">
        <f>AN28/AL28-1</f>
        <v>0.90629865534324128</v>
      </c>
      <c r="AO29" s="29"/>
      <c r="AP29" s="260"/>
      <c r="AR29" s="252"/>
    </row>
    <row r="30" spans="1:44" x14ac:dyDescent="0.2">
      <c r="A30" s="70" t="s">
        <v>79</v>
      </c>
      <c r="B30" s="38" t="s">
        <v>101</v>
      </c>
      <c r="C30" s="37">
        <v>5.5985142562157017E-2</v>
      </c>
      <c r="D30" s="37">
        <v>3.1663367734588714E-2</v>
      </c>
      <c r="E30" s="37">
        <v>5.7026161347522898E-2</v>
      </c>
      <c r="F30" s="37">
        <v>5.2284559176465746E-2</v>
      </c>
      <c r="G30" s="37">
        <v>0.11303836588173803</v>
      </c>
      <c r="H30" s="37">
        <v>0.12377210719697335</v>
      </c>
      <c r="I30" s="37">
        <v>8.6204718178960263E-2</v>
      </c>
      <c r="J30" s="37">
        <v>0.10449812570556385</v>
      </c>
      <c r="K30" s="37">
        <v>6.594004608635623E-2</v>
      </c>
      <c r="L30" s="37">
        <v>0.10748689411802664</v>
      </c>
      <c r="M30" s="37">
        <v>0.20430940040215115</v>
      </c>
      <c r="N30" s="37">
        <v>0.12775693990208889</v>
      </c>
      <c r="O30" s="37">
        <v>0.11884967608141092</v>
      </c>
      <c r="P30" s="37">
        <v>8.6940747703623075E-2</v>
      </c>
      <c r="Q30" s="37">
        <v>0.1033217429903085</v>
      </c>
      <c r="R30" s="37">
        <v>0.11125389897428326</v>
      </c>
      <c r="S30" s="37">
        <v>0.10493732881382645</v>
      </c>
      <c r="T30" s="37">
        <v>0.10298050941610545</v>
      </c>
      <c r="U30" s="37">
        <v>0.110645904878393</v>
      </c>
      <c r="V30" s="37">
        <v>0.11656969188011117</v>
      </c>
      <c r="W30" s="37">
        <v>0.1242152466367713</v>
      </c>
      <c r="X30" s="37">
        <v>0.11460000388305353</v>
      </c>
      <c r="Y30" s="37">
        <v>9.971512695013765E-2</v>
      </c>
      <c r="Z30" s="37">
        <v>0.13323150976580581</v>
      </c>
      <c r="AA30" s="37">
        <v>0.14977050577508677</v>
      </c>
      <c r="AB30" s="37">
        <v>0.13206633065030216</v>
      </c>
      <c r="AC30" s="37">
        <v>0.12921229088117761</v>
      </c>
      <c r="AD30" s="37">
        <v>0.10434977501163734</v>
      </c>
      <c r="AE30" s="37">
        <v>0.11056996069236605</v>
      </c>
      <c r="AF30" s="37">
        <v>0.15953071986264972</v>
      </c>
      <c r="AG30" s="37">
        <v>0.1850970408385231</v>
      </c>
      <c r="AH30" s="37">
        <v>0.14091277703928504</v>
      </c>
      <c r="AI30" s="37">
        <f t="shared" ref="AI30:AN30" si="8">IF(AI28/AI8&lt;0, "NM",AI28/AI8)</f>
        <v>0.12715419920030871</v>
      </c>
      <c r="AJ30" s="37">
        <f t="shared" si="8"/>
        <v>5.0919507591574938E-2</v>
      </c>
      <c r="AK30" s="37">
        <f t="shared" si="8"/>
        <v>4.4023616453122319E-2</v>
      </c>
      <c r="AL30" s="37">
        <f t="shared" si="8"/>
        <v>5.2222698579306059E-2</v>
      </c>
      <c r="AM30" s="37">
        <f t="shared" si="8"/>
        <v>6.8178449681339862E-2</v>
      </c>
      <c r="AN30" s="37">
        <f t="shared" si="8"/>
        <v>9.3847118667688662E-2</v>
      </c>
      <c r="AP30" s="260"/>
      <c r="AR30" s="252"/>
    </row>
    <row r="31" spans="1:44" s="34" customFormat="1" x14ac:dyDescent="0.2">
      <c r="A31" s="74" t="s">
        <v>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33"/>
      <c r="AP31" s="11"/>
      <c r="AR31" s="252"/>
    </row>
    <row r="32" spans="1:44" x14ac:dyDescent="0.2">
      <c r="A32" s="71" t="s">
        <v>17</v>
      </c>
      <c r="B32" s="67">
        <v>538.62947904507462</v>
      </c>
      <c r="C32" s="67">
        <v>-477.99</v>
      </c>
      <c r="D32" s="67">
        <v>7584.0959999999995</v>
      </c>
      <c r="E32" s="67">
        <v>1614.0809999999999</v>
      </c>
      <c r="F32" s="67">
        <v>-824.57500000000005</v>
      </c>
      <c r="G32" s="67">
        <v>-6636.5337799999998</v>
      </c>
      <c r="H32" s="67">
        <v>-3428.797</v>
      </c>
      <c r="I32" s="67">
        <v>-9275.7247800000005</v>
      </c>
      <c r="J32" s="67">
        <v>-1308.85366</v>
      </c>
      <c r="K32" s="67">
        <v>-1710.4084700000001</v>
      </c>
      <c r="L32" s="67">
        <v>-1995.11276</v>
      </c>
      <c r="M32" s="67">
        <v>-914.53671999999995</v>
      </c>
      <c r="N32" s="67">
        <v>-5928.9116100000001</v>
      </c>
      <c r="O32" s="67">
        <v>606</v>
      </c>
      <c r="P32" s="67">
        <v>903</v>
      </c>
      <c r="Q32" s="67">
        <v>943</v>
      </c>
      <c r="R32" s="67">
        <v>1746.5453700000007</v>
      </c>
      <c r="S32" s="67">
        <v>4198.5453700000007</v>
      </c>
      <c r="T32" s="67">
        <v>1648</v>
      </c>
      <c r="U32" s="67">
        <v>1803</v>
      </c>
      <c r="V32" s="67">
        <v>495</v>
      </c>
      <c r="W32" s="67">
        <v>-573</v>
      </c>
      <c r="X32" s="67">
        <v>3373</v>
      </c>
      <c r="Y32" s="67">
        <v>1058</v>
      </c>
      <c r="Z32" s="67">
        <v>-2080</v>
      </c>
      <c r="AA32" s="67">
        <v>-1345</v>
      </c>
      <c r="AB32" s="67">
        <v>-142</v>
      </c>
      <c r="AC32" s="67">
        <v>-2509</v>
      </c>
      <c r="AD32" s="32">
        <v>-49</v>
      </c>
      <c r="AE32" s="32">
        <v>-569</v>
      </c>
      <c r="AF32" s="32">
        <v>-2508</v>
      </c>
      <c r="AG32" s="33">
        <v>-1864</v>
      </c>
      <c r="AH32" s="67">
        <v>-4990</v>
      </c>
      <c r="AI32" s="32">
        <v>-833</v>
      </c>
      <c r="AJ32" s="32">
        <v>-137</v>
      </c>
      <c r="AK32" s="32">
        <v>642</v>
      </c>
      <c r="AL32" s="32">
        <f t="shared" ref="AL32:AL33" si="9">AM32-AI32-AJ32-AK32</f>
        <v>323</v>
      </c>
      <c r="AM32" s="67">
        <v>-5</v>
      </c>
      <c r="AN32" s="67">
        <v>1134</v>
      </c>
      <c r="AO32" s="31">
        <f t="shared" ref="AO32:AO43" si="10">AM32-AL32-AK32-AJ32-AI32</f>
        <v>0</v>
      </c>
      <c r="AP32" s="268"/>
      <c r="AR32" s="252"/>
    </row>
    <row r="33" spans="1:44" x14ac:dyDescent="0.2">
      <c r="A33" s="71" t="s">
        <v>111</v>
      </c>
      <c r="B33" s="31">
        <v>281.22669005545328</v>
      </c>
      <c r="C33" s="31">
        <v>1309.8949258808564</v>
      </c>
      <c r="D33" s="31">
        <v>4202.8070000000007</v>
      </c>
      <c r="E33" s="31">
        <v>535.70699999999999</v>
      </c>
      <c r="F33" s="31">
        <v>600.71100000000001</v>
      </c>
      <c r="G33" s="31">
        <v>1156.9323900000002</v>
      </c>
      <c r="H33" s="31">
        <v>1114.683</v>
      </c>
      <c r="I33" s="31">
        <v>3408.0333900000001</v>
      </c>
      <c r="J33" s="31">
        <v>311.23834574132491</v>
      </c>
      <c r="K33" s="31">
        <v>276.00009000000017</v>
      </c>
      <c r="L33" s="31">
        <v>268.55739</v>
      </c>
      <c r="M33" s="31">
        <v>167.01093</v>
      </c>
      <c r="N33" s="31">
        <v>1022.806755741325</v>
      </c>
      <c r="O33" s="31">
        <v>418</v>
      </c>
      <c r="P33" s="31">
        <v>314</v>
      </c>
      <c r="Q33" s="31">
        <v>262</v>
      </c>
      <c r="R33" s="31">
        <v>373.09999999999991</v>
      </c>
      <c r="S33" s="31">
        <v>1367.1</v>
      </c>
      <c r="T33" s="31">
        <v>325</v>
      </c>
      <c r="U33" s="31">
        <v>645</v>
      </c>
      <c r="V33" s="31">
        <v>374</v>
      </c>
      <c r="W33" s="33">
        <v>613</v>
      </c>
      <c r="X33" s="31">
        <v>1957</v>
      </c>
      <c r="Y33" s="33">
        <v>447</v>
      </c>
      <c r="Z33" s="33">
        <v>367</v>
      </c>
      <c r="AA33" s="33">
        <v>507</v>
      </c>
      <c r="AB33" s="33">
        <v>676</v>
      </c>
      <c r="AC33" s="31">
        <v>1997</v>
      </c>
      <c r="AD33" s="33">
        <v>702.8</v>
      </c>
      <c r="AE33" s="33">
        <v>593</v>
      </c>
      <c r="AF33" s="33">
        <v>465</v>
      </c>
      <c r="AG33" s="33">
        <v>786.2</v>
      </c>
      <c r="AH33" s="31">
        <v>2547</v>
      </c>
      <c r="AI33" s="33">
        <v>958</v>
      </c>
      <c r="AJ33" s="33">
        <v>858</v>
      </c>
      <c r="AK33" s="33">
        <v>1044</v>
      </c>
      <c r="AL33" s="33">
        <f t="shared" si="9"/>
        <v>743</v>
      </c>
      <c r="AM33" s="31">
        <v>3603</v>
      </c>
      <c r="AN33" s="31">
        <v>1178</v>
      </c>
      <c r="AO33" s="31">
        <f t="shared" si="10"/>
        <v>0</v>
      </c>
      <c r="AP33" s="265"/>
      <c r="AR33" s="252"/>
    </row>
    <row r="34" spans="1:44" hidden="1" outlineLevel="1" x14ac:dyDescent="0.2">
      <c r="A34" s="71" t="s">
        <v>8</v>
      </c>
      <c r="B34" s="68">
        <v>-396.78722999999997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230">
        <v>0</v>
      </c>
      <c r="AF34" s="230">
        <v>0</v>
      </c>
      <c r="AG34" s="230">
        <v>0</v>
      </c>
      <c r="AH34" s="68">
        <v>0</v>
      </c>
      <c r="AI34" s="68">
        <v>0</v>
      </c>
      <c r="AJ34" s="68">
        <v>0</v>
      </c>
      <c r="AK34" s="68">
        <v>0</v>
      </c>
      <c r="AL34" s="68"/>
      <c r="AM34" s="68">
        <v>0</v>
      </c>
      <c r="AN34" s="68">
        <v>0</v>
      </c>
      <c r="AO34" s="31">
        <f t="shared" si="10"/>
        <v>0</v>
      </c>
      <c r="AP34" s="266"/>
      <c r="AR34" s="252"/>
    </row>
    <row r="35" spans="1:44" ht="6" customHeight="1" collapsed="1" x14ac:dyDescent="0.2">
      <c r="A35" s="7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>
        <f t="shared" si="10"/>
        <v>0</v>
      </c>
      <c r="AP35" s="265"/>
      <c r="AR35" s="252"/>
    </row>
    <row r="36" spans="1:44" x14ac:dyDescent="0.2">
      <c r="A36" s="75" t="s">
        <v>113</v>
      </c>
      <c r="B36" s="47">
        <v>-1649.6219632718648</v>
      </c>
      <c r="C36" s="47">
        <v>6356.4816160241944</v>
      </c>
      <c r="D36" s="47">
        <v>16600.764999999992</v>
      </c>
      <c r="E36" s="47">
        <v>4683.5329999999985</v>
      </c>
      <c r="F36" s="47">
        <v>2234.3059999999969</v>
      </c>
      <c r="G36" s="47">
        <v>-215.07668639487929</v>
      </c>
      <c r="H36" s="47">
        <v>3094.030000000002</v>
      </c>
      <c r="I36" s="47">
        <v>9796.892313605138</v>
      </c>
      <c r="J36" s="47">
        <v>3285.3113157413272</v>
      </c>
      <c r="K36" s="47">
        <v>1360.4790499999915</v>
      </c>
      <c r="L36" s="47">
        <v>3452.7849100000058</v>
      </c>
      <c r="M36" s="47">
        <v>11396.236780000007</v>
      </c>
      <c r="N36" s="47">
        <v>19494.812055741288</v>
      </c>
      <c r="O36" s="47">
        <v>7500</v>
      </c>
      <c r="P36" s="47">
        <v>6489</v>
      </c>
      <c r="Q36" s="47">
        <v>8188</v>
      </c>
      <c r="R36" s="47">
        <v>9911.8963799999801</v>
      </c>
      <c r="S36" s="47">
        <v>32088.896379999976</v>
      </c>
      <c r="T36" s="47">
        <v>9481</v>
      </c>
      <c r="U36" s="47">
        <v>11856</v>
      </c>
      <c r="V36" s="47">
        <v>12529</v>
      </c>
      <c r="W36" s="47">
        <v>12782</v>
      </c>
      <c r="X36" s="47">
        <v>46648</v>
      </c>
      <c r="Y36" s="47">
        <v>11936</v>
      </c>
      <c r="Z36" s="47">
        <v>12680</v>
      </c>
      <c r="AA36" s="47">
        <v>16032</v>
      </c>
      <c r="AB36" s="47">
        <v>16072</v>
      </c>
      <c r="AC36" s="47">
        <v>56720</v>
      </c>
      <c r="AD36" s="47">
        <v>12759</v>
      </c>
      <c r="AE36" s="47">
        <v>12851</v>
      </c>
      <c r="AF36" s="47">
        <v>17470</v>
      </c>
      <c r="AG36" s="47">
        <v>21897.000000000004</v>
      </c>
      <c r="AH36" s="47">
        <v>64977</v>
      </c>
      <c r="AI36" s="47">
        <f t="shared" ref="AI36:AN36" si="11">AI28+AI33+AI32+AI34</f>
        <v>15612</v>
      </c>
      <c r="AJ36" s="47">
        <f t="shared" si="11"/>
        <v>6818</v>
      </c>
      <c r="AK36" s="47">
        <f t="shared" si="11"/>
        <v>7077</v>
      </c>
      <c r="AL36" s="47">
        <f t="shared" si="11"/>
        <v>8131</v>
      </c>
      <c r="AM36" s="47">
        <f t="shared" si="11"/>
        <v>37638</v>
      </c>
      <c r="AN36" s="47">
        <f t="shared" si="11"/>
        <v>15780</v>
      </c>
      <c r="AO36" s="31">
        <f t="shared" si="10"/>
        <v>0</v>
      </c>
      <c r="AP36" s="264"/>
      <c r="AR36" s="252"/>
    </row>
    <row r="37" spans="1:44" ht="6" customHeight="1" x14ac:dyDescent="0.2">
      <c r="A37" s="74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>
        <f t="shared" si="10"/>
        <v>0</v>
      </c>
      <c r="AP37" s="265"/>
      <c r="AR37" s="252"/>
    </row>
    <row r="38" spans="1:44" x14ac:dyDescent="0.2">
      <c r="A38" s="71" t="s">
        <v>71</v>
      </c>
      <c r="B38" s="67">
        <v>2964.7207772474317</v>
      </c>
      <c r="C38" s="67">
        <v>360.74762727539985</v>
      </c>
      <c r="D38" s="67">
        <v>973.78805836343827</v>
      </c>
      <c r="E38" s="67">
        <v>31.47922999999998</v>
      </c>
      <c r="F38" s="67">
        <v>362.70977999999991</v>
      </c>
      <c r="G38" s="67">
        <v>589.30851765279431</v>
      </c>
      <c r="H38" s="67">
        <v>356.24299999999999</v>
      </c>
      <c r="I38" s="67">
        <v>1339.7405276527941</v>
      </c>
      <c r="J38" s="67">
        <v>-262.82499999999999</v>
      </c>
      <c r="K38" s="67">
        <v>-108.83901</v>
      </c>
      <c r="L38" s="67">
        <v>540.97207000000003</v>
      </c>
      <c r="M38" s="67">
        <v>-3872.4346</v>
      </c>
      <c r="N38" s="67">
        <v>-3703.1265400000002</v>
      </c>
      <c r="O38" s="67">
        <v>-1877</v>
      </c>
      <c r="P38" s="67">
        <v>-1620</v>
      </c>
      <c r="Q38" s="67">
        <v>-384</v>
      </c>
      <c r="R38" s="67">
        <v>-1616.3021099999996</v>
      </c>
      <c r="S38" s="67">
        <v>-5497.3021099999996</v>
      </c>
      <c r="T38" s="67">
        <v>-1120</v>
      </c>
      <c r="U38" s="67">
        <v>-3381</v>
      </c>
      <c r="V38" s="67">
        <v>-4138</v>
      </c>
      <c r="W38" s="67">
        <v>-3229</v>
      </c>
      <c r="X38" s="67">
        <v>-11868</v>
      </c>
      <c r="Y38" s="67">
        <v>-3020</v>
      </c>
      <c r="Z38" s="67">
        <v>-3626</v>
      </c>
      <c r="AA38" s="67">
        <v>-4329</v>
      </c>
      <c r="AB38" s="67">
        <v>-3909</v>
      </c>
      <c r="AC38" s="67">
        <v>-14884</v>
      </c>
      <c r="AD38" s="32">
        <v>-2997</v>
      </c>
      <c r="AE38" s="32">
        <v>-3615</v>
      </c>
      <c r="AF38" s="32">
        <v>-4230</v>
      </c>
      <c r="AG38" s="33">
        <v>-6038</v>
      </c>
      <c r="AH38" s="67">
        <v>-16880</v>
      </c>
      <c r="AI38" s="32">
        <v>-4465</v>
      </c>
      <c r="AJ38" s="32">
        <v>944</v>
      </c>
      <c r="AK38" s="32">
        <v>-1002</v>
      </c>
      <c r="AL38" s="32">
        <f t="shared" ref="AL38" si="12">AM38-AI38-AJ38-AK38</f>
        <v>-670</v>
      </c>
      <c r="AM38" s="67">
        <v>-5193</v>
      </c>
      <c r="AN38" s="32">
        <f>-4869-1285-59</f>
        <v>-6213</v>
      </c>
      <c r="AO38" s="31">
        <f t="shared" si="10"/>
        <v>0</v>
      </c>
      <c r="AP38" s="268"/>
      <c r="AR38" s="252"/>
    </row>
    <row r="39" spans="1:44" outlineLevel="1" x14ac:dyDescent="0.2">
      <c r="A39" s="76" t="s">
        <v>9</v>
      </c>
      <c r="B39" s="68">
        <v>-249.43782000000002</v>
      </c>
      <c r="C39" s="68">
        <v>-617.32899999999995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/>
      <c r="AM39" s="68">
        <v>0</v>
      </c>
      <c r="AN39" s="68">
        <v>0</v>
      </c>
      <c r="AO39" s="31">
        <f t="shared" si="10"/>
        <v>0</v>
      </c>
      <c r="AP39" s="266"/>
      <c r="AR39" s="252"/>
    </row>
    <row r="40" spans="1:44" x14ac:dyDescent="0.2">
      <c r="A40" s="74" t="s">
        <v>112</v>
      </c>
      <c r="B40" s="68">
        <v>1065.6609939755667</v>
      </c>
      <c r="C40" s="68">
        <v>6099.9002432995949</v>
      </c>
      <c r="D40" s="68">
        <v>17574.553058363432</v>
      </c>
      <c r="E40" s="68">
        <v>4715.0122299999985</v>
      </c>
      <c r="F40" s="68">
        <v>2597.015779999997</v>
      </c>
      <c r="G40" s="68">
        <v>374.23183125791502</v>
      </c>
      <c r="H40" s="68">
        <v>3450.273000000002</v>
      </c>
      <c r="I40" s="68">
        <v>11136.632841257931</v>
      </c>
      <c r="J40" s="68">
        <v>3022.4863157413274</v>
      </c>
      <c r="K40" s="68">
        <v>1251.6400399999916</v>
      </c>
      <c r="L40" s="68">
        <v>3993.7569800000056</v>
      </c>
      <c r="M40" s="68">
        <v>7523.802180000006</v>
      </c>
      <c r="N40" s="68">
        <v>15791.68551574133</v>
      </c>
      <c r="O40" s="68">
        <v>5623</v>
      </c>
      <c r="P40" s="68">
        <v>4869</v>
      </c>
      <c r="Q40" s="68">
        <v>7804</v>
      </c>
      <c r="R40" s="68">
        <v>8295.5942699999796</v>
      </c>
      <c r="S40" s="68">
        <v>26591.594269999976</v>
      </c>
      <c r="T40" s="68">
        <v>8361</v>
      </c>
      <c r="U40" s="68">
        <v>8475</v>
      </c>
      <c r="V40" s="68">
        <v>8391</v>
      </c>
      <c r="W40" s="68">
        <v>9553</v>
      </c>
      <c r="X40" s="68">
        <v>34780</v>
      </c>
      <c r="Y40" s="68">
        <v>8916</v>
      </c>
      <c r="Z40" s="68">
        <v>9054</v>
      </c>
      <c r="AA40" s="68">
        <v>11703</v>
      </c>
      <c r="AB40" s="68">
        <v>12163</v>
      </c>
      <c r="AC40" s="68">
        <v>41836</v>
      </c>
      <c r="AD40" s="68">
        <v>9762</v>
      </c>
      <c r="AE40" s="68">
        <v>9236</v>
      </c>
      <c r="AF40" s="68">
        <v>13240</v>
      </c>
      <c r="AG40" s="68">
        <v>15859.000000000004</v>
      </c>
      <c r="AH40" s="68">
        <v>48097</v>
      </c>
      <c r="AI40" s="68">
        <f t="shared" ref="AI40:AN40" si="13">AI36+AI38+AI39</f>
        <v>11147</v>
      </c>
      <c r="AJ40" s="68">
        <f t="shared" si="13"/>
        <v>7762</v>
      </c>
      <c r="AK40" s="68">
        <f t="shared" si="13"/>
        <v>6075</v>
      </c>
      <c r="AL40" s="68">
        <f t="shared" si="13"/>
        <v>7461</v>
      </c>
      <c r="AM40" s="68">
        <f t="shared" si="13"/>
        <v>32445</v>
      </c>
      <c r="AN40" s="68">
        <f t="shared" si="13"/>
        <v>9567</v>
      </c>
      <c r="AO40" s="31">
        <f t="shared" si="10"/>
        <v>0</v>
      </c>
      <c r="AP40" s="266"/>
      <c r="AR40" s="252"/>
    </row>
    <row r="41" spans="1:44" x14ac:dyDescent="0.2">
      <c r="A41" s="74" t="s">
        <v>114</v>
      </c>
      <c r="B41" s="68">
        <v>5744.449514890669</v>
      </c>
      <c r="C41" s="68">
        <v>7340.5655983197958</v>
      </c>
      <c r="D41" s="68">
        <v>9469.0329416365639</v>
      </c>
      <c r="E41" s="68">
        <v>2084.7997700000001</v>
      </c>
      <c r="F41" s="68">
        <v>2667.0562200000004</v>
      </c>
      <c r="G41" s="68">
        <v>-1449.4944212579301</v>
      </c>
      <c r="H41" s="68">
        <v>-31.228000000000002</v>
      </c>
      <c r="I41" s="68">
        <v>3271.0335687420747</v>
      </c>
      <c r="J41" s="68">
        <v>-139.08529574132493</v>
      </c>
      <c r="K41" s="68">
        <v>0</v>
      </c>
      <c r="L41" s="68">
        <v>0</v>
      </c>
      <c r="M41" s="68">
        <v>0</v>
      </c>
      <c r="N41" s="68">
        <v>-139.08529574132493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31">
        <f t="shared" si="10"/>
        <v>0</v>
      </c>
      <c r="AP41" s="266"/>
      <c r="AR41" s="252"/>
    </row>
    <row r="42" spans="1:44" ht="6" customHeight="1" x14ac:dyDescent="0.2">
      <c r="A42" s="7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>
        <f t="shared" si="10"/>
        <v>0</v>
      </c>
      <c r="AP42" s="265"/>
      <c r="AR42" s="252"/>
    </row>
    <row r="43" spans="1:44" x14ac:dyDescent="0.2">
      <c r="A43" s="75" t="s">
        <v>115</v>
      </c>
      <c r="B43" s="47">
        <v>6810.1105088662353</v>
      </c>
      <c r="C43" s="47">
        <v>13440.465841619391</v>
      </c>
      <c r="D43" s="47">
        <v>27043.585999999996</v>
      </c>
      <c r="E43" s="47">
        <v>6799.8119999999981</v>
      </c>
      <c r="F43" s="47">
        <v>5264.0719999999974</v>
      </c>
      <c r="G43" s="47">
        <v>-1075.2625900000151</v>
      </c>
      <c r="H43" s="47">
        <v>3419.0450000000019</v>
      </c>
      <c r="I43" s="47">
        <v>14407.666410000005</v>
      </c>
      <c r="J43" s="47">
        <v>2883.4010200000025</v>
      </c>
      <c r="K43" s="47">
        <v>1251.6400399999916</v>
      </c>
      <c r="L43" s="47">
        <v>3993.7569800000056</v>
      </c>
      <c r="M43" s="47">
        <v>7523.802180000006</v>
      </c>
      <c r="N43" s="47">
        <v>15652.600220000006</v>
      </c>
      <c r="O43" s="47">
        <v>5623</v>
      </c>
      <c r="P43" s="47">
        <v>4869</v>
      </c>
      <c r="Q43" s="47">
        <v>7804</v>
      </c>
      <c r="R43" s="47">
        <v>8295.5942699999796</v>
      </c>
      <c r="S43" s="47">
        <v>26591.594269999976</v>
      </c>
      <c r="T43" s="47">
        <v>8361</v>
      </c>
      <c r="U43" s="47">
        <v>8475</v>
      </c>
      <c r="V43" s="47">
        <v>8391</v>
      </c>
      <c r="W43" s="47">
        <v>9553</v>
      </c>
      <c r="X43" s="47">
        <v>34780</v>
      </c>
      <c r="Y43" s="47">
        <v>8916</v>
      </c>
      <c r="Z43" s="47">
        <v>9054</v>
      </c>
      <c r="AA43" s="47">
        <v>11703</v>
      </c>
      <c r="AB43" s="47">
        <v>12163</v>
      </c>
      <c r="AC43" s="47">
        <v>41836</v>
      </c>
      <c r="AD43" s="47">
        <v>9762</v>
      </c>
      <c r="AE43" s="47">
        <v>9236</v>
      </c>
      <c r="AF43" s="47">
        <v>13240</v>
      </c>
      <c r="AG43" s="47">
        <v>15859.000000000004</v>
      </c>
      <c r="AH43" s="47">
        <v>48097</v>
      </c>
      <c r="AI43" s="47">
        <f t="shared" ref="AI43:AN43" si="14">AI40+AI41</f>
        <v>11147</v>
      </c>
      <c r="AJ43" s="47">
        <f t="shared" si="14"/>
        <v>7762</v>
      </c>
      <c r="AK43" s="47">
        <f t="shared" si="14"/>
        <v>6075</v>
      </c>
      <c r="AL43" s="47">
        <f t="shared" si="14"/>
        <v>7461</v>
      </c>
      <c r="AM43" s="47">
        <f t="shared" si="14"/>
        <v>32445</v>
      </c>
      <c r="AN43" s="47">
        <f t="shared" si="14"/>
        <v>9567</v>
      </c>
      <c r="AO43" s="31">
        <f t="shared" si="10"/>
        <v>0</v>
      </c>
      <c r="AP43" s="264"/>
      <c r="AR43" s="252"/>
    </row>
    <row r="44" spans="1:44" s="30" customFormat="1" x14ac:dyDescent="0.2">
      <c r="A44" s="70" t="s">
        <v>162</v>
      </c>
      <c r="B44" s="38">
        <v>0.12569323919830372</v>
      </c>
      <c r="C44" s="38">
        <v>0.13620344841757281</v>
      </c>
      <c r="D44" s="38">
        <v>0.17788025672110586</v>
      </c>
      <c r="E44" s="38">
        <v>0.1530411214407221</v>
      </c>
      <c r="F44" s="38">
        <v>0.11196527660543276</v>
      </c>
      <c r="G44" s="38">
        <v>-2.3087730215062514E-2</v>
      </c>
      <c r="H44" s="38">
        <v>7.8249100662126564E-2</v>
      </c>
      <c r="I44" s="38">
        <v>7.9287700585664422E-2</v>
      </c>
      <c r="J44" s="38">
        <v>7.035142748814989E-2</v>
      </c>
      <c r="K44" s="38">
        <v>2.9530063012637487E-2</v>
      </c>
      <c r="L44" s="38">
        <v>8.2882473526607131E-2</v>
      </c>
      <c r="M44" s="38">
        <v>0.12658214480721672</v>
      </c>
      <c r="N44" s="38">
        <v>8.1952998446482031E-2</v>
      </c>
      <c r="O44" s="38">
        <v>0.10319514030354751</v>
      </c>
      <c r="P44" s="38">
        <v>8.0294859743729283E-2</v>
      </c>
      <c r="Q44" s="38">
        <v>0.11546940889250573</v>
      </c>
      <c r="R44" s="38">
        <v>0.118440384641334</v>
      </c>
      <c r="S44" s="38">
        <v>0.10520772399065166</v>
      </c>
      <c r="T44" s="38">
        <v>0.11468034619446692</v>
      </c>
      <c r="U44" s="38">
        <v>9.967304887801666E-2</v>
      </c>
      <c r="V44" s="38">
        <v>8.3888189070841584E-2</v>
      </c>
      <c r="W44" s="38">
        <v>9.3127315266133756E-2</v>
      </c>
      <c r="X44" s="38">
        <v>9.6466143933699636E-2</v>
      </c>
      <c r="Y44" s="38">
        <v>8.5232486999082285E-2</v>
      </c>
      <c r="Z44" s="38">
        <v>8.3810052763121354E-2</v>
      </c>
      <c r="AA44" s="38">
        <v>0.10389829455162067</v>
      </c>
      <c r="AB44" s="38">
        <v>0.10338027929589556</v>
      </c>
      <c r="AC44" s="38">
        <v>9.4452848079832022E-2</v>
      </c>
      <c r="AD44" s="38">
        <v>8.4150819785183531E-2</v>
      </c>
      <c r="AE44" s="38">
        <v>7.9615198951796431E-2</v>
      </c>
      <c r="AF44" s="38">
        <v>0.10824510485222581</v>
      </c>
      <c r="AG44" s="38">
        <v>0.12776842325757518</v>
      </c>
      <c r="AH44" s="38">
        <v>0.10052628058823038</v>
      </c>
      <c r="AI44" s="38">
        <f t="shared" ref="AI44:AN44" si="15">AI43/AI8</f>
        <v>9.1521137630647717E-2</v>
      </c>
      <c r="AJ44" s="38">
        <f t="shared" si="15"/>
        <v>6.4824867627653715E-2</v>
      </c>
      <c r="AK44" s="38">
        <f t="shared" si="15"/>
        <v>4.9609250594086086E-2</v>
      </c>
      <c r="AL44" s="38">
        <f t="shared" si="15"/>
        <v>5.5149830728974177E-2</v>
      </c>
      <c r="AM44" s="38">
        <f t="shared" si="15"/>
        <v>6.498383666013724E-2</v>
      </c>
      <c r="AN44" s="38">
        <f t="shared" si="15"/>
        <v>6.6664343948156929E-2</v>
      </c>
      <c r="AO44" s="29"/>
      <c r="AP44" s="261"/>
      <c r="AR44" s="252"/>
    </row>
    <row r="45" spans="1:44" s="30" customFormat="1" x14ac:dyDescent="0.2">
      <c r="A45" s="70" t="s">
        <v>160</v>
      </c>
      <c r="B45" s="38" t="s">
        <v>96</v>
      </c>
      <c r="C45" s="38" t="s">
        <v>96</v>
      </c>
      <c r="D45" s="38" t="s">
        <v>96</v>
      </c>
      <c r="E45" s="38" t="s">
        <v>96</v>
      </c>
      <c r="F45" s="37">
        <v>-0.22585036174529549</v>
      </c>
      <c r="G45" s="37">
        <v>-1.2042644154563265</v>
      </c>
      <c r="H45" s="37">
        <v>-0.74561558800940686</v>
      </c>
      <c r="I45" s="38" t="s">
        <v>96</v>
      </c>
      <c r="J45" s="37">
        <v>-0.15666479382400611</v>
      </c>
      <c r="K45" s="37">
        <v>-0.56591537863852515</v>
      </c>
      <c r="L45" s="37">
        <v>2.190819127198929</v>
      </c>
      <c r="M45" s="37">
        <v>0.88389083704336846</v>
      </c>
      <c r="N45" s="38" t="s">
        <v>96</v>
      </c>
      <c r="O45" s="37">
        <v>-0.25263851102475487</v>
      </c>
      <c r="P45" s="37">
        <v>-0.13409212164325091</v>
      </c>
      <c r="Q45" s="37">
        <v>0.60279318135140691</v>
      </c>
      <c r="R45" s="37">
        <v>6.2992602511529938E-2</v>
      </c>
      <c r="S45" s="38" t="s">
        <v>96</v>
      </c>
      <c r="T45" s="37">
        <v>7.8843935553301048E-3</v>
      </c>
      <c r="U45" s="37">
        <v>1.3634732687477502E-2</v>
      </c>
      <c r="V45" s="37">
        <v>-9.9115044247787276E-3</v>
      </c>
      <c r="W45" s="37">
        <v>0.13848170659039449</v>
      </c>
      <c r="X45" s="38" t="s">
        <v>96</v>
      </c>
      <c r="Y45" s="37">
        <v>-6.6680623887783952E-2</v>
      </c>
      <c r="Z45" s="37">
        <v>1.5477792732166984E-2</v>
      </c>
      <c r="AA45" s="37">
        <v>0.29257786613651415</v>
      </c>
      <c r="AB45" s="37">
        <v>3.9306160813466606E-2</v>
      </c>
      <c r="AC45" s="38" t="s">
        <v>96</v>
      </c>
      <c r="AD45" s="37">
        <v>-0.19740195675409022</v>
      </c>
      <c r="AE45" s="37">
        <v>-5.3882401147305914E-2</v>
      </c>
      <c r="AF45" s="37">
        <v>0.43352100476396704</v>
      </c>
      <c r="AG45" s="37">
        <v>0.19780966767371622</v>
      </c>
      <c r="AH45" s="38" t="s">
        <v>96</v>
      </c>
      <c r="AI45" s="37">
        <f>AI43/AG43-1</f>
        <v>-0.29711835550791366</v>
      </c>
      <c r="AJ45" s="37">
        <f>AJ43/AI43-1</f>
        <v>-0.30366914864986094</v>
      </c>
      <c r="AK45" s="37">
        <f>AK43/AJ43-1</f>
        <v>-0.21734089152280345</v>
      </c>
      <c r="AL45" s="37">
        <f>AL43/AK43-1</f>
        <v>0.22814814814814821</v>
      </c>
      <c r="AM45" s="38" t="s">
        <v>96</v>
      </c>
      <c r="AN45" s="37">
        <f>AN43/AL43-1</f>
        <v>0.28226779252110967</v>
      </c>
      <c r="AO45" s="29"/>
      <c r="AP45" s="260"/>
      <c r="AR45" s="252"/>
    </row>
    <row r="46" spans="1:44" s="30" customFormat="1" ht="13.5" thickBot="1" x14ac:dyDescent="0.25">
      <c r="A46" s="160" t="s">
        <v>161</v>
      </c>
      <c r="B46" s="103" t="s">
        <v>96</v>
      </c>
      <c r="C46" s="103" t="s">
        <v>101</v>
      </c>
      <c r="D46" s="104">
        <v>1.0121018362516532</v>
      </c>
      <c r="E46" s="103" t="s">
        <v>96</v>
      </c>
      <c r="F46" s="103" t="s">
        <v>96</v>
      </c>
      <c r="G46" s="103" t="s">
        <v>96</v>
      </c>
      <c r="H46" s="103" t="s">
        <v>96</v>
      </c>
      <c r="I46" s="104">
        <v>-0.46724275360523537</v>
      </c>
      <c r="J46" s="104">
        <v>-0.57595871474093641</v>
      </c>
      <c r="K46" s="104">
        <v>-0.76222968834772931</v>
      </c>
      <c r="L46" s="104">
        <v>-4.7142155015361871</v>
      </c>
      <c r="M46" s="104">
        <v>1.200556640816369</v>
      </c>
      <c r="N46" s="104">
        <v>8.6407734227933242E-2</v>
      </c>
      <c r="O46" s="104">
        <v>0.95012763087667729</v>
      </c>
      <c r="P46" s="104">
        <v>2.8900960694738025</v>
      </c>
      <c r="Q46" s="104">
        <v>0.95404979298464698</v>
      </c>
      <c r="R46" s="104">
        <v>0.10258006145504117</v>
      </c>
      <c r="S46" s="104">
        <v>0.69886114104049901</v>
      </c>
      <c r="T46" s="104">
        <v>0.48692868575493509</v>
      </c>
      <c r="U46" s="104">
        <v>0.74060382008625991</v>
      </c>
      <c r="V46" s="104">
        <v>7.521783700666318E-2</v>
      </c>
      <c r="W46" s="104">
        <v>0.1515751239844596</v>
      </c>
      <c r="X46" s="104">
        <v>0.3079321099313701</v>
      </c>
      <c r="Y46" s="104">
        <v>6.6379619662719769E-2</v>
      </c>
      <c r="Z46" s="104">
        <v>6.8318584070796495E-2</v>
      </c>
      <c r="AA46" s="104">
        <v>0.39470861637468713</v>
      </c>
      <c r="AB46" s="104">
        <v>0.27321260337066899</v>
      </c>
      <c r="AC46" s="104">
        <v>0.20287521564117306</v>
      </c>
      <c r="AD46" s="104">
        <v>9.4885598923283965E-2</v>
      </c>
      <c r="AE46" s="104">
        <v>2.010161254694065E-2</v>
      </c>
      <c r="AF46" s="104">
        <v>0.1313338460223874</v>
      </c>
      <c r="AG46" s="104">
        <v>0.30387239990134041</v>
      </c>
      <c r="AH46" s="104">
        <v>0.14965579883354052</v>
      </c>
      <c r="AI46" s="104">
        <f t="shared" ref="AI46:AN46" si="16">AI43/AD43-1</f>
        <v>0.14187666461790616</v>
      </c>
      <c r="AJ46" s="104">
        <f t="shared" si="16"/>
        <v>-0.15959289735816373</v>
      </c>
      <c r="AK46" s="104">
        <f t="shared" si="16"/>
        <v>-0.54116314199395776</v>
      </c>
      <c r="AL46" s="104">
        <f t="shared" si="16"/>
        <v>-0.52954158521974914</v>
      </c>
      <c r="AM46" s="104">
        <f t="shared" si="16"/>
        <v>-0.32542570222675016</v>
      </c>
      <c r="AN46" s="104">
        <f t="shared" si="16"/>
        <v>-0.14174217278191437</v>
      </c>
      <c r="AO46" s="29"/>
      <c r="AP46" s="260"/>
      <c r="AR46" s="252"/>
    </row>
    <row r="47" spans="1:44" s="30" customFormat="1" x14ac:dyDescent="0.2">
      <c r="A47" s="71" t="s">
        <v>186</v>
      </c>
      <c r="B47" s="38"/>
      <c r="C47" s="37"/>
      <c r="D47" s="37"/>
      <c r="E47" s="37"/>
      <c r="F47" s="37"/>
      <c r="G47" s="37"/>
      <c r="H47" s="3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29"/>
      <c r="AP47" s="260"/>
      <c r="AR47" s="252"/>
    </row>
    <row r="48" spans="1:44" s="30" customFormat="1" x14ac:dyDescent="0.2">
      <c r="A48" s="127" t="s">
        <v>119</v>
      </c>
      <c r="B48" s="4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29"/>
      <c r="AP48" s="260"/>
      <c r="AR48" s="252"/>
    </row>
    <row r="49" spans="1:44" x14ac:dyDescent="0.2">
      <c r="A49" s="128" t="s">
        <v>117</v>
      </c>
      <c r="B49" s="35">
        <v>5.0327449444284175E-2</v>
      </c>
      <c r="C49" s="35">
        <v>0.26679602153015775</v>
      </c>
      <c r="D49" s="78">
        <v>0.61708330375636888</v>
      </c>
      <c r="E49" s="35">
        <v>0.16396006555186399</v>
      </c>
      <c r="F49" s="35">
        <v>9.017569326700349E-2</v>
      </c>
      <c r="G49" s="35">
        <v>1.2976844532333293E-2</v>
      </c>
      <c r="H49" s="35">
        <v>0.11963611031157748</v>
      </c>
      <c r="I49" s="35">
        <v>0.38654046647597312</v>
      </c>
      <c r="J49" s="35">
        <v>0.10479029258671919</v>
      </c>
      <c r="K49" s="35">
        <v>4.330027635735214E-2</v>
      </c>
      <c r="L49" s="35">
        <v>0.14000000000000001</v>
      </c>
      <c r="M49" s="35">
        <v>0.25904532951094872</v>
      </c>
      <c r="N49" s="35">
        <v>0.54713589845502009</v>
      </c>
      <c r="O49" s="35">
        <v>0.19303958245225908</v>
      </c>
      <c r="P49" s="35">
        <v>0.16656511064042145</v>
      </c>
      <c r="Q49" s="35">
        <v>0.26632210874146012</v>
      </c>
      <c r="R49" s="35">
        <v>0.2816026638245277</v>
      </c>
      <c r="S49" s="35">
        <v>0.90814054544723299</v>
      </c>
      <c r="T49" s="35">
        <v>0.28227341203228146</v>
      </c>
      <c r="U49" s="35">
        <v>0.2838263108899115</v>
      </c>
      <c r="V49" s="35">
        <v>0.27699364284569755</v>
      </c>
      <c r="W49" s="35">
        <v>0.30553777787280406</v>
      </c>
      <c r="X49" s="35">
        <v>1.149189617511333</v>
      </c>
      <c r="Y49" s="35">
        <v>0.28353735556958187</v>
      </c>
      <c r="Z49" s="35">
        <v>0.28319519878104077</v>
      </c>
      <c r="AA49" s="35">
        <v>0.36396714341035052</v>
      </c>
      <c r="AB49" s="35">
        <v>0.37659361601887509</v>
      </c>
      <c r="AC49" s="35">
        <v>1.308667881516506</v>
      </c>
      <c r="AD49" s="35">
        <v>0.3001708307805212</v>
      </c>
      <c r="AE49" s="35">
        <v>0.2817674814999741</v>
      </c>
      <c r="AF49" s="35">
        <v>0.40234256573192223</v>
      </c>
      <c r="AG49" s="35">
        <v>0.48367584332249958</v>
      </c>
      <c r="AH49" s="35">
        <v>1.468602703647613</v>
      </c>
      <c r="AI49" s="35">
        <f>AI40/AI57</f>
        <v>0.34273689183817058</v>
      </c>
      <c r="AJ49" s="35">
        <f>AJ40/AJ57</f>
        <v>0.23655867986079374</v>
      </c>
      <c r="AK49" s="35">
        <f>AK40/AK57</f>
        <v>0.18470392914247283</v>
      </c>
      <c r="AL49" s="35">
        <v>0.22581134155108998</v>
      </c>
      <c r="AM49" s="35">
        <f>SUM(AI49:AL49)</f>
        <v>0.98981084239252703</v>
      </c>
      <c r="AN49" s="35">
        <f>AN40/AN57</f>
        <v>0.28784827914663724</v>
      </c>
      <c r="AO49" s="31">
        <f t="shared" ref="AO49:AO56" si="17">AM49-AL49-AK49-AJ49-AI49</f>
        <v>0</v>
      </c>
      <c r="AP49" s="269"/>
      <c r="AQ49" s="253"/>
      <c r="AR49" s="252"/>
    </row>
    <row r="50" spans="1:44" x14ac:dyDescent="0.2">
      <c r="A50" s="128" t="s">
        <v>118</v>
      </c>
      <c r="B50" s="36">
        <v>0.27129030168155982</v>
      </c>
      <c r="C50" s="36">
        <v>0.32105990233269643</v>
      </c>
      <c r="D50" s="79">
        <v>0.33247971114603664</v>
      </c>
      <c r="E50" s="36">
        <v>7.2496929016812109E-2</v>
      </c>
      <c r="F50" s="36">
        <v>9.2607694367022222E-2</v>
      </c>
      <c r="G50" s="36">
        <v>-5.0252636481349526E-2</v>
      </c>
      <c r="H50" s="36">
        <v>-1.082811839181984E-3</v>
      </c>
      <c r="I50" s="36">
        <v>0.11353403309085942</v>
      </c>
      <c r="J50" s="36">
        <v>-4.8221190479299358E-3</v>
      </c>
      <c r="K50" s="102">
        <v>0</v>
      </c>
      <c r="L50" s="102">
        <v>0</v>
      </c>
      <c r="M50" s="102">
        <v>0</v>
      </c>
      <c r="N50" s="102">
        <v>-4.8221190479299358E-3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  <c r="AE50" s="102">
        <v>0</v>
      </c>
      <c r="AF50" s="102">
        <v>0</v>
      </c>
      <c r="AG50" s="102">
        <v>0</v>
      </c>
      <c r="AH50" s="102">
        <v>0</v>
      </c>
      <c r="AI50" s="102">
        <f>AI41/AI57</f>
        <v>0</v>
      </c>
      <c r="AJ50" s="102">
        <f>AJ41/AJ57</f>
        <v>0</v>
      </c>
      <c r="AK50" s="102">
        <f>AK41/AK57</f>
        <v>0</v>
      </c>
      <c r="AL50" s="102">
        <f>AL41/AL57</f>
        <v>0</v>
      </c>
      <c r="AM50" s="102">
        <f>SUM(AI50:AL50)</f>
        <v>0</v>
      </c>
      <c r="AN50" s="102">
        <f>AN41/AN57</f>
        <v>0</v>
      </c>
      <c r="AO50" s="31">
        <f t="shared" si="17"/>
        <v>0</v>
      </c>
      <c r="AP50" s="270"/>
      <c r="AR50" s="252"/>
    </row>
    <row r="51" spans="1:44" x14ac:dyDescent="0.2">
      <c r="A51" s="133" t="s">
        <v>120</v>
      </c>
      <c r="B51" s="132">
        <v>0.32161775112584401</v>
      </c>
      <c r="C51" s="132">
        <v>0.58785592386285423</v>
      </c>
      <c r="D51" s="132">
        <v>0.94956301490240547</v>
      </c>
      <c r="E51" s="132">
        <v>0.23645699456867608</v>
      </c>
      <c r="F51" s="132">
        <v>0.18278338763402571</v>
      </c>
      <c r="G51" s="132">
        <v>-3.7275791949016229E-2</v>
      </c>
      <c r="H51" s="132">
        <v>0.11855329847239549</v>
      </c>
      <c r="I51" s="132">
        <v>0.50007449956683259</v>
      </c>
      <c r="J51" s="132">
        <v>9.9968173538789257E-2</v>
      </c>
      <c r="K51" s="132">
        <v>4.3312715966884713E-2</v>
      </c>
      <c r="L51" s="132">
        <v>0.14000000000000001</v>
      </c>
      <c r="M51" s="132">
        <v>0.25904532951094872</v>
      </c>
      <c r="N51" s="132">
        <v>0.54231377940709014</v>
      </c>
      <c r="O51" s="132">
        <v>0.19303958245225908</v>
      </c>
      <c r="P51" s="132">
        <v>0.16656511064042145</v>
      </c>
      <c r="Q51" s="132">
        <v>0.26632210874146012</v>
      </c>
      <c r="R51" s="132">
        <v>0.2816026638245277</v>
      </c>
      <c r="S51" s="132">
        <v>0.90814054544723299</v>
      </c>
      <c r="T51" s="132">
        <v>0.28227341203228146</v>
      </c>
      <c r="U51" s="132">
        <v>0.2838263108899115</v>
      </c>
      <c r="V51" s="132">
        <v>0.27699364284569755</v>
      </c>
      <c r="W51" s="132">
        <v>0.30553777787280406</v>
      </c>
      <c r="X51" s="132">
        <v>1.149189617511333</v>
      </c>
      <c r="Y51" s="132">
        <v>0.28353735556958187</v>
      </c>
      <c r="Z51" s="132">
        <v>0.28319519878104077</v>
      </c>
      <c r="AA51" s="132">
        <v>0.36396714341035052</v>
      </c>
      <c r="AB51" s="132">
        <v>0.37659361601887509</v>
      </c>
      <c r="AC51" s="226">
        <v>1.308667881516506</v>
      </c>
      <c r="AD51" s="132">
        <v>0.3001708307805212</v>
      </c>
      <c r="AE51" s="132">
        <v>0.2817674814999741</v>
      </c>
      <c r="AF51" s="226">
        <v>0.40234256573192223</v>
      </c>
      <c r="AG51" s="132">
        <v>0.48367584332249958</v>
      </c>
      <c r="AH51" s="226">
        <v>1.468602703647613</v>
      </c>
      <c r="AI51" s="132">
        <f t="shared" ref="AI51:AN51" si="18">SUM(AI49:AI50)</f>
        <v>0.34273689183817058</v>
      </c>
      <c r="AJ51" s="132">
        <f t="shared" si="18"/>
        <v>0.23655867986079374</v>
      </c>
      <c r="AK51" s="226">
        <f t="shared" si="18"/>
        <v>0.18470392914247283</v>
      </c>
      <c r="AL51" s="226">
        <f t="shared" si="18"/>
        <v>0.22581134155108998</v>
      </c>
      <c r="AM51" s="226">
        <f t="shared" si="18"/>
        <v>0.98981084239252703</v>
      </c>
      <c r="AN51" s="132">
        <f t="shared" si="18"/>
        <v>0.28784827914663724</v>
      </c>
      <c r="AO51" s="31">
        <f t="shared" si="17"/>
        <v>0</v>
      </c>
      <c r="AP51" s="130"/>
      <c r="AR51" s="252"/>
    </row>
    <row r="52" spans="1:44" x14ac:dyDescent="0.2">
      <c r="A52" s="127" t="s">
        <v>116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31">
        <f t="shared" si="17"/>
        <v>0</v>
      </c>
      <c r="AP52" s="270"/>
      <c r="AR52" s="252"/>
    </row>
    <row r="53" spans="1:44" x14ac:dyDescent="0.2">
      <c r="A53" s="128" t="s">
        <v>117</v>
      </c>
      <c r="B53" s="35">
        <v>4.9356658421987526E-2</v>
      </c>
      <c r="C53" s="35">
        <v>0.26483006115153629</v>
      </c>
      <c r="D53" s="78">
        <v>0.60204970870605246</v>
      </c>
      <c r="E53" s="35">
        <v>0.16096126397858754</v>
      </c>
      <c r="F53" s="35">
        <v>8.8481224411893031E-2</v>
      </c>
      <c r="G53" s="35">
        <v>1.2851578192816944E-2</v>
      </c>
      <c r="H53" s="35">
        <v>0.1186668351029171</v>
      </c>
      <c r="I53" s="35">
        <v>0.38123427652045316</v>
      </c>
      <c r="J53" s="35">
        <v>0.10393810413153141</v>
      </c>
      <c r="K53" s="35">
        <v>4.2923850634579187E-2</v>
      </c>
      <c r="L53" s="35">
        <v>0.14000000000000001</v>
      </c>
      <c r="M53" s="35">
        <v>0.25135577264867281</v>
      </c>
      <c r="N53" s="35">
        <v>0.53821772741478346</v>
      </c>
      <c r="O53" s="35">
        <v>0.1864516344029295</v>
      </c>
      <c r="P53" s="35">
        <v>0.16121933604255104</v>
      </c>
      <c r="Q53" s="35">
        <v>0.25683465179948151</v>
      </c>
      <c r="R53" s="35">
        <v>0.26928335388860553</v>
      </c>
      <c r="S53" s="35">
        <v>0.87505394125646419</v>
      </c>
      <c r="T53" s="35">
        <v>0.27048565714297917</v>
      </c>
      <c r="U53" s="35">
        <v>0.27300466127675471</v>
      </c>
      <c r="V53" s="35">
        <v>0.26564779819099893</v>
      </c>
      <c r="W53" s="35">
        <v>0.29282795699205877</v>
      </c>
      <c r="X53" s="35">
        <v>1.1025119379393868</v>
      </c>
      <c r="Y53" s="35">
        <v>0.27196193265007318</v>
      </c>
      <c r="Z53" s="35">
        <v>0.27356278545411011</v>
      </c>
      <c r="AA53" s="35">
        <v>0.35161192112375345</v>
      </c>
      <c r="AB53" s="35">
        <v>0.36291812534089185</v>
      </c>
      <c r="AC53" s="35">
        <v>1.2612181752485581</v>
      </c>
      <c r="AD53" s="35">
        <v>0.2895035505712566</v>
      </c>
      <c r="AE53" s="35">
        <v>0.27245563511168563</v>
      </c>
      <c r="AF53" s="35">
        <v>0.38992273447964659</v>
      </c>
      <c r="AG53" s="35">
        <v>0.46930175327854923</v>
      </c>
      <c r="AH53" s="35">
        <v>1.4211827473851748</v>
      </c>
      <c r="AI53" s="35">
        <f>AI40/AI58</f>
        <v>0.33345753532761802</v>
      </c>
      <c r="AJ53" s="35">
        <f>AJ40/AJ58</f>
        <v>0.23050651117871052</v>
      </c>
      <c r="AK53" s="35">
        <f>AK40/AK58</f>
        <v>0.18039197066294768</v>
      </c>
      <c r="AL53" s="35">
        <v>0.22063376148273953</v>
      </c>
      <c r="AM53" s="245">
        <f t="shared" ref="AM53:AM54" si="19">SUM(AI53:AL53)</f>
        <v>0.96498977865201563</v>
      </c>
      <c r="AN53" s="35">
        <f>AN40/AN58</f>
        <v>0.28095289990702743</v>
      </c>
      <c r="AO53" s="31">
        <f t="shared" si="17"/>
        <v>0</v>
      </c>
      <c r="AP53" s="269"/>
      <c r="AQ53" s="253"/>
      <c r="AR53" s="252"/>
    </row>
    <row r="54" spans="1:44" x14ac:dyDescent="0.2">
      <c r="A54" s="128" t="s">
        <v>118</v>
      </c>
      <c r="B54" s="36">
        <v>0.26605724909859174</v>
      </c>
      <c r="C54" s="36">
        <v>0.31869408351901968</v>
      </c>
      <c r="D54" s="79">
        <v>0.3243797264123886</v>
      </c>
      <c r="E54" s="36">
        <v>7.1170972576982808E-2</v>
      </c>
      <c r="F54" s="36">
        <v>9.0867526388674916E-2</v>
      </c>
      <c r="G54" s="36">
        <v>-4.9767544453978782E-2</v>
      </c>
      <c r="H54" s="36">
        <v>-1.0740390475170792E-3</v>
      </c>
      <c r="I54" s="36">
        <v>0.1119755076627492</v>
      </c>
      <c r="J54" s="36">
        <v>-4.7829040206526108E-3</v>
      </c>
      <c r="K54" s="102">
        <v>0</v>
      </c>
      <c r="L54" s="102">
        <v>0</v>
      </c>
      <c r="M54" s="102">
        <v>0</v>
      </c>
      <c r="N54" s="102">
        <v>-4.7829040206526108E-3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02">
        <v>0</v>
      </c>
      <c r="AF54" s="102">
        <v>0</v>
      </c>
      <c r="AG54" s="102">
        <v>0</v>
      </c>
      <c r="AH54" s="102">
        <v>0</v>
      </c>
      <c r="AI54" s="102">
        <f>AI41/AI58</f>
        <v>0</v>
      </c>
      <c r="AJ54" s="102">
        <f>AJ41/AJ58</f>
        <v>0</v>
      </c>
      <c r="AK54" s="102">
        <f>AK41/AK58</f>
        <v>0</v>
      </c>
      <c r="AL54" s="102">
        <f>AL41/AL58</f>
        <v>0</v>
      </c>
      <c r="AM54" s="102">
        <f t="shared" si="19"/>
        <v>0</v>
      </c>
      <c r="AN54" s="102">
        <f>AN41/AN58</f>
        <v>0</v>
      </c>
      <c r="AO54" s="31">
        <f t="shared" si="17"/>
        <v>0</v>
      </c>
      <c r="AP54" s="270"/>
      <c r="AR54" s="252"/>
    </row>
    <row r="55" spans="1:44" x14ac:dyDescent="0.2">
      <c r="A55" s="133" t="s">
        <v>120</v>
      </c>
      <c r="B55" s="129">
        <v>0.31541386120504489</v>
      </c>
      <c r="C55" s="129">
        <v>0.58352414467055602</v>
      </c>
      <c r="D55" s="130">
        <v>0.926429435118441</v>
      </c>
      <c r="E55" s="129">
        <v>0.23213223655557033</v>
      </c>
      <c r="F55" s="129">
        <v>0.17934875080056795</v>
      </c>
      <c r="G55" s="129">
        <v>-3.6915931929114389E-2</v>
      </c>
      <c r="H55" s="129">
        <v>0.11759279605540003</v>
      </c>
      <c r="I55" s="129">
        <v>0.49320981841565675</v>
      </c>
      <c r="J55" s="129">
        <v>9.9155200110878819E-2</v>
      </c>
      <c r="K55" s="129">
        <v>4.3312715966884713E-2</v>
      </c>
      <c r="L55" s="129">
        <v>0.14000000000000001</v>
      </c>
      <c r="M55" s="129">
        <v>0.25135577264867281</v>
      </c>
      <c r="N55" s="129">
        <v>0.53343482339413084</v>
      </c>
      <c r="O55" s="129">
        <v>0.1864516344029295</v>
      </c>
      <c r="P55" s="129">
        <v>0.16121933604255104</v>
      </c>
      <c r="Q55" s="129">
        <v>0.25683465179948151</v>
      </c>
      <c r="R55" s="129">
        <v>0.26928335388860553</v>
      </c>
      <c r="S55" s="129">
        <v>0.87505394125646419</v>
      </c>
      <c r="T55" s="129">
        <v>0.27048565714297917</v>
      </c>
      <c r="U55" s="129">
        <v>0.27300466127675471</v>
      </c>
      <c r="V55" s="129">
        <v>0.26564779819099893</v>
      </c>
      <c r="W55" s="129">
        <v>0.29282795699205877</v>
      </c>
      <c r="X55" s="129">
        <v>1.1025119379393868</v>
      </c>
      <c r="Y55" s="129">
        <v>0.27196193265007318</v>
      </c>
      <c r="Z55" s="129">
        <v>0.27356278545411011</v>
      </c>
      <c r="AA55" s="129">
        <v>0.35161192112375345</v>
      </c>
      <c r="AB55" s="129">
        <v>0.36291812534089185</v>
      </c>
      <c r="AC55" s="129">
        <v>1.2612181752485581</v>
      </c>
      <c r="AD55" s="129">
        <v>0.2895035505712566</v>
      </c>
      <c r="AE55" s="129">
        <v>0.27245563511168563</v>
      </c>
      <c r="AF55" s="233">
        <v>0.38992273447964659</v>
      </c>
      <c r="AG55" s="129">
        <v>0.46930175327854923</v>
      </c>
      <c r="AH55" s="233">
        <v>1.4211827473851748</v>
      </c>
      <c r="AI55" s="129">
        <f t="shared" ref="AI55:AN55" si="20">SUM(AI53:AI54)</f>
        <v>0.33345753532761802</v>
      </c>
      <c r="AJ55" s="129">
        <f t="shared" si="20"/>
        <v>0.23050651117871052</v>
      </c>
      <c r="AK55" s="129">
        <f t="shared" si="20"/>
        <v>0.18039197066294768</v>
      </c>
      <c r="AL55" s="129">
        <f t="shared" si="20"/>
        <v>0.22063376148273953</v>
      </c>
      <c r="AM55" s="233">
        <f t="shared" si="20"/>
        <v>0.96498977865201563</v>
      </c>
      <c r="AN55" s="129">
        <f t="shared" si="20"/>
        <v>0.28095289990702743</v>
      </c>
      <c r="AO55" s="31">
        <f t="shared" si="17"/>
        <v>0</v>
      </c>
      <c r="AP55" s="130"/>
      <c r="AR55" s="252"/>
    </row>
    <row r="56" spans="1:44" x14ac:dyDescent="0.2">
      <c r="A56" s="74" t="s">
        <v>121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1"/>
      <c r="M56" s="31"/>
      <c r="N56" s="31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1">
        <f t="shared" si="17"/>
        <v>0</v>
      </c>
      <c r="AP56" s="271"/>
      <c r="AR56" s="252"/>
    </row>
    <row r="57" spans="1:44" x14ac:dyDescent="0.2">
      <c r="A57" s="71" t="s">
        <v>119</v>
      </c>
      <c r="B57" s="31">
        <v>21174.547999999999</v>
      </c>
      <c r="C57" s="31">
        <v>22863.539000000001</v>
      </c>
      <c r="D57" s="33">
        <v>28480.032999999999</v>
      </c>
      <c r="E57" s="31">
        <v>28757.077000000001</v>
      </c>
      <c r="F57" s="31">
        <v>28799.51</v>
      </c>
      <c r="G57" s="31">
        <v>28846.136695652171</v>
      </c>
      <c r="H57" s="31">
        <v>28839.728999999999</v>
      </c>
      <c r="I57" s="31">
        <v>28811.040000000001</v>
      </c>
      <c r="J57" s="31">
        <v>28843.189966666665</v>
      </c>
      <c r="K57" s="31">
        <v>28906.052</v>
      </c>
      <c r="L57" s="31">
        <v>28930.344000000001</v>
      </c>
      <c r="M57" s="31">
        <v>29044.346000000001</v>
      </c>
      <c r="N57" s="31">
        <v>28963.77</v>
      </c>
      <c r="O57" s="31">
        <v>29128.741000000002</v>
      </c>
      <c r="P57" s="31">
        <v>29231.812000000002</v>
      </c>
      <c r="Q57" s="31">
        <v>29302.862000000001</v>
      </c>
      <c r="R57" s="31">
        <v>29458.507804347799</v>
      </c>
      <c r="S57" s="31">
        <v>29281.364435616499</v>
      </c>
      <c r="T57" s="31">
        <v>29620.218000000001</v>
      </c>
      <c r="U57" s="31">
        <v>29859.811000000002</v>
      </c>
      <c r="V57" s="31">
        <v>30293.114000000001</v>
      </c>
      <c r="W57" s="31">
        <v>31266.182750000007</v>
      </c>
      <c r="X57" s="31">
        <v>30264.805276712319</v>
      </c>
      <c r="Y57" s="31">
        <v>31445.592000000001</v>
      </c>
      <c r="Z57" s="31">
        <v>31970.881000000001</v>
      </c>
      <c r="AA57" s="31">
        <v>32154.001293478264</v>
      </c>
      <c r="AB57" s="31">
        <v>32297.414195652174</v>
      </c>
      <c r="AC57" s="31">
        <v>31968.386013661275</v>
      </c>
      <c r="AD57" s="33">
        <v>32521.481099999939</v>
      </c>
      <c r="AE57" s="33">
        <v>32778.800274725276</v>
      </c>
      <c r="AF57" s="33">
        <v>32907.281326086959</v>
      </c>
      <c r="AG57" s="33">
        <v>32788.488858695659</v>
      </c>
      <c r="AH57" s="31">
        <v>32750.1780301371</v>
      </c>
      <c r="AI57" s="33">
        <v>32523.490366666618</v>
      </c>
      <c r="AJ57" s="33">
        <v>32812.154703296692</v>
      </c>
      <c r="AK57" s="33">
        <v>32890.47519565218</v>
      </c>
      <c r="AL57" s="33">
        <v>32986.276315217394</v>
      </c>
      <c r="AM57" s="31">
        <v>32804.606438356059</v>
      </c>
      <c r="AN57" s="33">
        <v>33236.259144444375</v>
      </c>
      <c r="AP57" s="265"/>
      <c r="AR57" s="252"/>
    </row>
    <row r="58" spans="1:44" ht="13.5" thickBot="1" x14ac:dyDescent="0.25">
      <c r="A58" s="131" t="s">
        <v>116</v>
      </c>
      <c r="B58" s="99">
        <v>21591.027999999998</v>
      </c>
      <c r="C58" s="99">
        <v>23033.266</v>
      </c>
      <c r="D58" s="100">
        <v>29191.199000000001</v>
      </c>
      <c r="E58" s="99">
        <v>29292.838</v>
      </c>
      <c r="F58" s="99">
        <v>29351.038</v>
      </c>
      <c r="G58" s="99">
        <v>29127.304494566728</v>
      </c>
      <c r="H58" s="99">
        <v>29075.293000000001</v>
      </c>
      <c r="I58" s="99">
        <v>29212.044999999998</v>
      </c>
      <c r="J58" s="99">
        <v>29079.675264390356</v>
      </c>
      <c r="K58" s="99">
        <v>29159.546999999999</v>
      </c>
      <c r="L58" s="99">
        <v>29368.39</v>
      </c>
      <c r="M58" s="99">
        <v>29932.880000000001</v>
      </c>
      <c r="N58" s="99">
        <v>29417.91</v>
      </c>
      <c r="O58" s="99">
        <v>30157.955000000002</v>
      </c>
      <c r="P58" s="99">
        <v>30201.092000000001</v>
      </c>
      <c r="Q58" s="99">
        <v>30385.308000000001</v>
      </c>
      <c r="R58" s="99">
        <v>30806.190394641399</v>
      </c>
      <c r="S58" s="99">
        <v>30388.5200857651</v>
      </c>
      <c r="T58" s="99">
        <v>30911.065999999999</v>
      </c>
      <c r="U58" s="99">
        <v>31043.425999999999</v>
      </c>
      <c r="V58" s="99">
        <v>31586.936000000002</v>
      </c>
      <c r="W58" s="99">
        <v>32623.25120227188</v>
      </c>
      <c r="X58" s="99">
        <v>31546.143677141856</v>
      </c>
      <c r="Y58" s="99">
        <v>32784</v>
      </c>
      <c r="Z58" s="99">
        <v>33096.607000000004</v>
      </c>
      <c r="AA58" s="99">
        <v>33283.85443416467</v>
      </c>
      <c r="AB58" s="99">
        <v>33514.44623653117</v>
      </c>
      <c r="AC58" s="99">
        <v>33171.104588430986</v>
      </c>
      <c r="AD58" s="100">
        <v>33719.793697650151</v>
      </c>
      <c r="AE58" s="100">
        <v>33899.096989548256</v>
      </c>
      <c r="AF58" s="100">
        <v>33955.445090086454</v>
      </c>
      <c r="AG58" s="100">
        <v>33792.756769410698</v>
      </c>
      <c r="AH58" s="99">
        <v>33842.93827693403</v>
      </c>
      <c r="AI58" s="100">
        <v>33428.544324386632</v>
      </c>
      <c r="AJ58" s="100">
        <v>33673.669174499635</v>
      </c>
      <c r="AK58" s="100">
        <v>33676.665195652182</v>
      </c>
      <c r="AL58" s="100">
        <f>33761462.1843862/1000</f>
        <v>33761.462184386204</v>
      </c>
      <c r="AM58" s="99">
        <v>33636.592628804719</v>
      </c>
      <c r="AN58" s="100">
        <v>34051.970999999998</v>
      </c>
      <c r="AP58" s="265"/>
      <c r="AR58" s="252"/>
    </row>
    <row r="59" spans="1:44" ht="6" customHeight="1" x14ac:dyDescent="0.2">
      <c r="A59" s="74"/>
      <c r="B59" s="31"/>
      <c r="C59" s="31"/>
      <c r="D59" s="33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P59" s="265"/>
      <c r="AR59" s="252"/>
    </row>
    <row r="60" spans="1:44" x14ac:dyDescent="0.2">
      <c r="A60" s="72" t="s">
        <v>108</v>
      </c>
      <c r="B60" s="31"/>
      <c r="C60" s="31"/>
      <c r="D60" s="3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P60" s="265"/>
      <c r="AR60" s="252"/>
    </row>
    <row r="61" spans="1:44" x14ac:dyDescent="0.2">
      <c r="A61" s="69" t="s">
        <v>1</v>
      </c>
      <c r="B61" s="47">
        <v>54180.404230986998</v>
      </c>
      <c r="C61" s="47">
        <v>98679.335932916933</v>
      </c>
      <c r="D61" s="47">
        <v>152032.533</v>
      </c>
      <c r="E61" s="47">
        <v>44431.273999999998</v>
      </c>
      <c r="F61" s="47">
        <v>47015.218999999997</v>
      </c>
      <c r="G61" s="47">
        <v>46572.901709433092</v>
      </c>
      <c r="H61" s="47">
        <v>43694.368000000002</v>
      </c>
      <c r="I61" s="47">
        <v>181713.7627094331</v>
      </c>
      <c r="J61" s="47">
        <v>40985.678940000005</v>
      </c>
      <c r="K61" s="47">
        <v>42385.281719999992</v>
      </c>
      <c r="L61" s="47">
        <v>48185.784160000003</v>
      </c>
      <c r="M61" s="47">
        <v>59438.099990000002</v>
      </c>
      <c r="N61" s="47">
        <v>190994.84480999998</v>
      </c>
      <c r="O61" s="47">
        <v>54489</v>
      </c>
      <c r="P61" s="47">
        <v>60639</v>
      </c>
      <c r="Q61" s="47">
        <v>67585</v>
      </c>
      <c r="R61" s="47">
        <v>70040.251009999978</v>
      </c>
      <c r="S61" s="47">
        <v>252753.25100999998</v>
      </c>
      <c r="T61" s="47">
        <v>72907</v>
      </c>
      <c r="U61" s="47">
        <v>85028</v>
      </c>
      <c r="V61" s="47">
        <v>100026</v>
      </c>
      <c r="W61" s="47">
        <v>102580</v>
      </c>
      <c r="X61" s="47">
        <v>360541</v>
      </c>
      <c r="Y61" s="47">
        <v>104608</v>
      </c>
      <c r="Z61" s="47">
        <v>108030</v>
      </c>
      <c r="AA61" s="47">
        <v>112639</v>
      </c>
      <c r="AB61" s="47">
        <v>117653</v>
      </c>
      <c r="AC61" s="47">
        <v>442930</v>
      </c>
      <c r="AD61" s="47">
        <v>116006</v>
      </c>
      <c r="AE61" s="47">
        <v>116008</v>
      </c>
      <c r="AF61" s="47">
        <v>122315</v>
      </c>
      <c r="AG61" s="47">
        <v>124123</v>
      </c>
      <c r="AH61" s="47">
        <v>478452</v>
      </c>
      <c r="AI61" s="47">
        <v>121797</v>
      </c>
      <c r="AJ61" s="47">
        <f>AJ8</f>
        <v>119738</v>
      </c>
      <c r="AK61" s="47">
        <f>AK8</f>
        <v>122457</v>
      </c>
      <c r="AL61" s="47">
        <f>AL8</f>
        <v>135286</v>
      </c>
      <c r="AM61" s="47">
        <f>AM8</f>
        <v>499278</v>
      </c>
      <c r="AN61" s="47">
        <f>AN8</f>
        <v>143510</v>
      </c>
      <c r="AO61" s="31">
        <f t="shared" ref="AO61:AO100" si="21">AM61-AL61-AK61-AJ61-AI61</f>
        <v>0</v>
      </c>
      <c r="AP61" s="264"/>
      <c r="AR61" s="252"/>
    </row>
    <row r="62" spans="1:44" x14ac:dyDescent="0.2">
      <c r="A62" s="73" t="s">
        <v>202</v>
      </c>
      <c r="B62" s="31"/>
      <c r="C62" s="31"/>
      <c r="D62" s="33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>
        <v>351</v>
      </c>
      <c r="AH62" s="31">
        <v>351</v>
      </c>
      <c r="AI62" s="31">
        <v>2471</v>
      </c>
      <c r="AJ62" s="31">
        <v>5718</v>
      </c>
      <c r="AK62" s="31">
        <v>9626</v>
      </c>
      <c r="AL62" s="31">
        <v>8532</v>
      </c>
      <c r="AM62" s="31">
        <v>26347</v>
      </c>
      <c r="AN62" s="31">
        <v>0</v>
      </c>
      <c r="AO62" s="31">
        <f t="shared" si="21"/>
        <v>0</v>
      </c>
      <c r="AP62" s="265"/>
      <c r="AR62" s="252"/>
    </row>
    <row r="63" spans="1:44" ht="13.5" customHeight="1" x14ac:dyDescent="0.2">
      <c r="A63" s="69" t="s">
        <v>203</v>
      </c>
      <c r="B63" s="47">
        <f>B61+B62</f>
        <v>54180.404230986998</v>
      </c>
      <c r="C63" s="47">
        <f t="shared" ref="C63:AJ63" si="22">C61+C62</f>
        <v>98679.335932916933</v>
      </c>
      <c r="D63" s="47">
        <f t="shared" si="22"/>
        <v>152032.533</v>
      </c>
      <c r="E63" s="47">
        <f t="shared" si="22"/>
        <v>44431.273999999998</v>
      </c>
      <c r="F63" s="47">
        <f t="shared" si="22"/>
        <v>47015.218999999997</v>
      </c>
      <c r="G63" s="47">
        <f t="shared" si="22"/>
        <v>46572.901709433092</v>
      </c>
      <c r="H63" s="47">
        <f t="shared" si="22"/>
        <v>43694.368000000002</v>
      </c>
      <c r="I63" s="47">
        <f t="shared" si="22"/>
        <v>181713.7627094331</v>
      </c>
      <c r="J63" s="47">
        <f t="shared" si="22"/>
        <v>40985.678940000005</v>
      </c>
      <c r="K63" s="47">
        <f t="shared" si="22"/>
        <v>42385.281719999992</v>
      </c>
      <c r="L63" s="47">
        <f t="shared" si="22"/>
        <v>48185.784160000003</v>
      </c>
      <c r="M63" s="47">
        <f t="shared" si="22"/>
        <v>59438.099990000002</v>
      </c>
      <c r="N63" s="47">
        <f t="shared" si="22"/>
        <v>190994.84480999998</v>
      </c>
      <c r="O63" s="47">
        <f t="shared" si="22"/>
        <v>54489</v>
      </c>
      <c r="P63" s="47">
        <f t="shared" si="22"/>
        <v>60639</v>
      </c>
      <c r="Q63" s="47">
        <f t="shared" si="22"/>
        <v>67585</v>
      </c>
      <c r="R63" s="47">
        <f t="shared" si="22"/>
        <v>70040.251009999978</v>
      </c>
      <c r="S63" s="47">
        <f t="shared" si="22"/>
        <v>252753.25100999998</v>
      </c>
      <c r="T63" s="47">
        <f t="shared" si="22"/>
        <v>72907</v>
      </c>
      <c r="U63" s="47">
        <f t="shared" si="22"/>
        <v>85028</v>
      </c>
      <c r="V63" s="47">
        <f t="shared" si="22"/>
        <v>100026</v>
      </c>
      <c r="W63" s="47">
        <f t="shared" si="22"/>
        <v>102580</v>
      </c>
      <c r="X63" s="47">
        <f t="shared" si="22"/>
        <v>360541</v>
      </c>
      <c r="Y63" s="47">
        <f t="shared" si="22"/>
        <v>104608</v>
      </c>
      <c r="Z63" s="47">
        <f t="shared" si="22"/>
        <v>108030</v>
      </c>
      <c r="AA63" s="47">
        <f t="shared" si="22"/>
        <v>112639</v>
      </c>
      <c r="AB63" s="47">
        <f t="shared" si="22"/>
        <v>117653</v>
      </c>
      <c r="AC63" s="47">
        <f t="shared" si="22"/>
        <v>442930</v>
      </c>
      <c r="AD63" s="47">
        <f t="shared" si="22"/>
        <v>116006</v>
      </c>
      <c r="AE63" s="47">
        <f t="shared" si="22"/>
        <v>116008</v>
      </c>
      <c r="AF63" s="47">
        <f t="shared" si="22"/>
        <v>122315</v>
      </c>
      <c r="AG63" s="47">
        <f t="shared" si="22"/>
        <v>124474</v>
      </c>
      <c r="AH63" s="47">
        <f t="shared" si="22"/>
        <v>478803</v>
      </c>
      <c r="AI63" s="47">
        <f t="shared" si="22"/>
        <v>124268</v>
      </c>
      <c r="AJ63" s="47">
        <f t="shared" si="22"/>
        <v>125456</v>
      </c>
      <c r="AK63" s="47">
        <f>AK61+AK62</f>
        <v>132083</v>
      </c>
      <c r="AL63" s="47">
        <f>AL61+AL62</f>
        <v>143818</v>
      </c>
      <c r="AM63" s="47">
        <f>AM61+AM62</f>
        <v>525625</v>
      </c>
      <c r="AN63" s="47">
        <f t="shared" ref="AN63" si="23">AN61+AN62</f>
        <v>143510</v>
      </c>
      <c r="AO63" s="31">
        <f t="shared" si="21"/>
        <v>0</v>
      </c>
      <c r="AP63" s="264"/>
      <c r="AR63" s="252"/>
    </row>
    <row r="64" spans="1:44" ht="6.75" customHeight="1" x14ac:dyDescent="0.2">
      <c r="A64" s="72"/>
      <c r="B64" s="31"/>
      <c r="C64" s="31"/>
      <c r="D64" s="33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f t="shared" si="21"/>
        <v>0</v>
      </c>
      <c r="AP64" s="265"/>
      <c r="AR64" s="252"/>
    </row>
    <row r="65" spans="1:44" s="30" customFormat="1" x14ac:dyDescent="0.2">
      <c r="A65" s="69" t="s">
        <v>81</v>
      </c>
      <c r="B65" s="47">
        <v>-2072.6909023723929</v>
      </c>
      <c r="C65" s="47">
        <v>5524.5766901433381</v>
      </c>
      <c r="D65" s="47">
        <v>4813.8619999999937</v>
      </c>
      <c r="E65" s="47">
        <v>2533.744999999999</v>
      </c>
      <c r="F65" s="47">
        <v>2458.1699999999964</v>
      </c>
      <c r="G65" s="47">
        <v>5264.5247036051205</v>
      </c>
      <c r="H65" s="47">
        <v>5408.1440000000021</v>
      </c>
      <c r="I65" s="47">
        <v>15664.583703605138</v>
      </c>
      <c r="J65" s="47">
        <v>4282.9266300000018</v>
      </c>
      <c r="K65" s="47">
        <v>2794.8874299999916</v>
      </c>
      <c r="L65" s="47">
        <v>5179.3402800000058</v>
      </c>
      <c r="M65" s="47">
        <v>12143.762570000006</v>
      </c>
      <c r="N65" s="47">
        <v>24400.916909999964</v>
      </c>
      <c r="O65" s="47">
        <v>6476</v>
      </c>
      <c r="P65" s="47">
        <v>5272</v>
      </c>
      <c r="Q65" s="47">
        <v>6983</v>
      </c>
      <c r="R65" s="47">
        <v>7792.2510099999781</v>
      </c>
      <c r="S65" s="47">
        <v>26523.251009999978</v>
      </c>
      <c r="T65" s="47">
        <v>7508</v>
      </c>
      <c r="U65" s="47">
        <v>9408</v>
      </c>
      <c r="V65" s="47">
        <v>11660</v>
      </c>
      <c r="W65" s="47">
        <v>12742</v>
      </c>
      <c r="X65" s="47">
        <v>41318</v>
      </c>
      <c r="Y65" s="47">
        <v>10431</v>
      </c>
      <c r="Z65" s="47">
        <v>14393</v>
      </c>
      <c r="AA65" s="47">
        <v>16870</v>
      </c>
      <c r="AB65" s="47">
        <v>15538</v>
      </c>
      <c r="AC65" s="47">
        <v>57232</v>
      </c>
      <c r="AD65" s="47">
        <v>12105.2</v>
      </c>
      <c r="AE65" s="47">
        <v>12827</v>
      </c>
      <c r="AF65" s="47">
        <v>19513</v>
      </c>
      <c r="AG65" s="47">
        <v>22974.800000000003</v>
      </c>
      <c r="AH65" s="47">
        <v>67420</v>
      </c>
      <c r="AI65" s="47">
        <f t="shared" ref="AI65:AN65" si="24">AI28</f>
        <v>15487</v>
      </c>
      <c r="AJ65" s="47">
        <f t="shared" si="24"/>
        <v>6097</v>
      </c>
      <c r="AK65" s="47">
        <f t="shared" si="24"/>
        <v>5391</v>
      </c>
      <c r="AL65" s="47">
        <f t="shared" si="24"/>
        <v>7065</v>
      </c>
      <c r="AM65" s="47">
        <f t="shared" si="24"/>
        <v>34040</v>
      </c>
      <c r="AN65" s="47">
        <f t="shared" si="24"/>
        <v>13468</v>
      </c>
      <c r="AO65" s="29">
        <f t="shared" si="21"/>
        <v>0</v>
      </c>
      <c r="AP65" s="264"/>
      <c r="AR65" s="252"/>
    </row>
    <row r="66" spans="1:44" x14ac:dyDescent="0.2">
      <c r="A66" s="73" t="s">
        <v>153</v>
      </c>
      <c r="B66" s="84">
        <v>0</v>
      </c>
      <c r="C66" s="84">
        <v>1180</v>
      </c>
      <c r="D66" s="68">
        <v>1630</v>
      </c>
      <c r="E66" s="68">
        <v>212.12899999999999</v>
      </c>
      <c r="F66" s="68">
        <v>220.62299999999999</v>
      </c>
      <c r="G66" s="68">
        <v>50.624000000000002</v>
      </c>
      <c r="H66" s="155">
        <v>50.625</v>
      </c>
      <c r="I66" s="68">
        <v>534.00099999999998</v>
      </c>
      <c r="J66" s="68">
        <v>0</v>
      </c>
      <c r="K66" s="68">
        <v>0</v>
      </c>
      <c r="L66" s="68">
        <v>84</v>
      </c>
      <c r="M66" s="68">
        <v>83.452783946723102</v>
      </c>
      <c r="N66" s="68">
        <v>167.45278394672312</v>
      </c>
      <c r="O66" s="68">
        <v>181</v>
      </c>
      <c r="P66" s="68">
        <v>520</v>
      </c>
      <c r="Q66" s="68">
        <v>687.55198000000007</v>
      </c>
      <c r="R66" s="36">
        <v>635.1928200000001</v>
      </c>
      <c r="S66" s="68">
        <v>2024.1748000000002</v>
      </c>
      <c r="T66" s="68">
        <v>636</v>
      </c>
      <c r="U66" s="68">
        <v>913</v>
      </c>
      <c r="V66" s="68">
        <v>1395</v>
      </c>
      <c r="W66" s="68">
        <v>1385</v>
      </c>
      <c r="X66" s="68">
        <v>4328.6699100000005</v>
      </c>
      <c r="Y66" s="68">
        <v>1394</v>
      </c>
      <c r="Z66" s="68">
        <v>1365</v>
      </c>
      <c r="AA66" s="68">
        <v>1324</v>
      </c>
      <c r="AB66" s="68">
        <v>1554.6510000000001</v>
      </c>
      <c r="AC66" s="68">
        <v>5637.6509999999998</v>
      </c>
      <c r="AD66" s="68">
        <v>1634</v>
      </c>
      <c r="AE66" s="68">
        <v>1595.53</v>
      </c>
      <c r="AF66" s="68">
        <v>1534</v>
      </c>
      <c r="AG66" s="68">
        <v>1536.4</v>
      </c>
      <c r="AH66" s="68">
        <v>6299.93</v>
      </c>
      <c r="AI66" s="68">
        <v>1536.3753999999999</v>
      </c>
      <c r="AJ66" s="68">
        <v>1488.9848000000002</v>
      </c>
      <c r="AK66" s="68">
        <v>1441</v>
      </c>
      <c r="AL66" s="68">
        <v>2157</v>
      </c>
      <c r="AM66" s="68">
        <v>6623</v>
      </c>
      <c r="AN66" s="68">
        <v>2059</v>
      </c>
      <c r="AO66" s="31">
        <f t="shared" si="21"/>
        <v>-0.36020000000007713</v>
      </c>
      <c r="AP66" s="266"/>
      <c r="AR66" s="252"/>
    </row>
    <row r="67" spans="1:44" x14ac:dyDescent="0.2">
      <c r="A67" s="73" t="s">
        <v>154</v>
      </c>
      <c r="B67" s="84">
        <v>65.956999999999994</v>
      </c>
      <c r="C67" s="84">
        <v>1974.2660000000001</v>
      </c>
      <c r="D67" s="68">
        <v>4306.6720000000005</v>
      </c>
      <c r="E67" s="68">
        <v>988.32799999999997</v>
      </c>
      <c r="F67" s="68">
        <v>1886.5880500000001</v>
      </c>
      <c r="G67" s="68">
        <v>1551.2550000000001</v>
      </c>
      <c r="H67" s="155">
        <v>852.10526795609553</v>
      </c>
      <c r="I67" s="68">
        <v>5278.2763179560952</v>
      </c>
      <c r="J67" s="68">
        <v>1539</v>
      </c>
      <c r="K67" s="68">
        <v>1974.1110000000001</v>
      </c>
      <c r="L67" s="68">
        <v>1876</v>
      </c>
      <c r="M67" s="68">
        <v>1704</v>
      </c>
      <c r="N67" s="68">
        <v>7093.1109999999999</v>
      </c>
      <c r="O67" s="68">
        <v>1828</v>
      </c>
      <c r="P67" s="68">
        <v>2404</v>
      </c>
      <c r="Q67" s="68">
        <v>2121</v>
      </c>
      <c r="R67" s="31">
        <v>2138.0216115615622</v>
      </c>
      <c r="S67" s="152">
        <v>8491.0216115615622</v>
      </c>
      <c r="T67" s="68">
        <v>2248</v>
      </c>
      <c r="U67" s="68">
        <v>2879</v>
      </c>
      <c r="V67" s="68">
        <v>2160</v>
      </c>
      <c r="W67" s="68">
        <v>2175</v>
      </c>
      <c r="X67" s="152">
        <v>9462.2124600000006</v>
      </c>
      <c r="Y67" s="68">
        <v>2743</v>
      </c>
      <c r="Z67" s="68">
        <v>2715</v>
      </c>
      <c r="AA67" s="68">
        <v>1871</v>
      </c>
      <c r="AB67" s="68">
        <v>2087.1860000000001</v>
      </c>
      <c r="AC67" s="68">
        <v>9416.1859999999997</v>
      </c>
      <c r="AD67" s="68">
        <v>3645</v>
      </c>
      <c r="AE67" s="68">
        <v>2859.57</v>
      </c>
      <c r="AF67" s="68">
        <v>2967</v>
      </c>
      <c r="AG67" s="68">
        <v>2360</v>
      </c>
      <c r="AH67" s="68">
        <v>11831.57</v>
      </c>
      <c r="AI67" s="68">
        <v>4176</v>
      </c>
      <c r="AJ67" s="68">
        <v>1966</v>
      </c>
      <c r="AK67" s="68">
        <v>2376</v>
      </c>
      <c r="AL67" s="68">
        <v>2493</v>
      </c>
      <c r="AM67" s="68">
        <v>11011</v>
      </c>
      <c r="AN67" s="68">
        <v>4255</v>
      </c>
      <c r="AO67" s="31">
        <f t="shared" si="21"/>
        <v>0</v>
      </c>
      <c r="AP67" s="266"/>
      <c r="AR67" s="252"/>
    </row>
    <row r="68" spans="1:44" x14ac:dyDescent="0.2">
      <c r="A68" s="73" t="s">
        <v>202</v>
      </c>
      <c r="B68" s="224">
        <v>0</v>
      </c>
      <c r="C68" s="224">
        <v>0</v>
      </c>
      <c r="D68" s="224">
        <v>0</v>
      </c>
      <c r="E68" s="224">
        <v>0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0</v>
      </c>
      <c r="Q68" s="224">
        <v>0</v>
      </c>
      <c r="R68" s="224">
        <v>0</v>
      </c>
      <c r="S68" s="224">
        <v>0</v>
      </c>
      <c r="T68" s="224">
        <v>0</v>
      </c>
      <c r="U68" s="224">
        <v>0</v>
      </c>
      <c r="V68" s="224">
        <v>0</v>
      </c>
      <c r="W68" s="224">
        <v>0</v>
      </c>
      <c r="X68" s="224">
        <v>0</v>
      </c>
      <c r="Y68" s="224">
        <v>0</v>
      </c>
      <c r="Z68" s="224">
        <v>0</v>
      </c>
      <c r="AA68" s="224">
        <v>0</v>
      </c>
      <c r="AB68" s="224">
        <v>0</v>
      </c>
      <c r="AC68" s="224">
        <v>0</v>
      </c>
      <c r="AD68" s="224">
        <v>0</v>
      </c>
      <c r="AE68" s="224">
        <v>0</v>
      </c>
      <c r="AF68" s="224">
        <v>0</v>
      </c>
      <c r="AG68" s="152">
        <v>351</v>
      </c>
      <c r="AH68" s="152">
        <f>AG68</f>
        <v>351</v>
      </c>
      <c r="AI68" s="152">
        <v>2471</v>
      </c>
      <c r="AJ68" s="152">
        <f>AJ62</f>
        <v>5718</v>
      </c>
      <c r="AK68" s="152">
        <f>AK62</f>
        <v>9626</v>
      </c>
      <c r="AL68" s="152">
        <f>AL62</f>
        <v>8532</v>
      </c>
      <c r="AM68" s="152">
        <f>AM62</f>
        <v>26347</v>
      </c>
      <c r="AN68" s="152">
        <v>0</v>
      </c>
      <c r="AO68" s="31">
        <f t="shared" si="21"/>
        <v>0</v>
      </c>
      <c r="AP68" s="258"/>
      <c r="AR68" s="252"/>
    </row>
    <row r="69" spans="1:44" s="225" customFormat="1" x14ac:dyDescent="0.2">
      <c r="A69" s="223" t="s">
        <v>166</v>
      </c>
      <c r="B69" s="224">
        <v>0</v>
      </c>
      <c r="C69" s="224">
        <v>0</v>
      </c>
      <c r="D69" s="224">
        <v>0</v>
      </c>
      <c r="E69" s="224">
        <v>0</v>
      </c>
      <c r="F69" s="224">
        <v>0</v>
      </c>
      <c r="G69" s="224">
        <v>0</v>
      </c>
      <c r="H69" s="224">
        <v>0</v>
      </c>
      <c r="I69" s="224">
        <v>0</v>
      </c>
      <c r="J69" s="224">
        <v>0</v>
      </c>
      <c r="K69" s="224">
        <v>0</v>
      </c>
      <c r="L69" s="224">
        <v>0</v>
      </c>
      <c r="M69" s="224">
        <v>-5075</v>
      </c>
      <c r="N69" s="224">
        <v>-5075</v>
      </c>
      <c r="O69" s="224">
        <v>0</v>
      </c>
      <c r="P69" s="224">
        <v>0</v>
      </c>
      <c r="Q69" s="224">
        <v>0</v>
      </c>
      <c r="R69" s="224">
        <v>0</v>
      </c>
      <c r="S69" s="224">
        <v>0</v>
      </c>
      <c r="T69" s="224">
        <v>0</v>
      </c>
      <c r="U69" s="224">
        <v>0</v>
      </c>
      <c r="V69" s="224">
        <v>0</v>
      </c>
      <c r="W69" s="224">
        <v>0</v>
      </c>
      <c r="X69" s="224">
        <v>0</v>
      </c>
      <c r="Y69" s="224">
        <v>0</v>
      </c>
      <c r="Z69" s="224"/>
      <c r="AA69" s="224"/>
      <c r="AB69" s="224"/>
      <c r="AC69" s="224"/>
      <c r="AD69" s="224"/>
      <c r="AE69" s="224"/>
      <c r="AF69" s="224"/>
      <c r="AG69" s="224"/>
      <c r="AH69" s="224"/>
      <c r="AI69" s="224">
        <v>0</v>
      </c>
      <c r="AJ69" s="224"/>
      <c r="AK69" s="224"/>
      <c r="AL69" s="224"/>
      <c r="AM69" s="224"/>
      <c r="AN69" s="224">
        <v>0</v>
      </c>
      <c r="AO69" s="246">
        <f t="shared" si="21"/>
        <v>0</v>
      </c>
      <c r="AP69" s="259"/>
      <c r="AR69" s="252"/>
    </row>
    <row r="70" spans="1:44" s="30" customFormat="1" x14ac:dyDescent="0.2">
      <c r="A70" s="69" t="s">
        <v>82</v>
      </c>
      <c r="B70" s="47">
        <v>-2006.733902372393</v>
      </c>
      <c r="C70" s="47">
        <v>8678.8426901433377</v>
      </c>
      <c r="D70" s="47">
        <v>10750.533999999994</v>
      </c>
      <c r="E70" s="47">
        <v>3734.2019999999989</v>
      </c>
      <c r="F70" s="47">
        <v>4565.3810499999963</v>
      </c>
      <c r="G70" s="47">
        <v>6866.4037036051204</v>
      </c>
      <c r="H70" s="47">
        <v>6310.8742679560974</v>
      </c>
      <c r="I70" s="47">
        <v>21476.861021561232</v>
      </c>
      <c r="J70" s="47">
        <v>5821.9266300000018</v>
      </c>
      <c r="K70" s="47">
        <v>4768.9984299999915</v>
      </c>
      <c r="L70" s="47">
        <v>7139.3402800000058</v>
      </c>
      <c r="M70" s="47">
        <v>8856.215353946729</v>
      </c>
      <c r="N70" s="47">
        <v>26586.480693946687</v>
      </c>
      <c r="O70" s="47">
        <v>8485</v>
      </c>
      <c r="P70" s="47">
        <v>8196</v>
      </c>
      <c r="Q70" s="47">
        <v>9791.5519800000002</v>
      </c>
      <c r="R70" s="47">
        <v>10565.465441561541</v>
      </c>
      <c r="S70" s="47">
        <v>37038.447421561541</v>
      </c>
      <c r="T70" s="47">
        <v>10392</v>
      </c>
      <c r="U70" s="47">
        <v>13200</v>
      </c>
      <c r="V70" s="47">
        <v>15215</v>
      </c>
      <c r="W70" s="47">
        <v>16302</v>
      </c>
      <c r="X70" s="47">
        <v>55108.882370000007</v>
      </c>
      <c r="Y70" s="47">
        <v>14568</v>
      </c>
      <c r="Z70" s="47">
        <v>18473</v>
      </c>
      <c r="AA70" s="47">
        <v>20065</v>
      </c>
      <c r="AB70" s="47">
        <v>19179.837000000003</v>
      </c>
      <c r="AC70" s="47">
        <v>72285.837</v>
      </c>
      <c r="AD70" s="47">
        <v>17384.2</v>
      </c>
      <c r="AE70" s="47">
        <v>17282.099999999999</v>
      </c>
      <c r="AF70" s="47">
        <v>24014</v>
      </c>
      <c r="AG70" s="47">
        <f>SUM(AG65:AG68)</f>
        <v>27222.200000000004</v>
      </c>
      <c r="AH70" s="47">
        <f>SUM(AH65:AH68)</f>
        <v>85902.5</v>
      </c>
      <c r="AI70" s="47">
        <f t="shared" ref="AI70:AN70" si="25">AI28+AI67+AI66+AI68</f>
        <v>23670.375400000001</v>
      </c>
      <c r="AJ70" s="47">
        <f t="shared" si="25"/>
        <v>15269.9848</v>
      </c>
      <c r="AK70" s="47">
        <f t="shared" si="25"/>
        <v>18834</v>
      </c>
      <c r="AL70" s="47">
        <f t="shared" si="25"/>
        <v>20247</v>
      </c>
      <c r="AM70" s="47">
        <f t="shared" si="25"/>
        <v>78021</v>
      </c>
      <c r="AN70" s="47">
        <f t="shared" si="25"/>
        <v>19782</v>
      </c>
      <c r="AO70" s="29">
        <f t="shared" si="21"/>
        <v>-0.36019999999916763</v>
      </c>
      <c r="AP70" s="264"/>
      <c r="AR70" s="252"/>
    </row>
    <row r="71" spans="1:44" x14ac:dyDescent="0.2">
      <c r="A71" s="158" t="s">
        <v>72</v>
      </c>
      <c r="B71" s="151" t="s">
        <v>101</v>
      </c>
      <c r="C71" s="156">
        <v>8.7949950291956666E-2</v>
      </c>
      <c r="D71" s="156">
        <v>7.0712062660956879E-2</v>
      </c>
      <c r="E71" s="156">
        <v>8.4044450312183244E-2</v>
      </c>
      <c r="F71" s="156">
        <v>9.7104323814805507E-2</v>
      </c>
      <c r="G71" s="156">
        <v>0.14743345274993608</v>
      </c>
      <c r="H71" s="156">
        <v>0.14443221304759682</v>
      </c>
      <c r="I71" s="156">
        <v>0.11819061309023418</v>
      </c>
      <c r="J71" s="156">
        <v>0.14204782696226334</v>
      </c>
      <c r="K71" s="156">
        <v>0.11251543546423294</v>
      </c>
      <c r="L71" s="156">
        <v>0.14816279125590151</v>
      </c>
      <c r="M71" s="156">
        <v>0.16290857871563275</v>
      </c>
      <c r="N71" s="156">
        <v>0.14299969280372749</v>
      </c>
      <c r="O71" s="156">
        <v>0.15571950301895796</v>
      </c>
      <c r="P71" s="156">
        <v>0.13516054024637608</v>
      </c>
      <c r="Q71" s="156">
        <v>0.14487759088555152</v>
      </c>
      <c r="R71" s="156">
        <v>0.15084848054089725</v>
      </c>
      <c r="S71" s="156">
        <v>0.14653994468342624</v>
      </c>
      <c r="T71" s="156">
        <v>0.14253775357647414</v>
      </c>
      <c r="U71" s="156">
        <v>0.15524297878345958</v>
      </c>
      <c r="V71" s="156">
        <v>0.15211045128266651</v>
      </c>
      <c r="W71" s="156">
        <v>0.15891986742054981</v>
      </c>
      <c r="X71" s="156">
        <v>0.15285052842811223</v>
      </c>
      <c r="Y71" s="156">
        <v>0.13926277148975222</v>
      </c>
      <c r="Z71" s="156">
        <v>0.17099879663056558</v>
      </c>
      <c r="AA71" s="156">
        <v>0.17813545929917701</v>
      </c>
      <c r="AB71" s="156">
        <v>0.1630203819707105</v>
      </c>
      <c r="AC71" s="156">
        <v>0.16319923464204275</v>
      </c>
      <c r="AD71" s="156">
        <v>0.14985604192886576</v>
      </c>
      <c r="AE71" s="156">
        <v>0.14897334666574719</v>
      </c>
      <c r="AF71" s="156">
        <v>0.19632915014511712</v>
      </c>
      <c r="AG71" s="156">
        <f t="shared" ref="AG71:AM71" si="26">IF(AG70/AG63&lt;0, "NM",AG70/AG63)</f>
        <v>0.21869788068190951</v>
      </c>
      <c r="AH71" s="156">
        <f t="shared" si="26"/>
        <v>0.17941094771753727</v>
      </c>
      <c r="AI71" s="156">
        <f t="shared" si="26"/>
        <v>0.19047844497376637</v>
      </c>
      <c r="AJ71" s="156">
        <f t="shared" si="26"/>
        <v>0.12171585894656294</v>
      </c>
      <c r="AK71" s="156">
        <f t="shared" si="26"/>
        <v>0.14259215796128191</v>
      </c>
      <c r="AL71" s="156">
        <f t="shared" si="26"/>
        <v>0.14078209959810317</v>
      </c>
      <c r="AM71" s="156">
        <f t="shared" si="26"/>
        <v>0.14843472057074911</v>
      </c>
      <c r="AN71" s="156">
        <f t="shared" ref="AN71" si="27">IF(AN70/AN63&lt;0, "NM",AN70/AN63)</f>
        <v>0.13784405267925581</v>
      </c>
      <c r="AO71" s="31">
        <f t="shared" si="21"/>
        <v>-0.4471338409089653</v>
      </c>
      <c r="AP71" s="260"/>
      <c r="AR71" s="252"/>
    </row>
    <row r="72" spans="1:44" s="30" customFormat="1" x14ac:dyDescent="0.2">
      <c r="A72" s="70" t="s">
        <v>160</v>
      </c>
      <c r="B72" s="38" t="s">
        <v>96</v>
      </c>
      <c r="C72" s="38" t="s">
        <v>101</v>
      </c>
      <c r="D72" s="38" t="s">
        <v>96</v>
      </c>
      <c r="E72" s="38" t="s">
        <v>96</v>
      </c>
      <c r="F72" s="37">
        <v>0.22258545467010027</v>
      </c>
      <c r="G72" s="37">
        <v>0.50401546517242535</v>
      </c>
      <c r="H72" s="37">
        <v>-8.0905443319236992E-2</v>
      </c>
      <c r="I72" s="38" t="s">
        <v>96</v>
      </c>
      <c r="J72" s="37">
        <v>-7.7477005117779219E-2</v>
      </c>
      <c r="K72" s="37">
        <v>-0.1808556285430224</v>
      </c>
      <c r="L72" s="37">
        <v>0.49703137562157229</v>
      </c>
      <c r="M72" s="37">
        <v>0.24048091372760871</v>
      </c>
      <c r="N72" s="38" t="s">
        <v>96</v>
      </c>
      <c r="O72" s="37">
        <v>-4.1915800272550818E-2</v>
      </c>
      <c r="P72" s="37">
        <v>-3.4060106069534468E-2</v>
      </c>
      <c r="Q72" s="37">
        <v>0.1946744729136165</v>
      </c>
      <c r="R72" s="37">
        <v>7.9038896299822303E-2</v>
      </c>
      <c r="S72" s="38" t="s">
        <v>96</v>
      </c>
      <c r="T72" s="37">
        <v>-1.641815427072213E-2</v>
      </c>
      <c r="U72" s="37">
        <v>0.27020785219399546</v>
      </c>
      <c r="V72" s="37">
        <v>0.15265151515151509</v>
      </c>
      <c r="W72" s="37">
        <v>7.1442655274400302E-2</v>
      </c>
      <c r="X72" s="38" t="s">
        <v>96</v>
      </c>
      <c r="Y72" s="37">
        <v>-0.10636731689363266</v>
      </c>
      <c r="Z72" s="37">
        <v>0.26805326743547497</v>
      </c>
      <c r="AA72" s="37">
        <v>8.6179830022194537E-2</v>
      </c>
      <c r="AB72" s="37">
        <v>-4.4114776974831682E-2</v>
      </c>
      <c r="AC72" s="38" t="s">
        <v>96</v>
      </c>
      <c r="AD72" s="37">
        <v>-9.3621077175994882E-2</v>
      </c>
      <c r="AE72" s="37">
        <v>-5.8731491814407732E-3</v>
      </c>
      <c r="AF72" s="37">
        <v>0.38953020755579493</v>
      </c>
      <c r="AG72" s="37">
        <f>AG70/AF70-1</f>
        <v>0.13359706837678043</v>
      </c>
      <c r="AH72" s="38" t="s">
        <v>96</v>
      </c>
      <c r="AI72" s="37">
        <f>AI70/AG70-1</f>
        <v>-0.13047529589820084</v>
      </c>
      <c r="AJ72" s="37">
        <f>AJ70/AI70-1</f>
        <v>-0.35489046785459943</v>
      </c>
      <c r="AK72" s="37">
        <f>AK70/AJ70-1</f>
        <v>0.23340004896403044</v>
      </c>
      <c r="AL72" s="37">
        <f>AL70/AK70-1</f>
        <v>7.5023892959541261E-2</v>
      </c>
      <c r="AM72" s="38" t="s">
        <v>96</v>
      </c>
      <c r="AN72" s="37">
        <f>AN70/AL70-1</f>
        <v>-2.2966365387464771E-2</v>
      </c>
      <c r="AO72" s="29"/>
      <c r="AP72" s="260"/>
      <c r="AR72" s="252"/>
    </row>
    <row r="73" spans="1:44" ht="13.5" thickBot="1" x14ac:dyDescent="0.25">
      <c r="A73" s="160" t="s">
        <v>161</v>
      </c>
      <c r="B73" s="103" t="s">
        <v>96</v>
      </c>
      <c r="C73" s="103" t="s">
        <v>101</v>
      </c>
      <c r="D73" s="104">
        <v>0.23870594085194097</v>
      </c>
      <c r="E73" s="103" t="s">
        <v>96</v>
      </c>
      <c r="F73" s="103" t="s">
        <v>96</v>
      </c>
      <c r="G73" s="103" t="s">
        <v>96</v>
      </c>
      <c r="H73" s="103" t="s">
        <v>96</v>
      </c>
      <c r="I73" s="104">
        <v>0.99774829990410185</v>
      </c>
      <c r="J73" s="104">
        <v>0.55908186809390692</v>
      </c>
      <c r="K73" s="104">
        <v>4.460030340731258E-2</v>
      </c>
      <c r="L73" s="104">
        <v>3.9749567339243841E-2</v>
      </c>
      <c r="M73" s="104">
        <v>0.4033262235812205</v>
      </c>
      <c r="N73" s="104">
        <v>0.23791277818745304</v>
      </c>
      <c r="O73" s="104">
        <v>0.45742132102410182</v>
      </c>
      <c r="P73" s="104">
        <v>0.71859985284164063</v>
      </c>
      <c r="Q73" s="104">
        <v>0.37149254636732243</v>
      </c>
      <c r="R73" s="104">
        <v>0.19300005920171004</v>
      </c>
      <c r="S73" s="104">
        <v>0.39313088663121176</v>
      </c>
      <c r="T73" s="104">
        <v>0.2247495580436063</v>
      </c>
      <c r="U73" s="104">
        <v>0.61054172767203507</v>
      </c>
      <c r="V73" s="104">
        <v>0.55389054064951204</v>
      </c>
      <c r="W73" s="104">
        <v>0.54295142889517778</v>
      </c>
      <c r="X73" s="104">
        <v>0.48788316483047156</v>
      </c>
      <c r="Y73" s="104">
        <v>0.40184757505773683</v>
      </c>
      <c r="Z73" s="104">
        <v>0.39946969696969692</v>
      </c>
      <c r="AA73" s="104">
        <v>0.31876437725928364</v>
      </c>
      <c r="AB73" s="104">
        <v>0.17653275671696744</v>
      </c>
      <c r="AC73" s="104">
        <v>0.31169121730094695</v>
      </c>
      <c r="AD73" s="104">
        <v>0.19331411312465674</v>
      </c>
      <c r="AE73" s="104">
        <v>-6.4467060033562618E-2</v>
      </c>
      <c r="AF73" s="104">
        <v>0.19681036630949422</v>
      </c>
      <c r="AG73" s="104">
        <f t="shared" ref="AG73:AN73" si="28">AG70/AB70-1</f>
        <v>0.41931341752278706</v>
      </c>
      <c r="AH73" s="104">
        <f t="shared" si="28"/>
        <v>0.18837248851389798</v>
      </c>
      <c r="AI73" s="104">
        <f t="shared" si="28"/>
        <v>0.36160280024389957</v>
      </c>
      <c r="AJ73" s="104">
        <f t="shared" si="28"/>
        <v>-0.11642770265187674</v>
      </c>
      <c r="AK73" s="104">
        <f t="shared" si="28"/>
        <v>-0.21570750395602567</v>
      </c>
      <c r="AL73" s="104">
        <f t="shared" si="28"/>
        <v>-0.25623204590371107</v>
      </c>
      <c r="AM73" s="104">
        <f t="shared" si="28"/>
        <v>-9.174936701492975E-2</v>
      </c>
      <c r="AN73" s="104">
        <f t="shared" si="28"/>
        <v>-0.16427180956327381</v>
      </c>
      <c r="AO73" s="31">
        <f t="shared" si="21"/>
        <v>0.13501508525278416</v>
      </c>
      <c r="AP73" s="260"/>
      <c r="AR73" s="252"/>
    </row>
    <row r="74" spans="1:44" ht="6" customHeight="1" x14ac:dyDescent="0.2">
      <c r="A74" s="161"/>
      <c r="B74" s="38"/>
      <c r="C74" s="37"/>
      <c r="D74" s="37"/>
      <c r="E74" s="38"/>
      <c r="F74" s="38"/>
      <c r="G74" s="38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1">
        <f t="shared" si="21"/>
        <v>0</v>
      </c>
      <c r="AP74" s="260"/>
      <c r="AR74" s="252"/>
    </row>
    <row r="75" spans="1:44" x14ac:dyDescent="0.2">
      <c r="A75" s="69" t="s">
        <v>81</v>
      </c>
      <c r="B75" s="47">
        <v>-2072.6909023723929</v>
      </c>
      <c r="C75" s="47">
        <v>5524.5766901433381</v>
      </c>
      <c r="D75" s="47">
        <v>4813.8619999999937</v>
      </c>
      <c r="E75" s="47">
        <v>2533.744999999999</v>
      </c>
      <c r="F75" s="47">
        <v>2458.1699999999964</v>
      </c>
      <c r="G75" s="47">
        <v>5264.5247036051205</v>
      </c>
      <c r="H75" s="47">
        <v>5408.1440000000021</v>
      </c>
      <c r="I75" s="47">
        <v>15664.583703605138</v>
      </c>
      <c r="J75" s="47">
        <v>4282.9266300000018</v>
      </c>
      <c r="K75" s="47">
        <v>2794.8874299999916</v>
      </c>
      <c r="L75" s="47">
        <v>5179.3402800000058</v>
      </c>
      <c r="M75" s="47">
        <v>12143.762570000006</v>
      </c>
      <c r="N75" s="47">
        <v>24400.916909999964</v>
      </c>
      <c r="O75" s="47">
        <v>6476</v>
      </c>
      <c r="P75" s="47">
        <v>5272</v>
      </c>
      <c r="Q75" s="47">
        <v>6983</v>
      </c>
      <c r="R75" s="47">
        <v>7792.2510099999781</v>
      </c>
      <c r="S75" s="47">
        <v>26523.251009999978</v>
      </c>
      <c r="T75" s="47">
        <v>7508</v>
      </c>
      <c r="U75" s="47">
        <v>9408</v>
      </c>
      <c r="V75" s="47">
        <v>11660</v>
      </c>
      <c r="W75" s="47">
        <v>12742</v>
      </c>
      <c r="X75" s="47">
        <v>41318</v>
      </c>
      <c r="Y75" s="47">
        <v>10431</v>
      </c>
      <c r="Z75" s="47">
        <v>14393</v>
      </c>
      <c r="AA75" s="47">
        <v>16870</v>
      </c>
      <c r="AB75" s="47">
        <v>15538</v>
      </c>
      <c r="AC75" s="47">
        <v>57232</v>
      </c>
      <c r="AD75" s="47">
        <v>12105.2</v>
      </c>
      <c r="AE75" s="47">
        <v>12827</v>
      </c>
      <c r="AF75" s="47">
        <v>19513</v>
      </c>
      <c r="AG75" s="47">
        <f t="shared" ref="AG75:AM75" si="29">AG65</f>
        <v>22974.800000000003</v>
      </c>
      <c r="AH75" s="47">
        <f t="shared" si="29"/>
        <v>67420</v>
      </c>
      <c r="AI75" s="47">
        <f t="shared" si="29"/>
        <v>15487</v>
      </c>
      <c r="AJ75" s="47">
        <f t="shared" si="29"/>
        <v>6097</v>
      </c>
      <c r="AK75" s="47">
        <f t="shared" si="29"/>
        <v>5391</v>
      </c>
      <c r="AL75" s="47">
        <f t="shared" si="29"/>
        <v>7065</v>
      </c>
      <c r="AM75" s="47">
        <f t="shared" si="29"/>
        <v>34040</v>
      </c>
      <c r="AN75" s="47">
        <f t="shared" ref="AN75" si="30">AN65</f>
        <v>13468</v>
      </c>
      <c r="AO75" s="31">
        <f t="shared" si="21"/>
        <v>0</v>
      </c>
      <c r="AP75" s="264"/>
      <c r="AR75" s="252"/>
    </row>
    <row r="76" spans="1:44" x14ac:dyDescent="0.2">
      <c r="A76" s="73" t="s">
        <v>155</v>
      </c>
      <c r="B76" s="122">
        <v>3946.1463397419789</v>
      </c>
      <c r="C76" s="122">
        <v>5918.6840899223926</v>
      </c>
      <c r="D76" s="122">
        <v>7581.8509999999987</v>
      </c>
      <c r="E76" s="122">
        <v>2303.1610000000001</v>
      </c>
      <c r="F76" s="122">
        <v>2733.259</v>
      </c>
      <c r="G76" s="122">
        <v>2781.4578700000002</v>
      </c>
      <c r="H76" s="122">
        <v>2804.0540000000001</v>
      </c>
      <c r="I76" s="122">
        <v>10621.931869999999</v>
      </c>
      <c r="J76" s="122">
        <v>2430.2344899999998</v>
      </c>
      <c r="K76" s="122">
        <v>2788.9193099999998</v>
      </c>
      <c r="L76" s="122">
        <v>2834.00569</v>
      </c>
      <c r="M76" s="122">
        <v>3184.8104460532768</v>
      </c>
      <c r="N76" s="122">
        <v>11237.969936053278</v>
      </c>
      <c r="O76" s="122">
        <v>2892</v>
      </c>
      <c r="P76" s="122">
        <v>3337</v>
      </c>
      <c r="Q76" s="122">
        <v>3530.4480199999998</v>
      </c>
      <c r="R76" s="122">
        <v>4051.0771799999993</v>
      </c>
      <c r="S76" s="122">
        <v>13810.825199999999</v>
      </c>
      <c r="T76" s="122">
        <v>4216</v>
      </c>
      <c r="U76" s="122">
        <v>4197</v>
      </c>
      <c r="V76" s="122">
        <v>5048</v>
      </c>
      <c r="W76" s="122">
        <v>5204</v>
      </c>
      <c r="X76" s="122">
        <v>18665.330089999999</v>
      </c>
      <c r="Y76" s="122">
        <v>4965</v>
      </c>
      <c r="Z76" s="122">
        <v>4675</v>
      </c>
      <c r="AA76" s="122">
        <v>5009</v>
      </c>
      <c r="AB76" s="122">
        <v>5336.3490000000002</v>
      </c>
      <c r="AC76" s="122">
        <v>19985.349000000002</v>
      </c>
      <c r="AD76" s="122">
        <v>4878</v>
      </c>
      <c r="AE76" s="122">
        <v>4766.47</v>
      </c>
      <c r="AF76" s="122">
        <v>4435</v>
      </c>
      <c r="AG76" s="122">
        <v>4537.6000000000004</v>
      </c>
      <c r="AH76" s="122">
        <v>18617.07</v>
      </c>
      <c r="AI76" s="122">
        <f t="shared" ref="AI76:AN76" si="31">-AI23-AI66</f>
        <v>4819.6246000000001</v>
      </c>
      <c r="AJ76" s="122">
        <f t="shared" si="31"/>
        <v>5190.0151999999998</v>
      </c>
      <c r="AK76" s="122">
        <f t="shared" si="31"/>
        <v>5573</v>
      </c>
      <c r="AL76" s="122">
        <f t="shared" si="31"/>
        <v>5822</v>
      </c>
      <c r="AM76" s="122">
        <f t="shared" si="31"/>
        <v>21405</v>
      </c>
      <c r="AN76" s="122">
        <f t="shared" si="31"/>
        <v>4994</v>
      </c>
      <c r="AO76" s="31">
        <f t="shared" si="21"/>
        <v>0.36020000000007713</v>
      </c>
      <c r="AP76" s="272"/>
      <c r="AR76" s="252"/>
    </row>
    <row r="77" spans="1:44" x14ac:dyDescent="0.2">
      <c r="A77" s="73" t="s">
        <v>156</v>
      </c>
      <c r="B77" s="122">
        <v>0</v>
      </c>
      <c r="C77" s="122">
        <v>1180</v>
      </c>
      <c r="D77" s="122">
        <v>1630</v>
      </c>
      <c r="E77" s="122">
        <v>212.12899999999999</v>
      </c>
      <c r="F77" s="122">
        <v>220.62299999999999</v>
      </c>
      <c r="G77" s="122">
        <v>50.624000000000002</v>
      </c>
      <c r="H77" s="122">
        <v>50.625</v>
      </c>
      <c r="I77" s="122">
        <v>534.00099999999998</v>
      </c>
      <c r="J77" s="122">
        <v>0</v>
      </c>
      <c r="K77" s="122">
        <v>0</v>
      </c>
      <c r="L77" s="122">
        <v>84</v>
      </c>
      <c r="M77" s="122">
        <v>83.452783946723102</v>
      </c>
      <c r="N77" s="122">
        <v>167.45278394672312</v>
      </c>
      <c r="O77" s="122">
        <v>181</v>
      </c>
      <c r="P77" s="122">
        <v>520</v>
      </c>
      <c r="Q77" s="122">
        <v>687.55198000000007</v>
      </c>
      <c r="R77" s="122">
        <v>635.1928200000001</v>
      </c>
      <c r="S77" s="122">
        <v>2024.1748000000002</v>
      </c>
      <c r="T77" s="122">
        <v>636</v>
      </c>
      <c r="U77" s="122">
        <v>913</v>
      </c>
      <c r="V77" s="122">
        <v>1395</v>
      </c>
      <c r="W77" s="122">
        <v>1385</v>
      </c>
      <c r="X77" s="122">
        <v>4328.6699100000005</v>
      </c>
      <c r="Y77" s="122">
        <v>1394</v>
      </c>
      <c r="Z77" s="122">
        <v>1365</v>
      </c>
      <c r="AA77" s="122">
        <v>1324</v>
      </c>
      <c r="AB77" s="122">
        <v>1554.6510000000001</v>
      </c>
      <c r="AC77" s="122">
        <v>5637.6509999999998</v>
      </c>
      <c r="AD77" s="122">
        <v>1634</v>
      </c>
      <c r="AE77" s="122">
        <v>1595.53</v>
      </c>
      <c r="AF77" s="122">
        <v>1534</v>
      </c>
      <c r="AG77" s="122">
        <v>1536.4</v>
      </c>
      <c r="AH77" s="122">
        <v>6299.93</v>
      </c>
      <c r="AI77" s="122">
        <f t="shared" ref="AI77:AJ79" si="32">AI66</f>
        <v>1536.3753999999999</v>
      </c>
      <c r="AJ77" s="122">
        <f t="shared" si="32"/>
        <v>1488.9848000000002</v>
      </c>
      <c r="AK77" s="122">
        <f t="shared" ref="AK77:AN77" si="33">AK66</f>
        <v>1441</v>
      </c>
      <c r="AL77" s="122">
        <f t="shared" si="33"/>
        <v>2157</v>
      </c>
      <c r="AM77" s="122">
        <f t="shared" si="33"/>
        <v>6623</v>
      </c>
      <c r="AN77" s="122">
        <f t="shared" si="33"/>
        <v>2059</v>
      </c>
      <c r="AO77" s="31">
        <f t="shared" si="21"/>
        <v>-0.36020000000007713</v>
      </c>
      <c r="AP77" s="272"/>
      <c r="AR77" s="252"/>
    </row>
    <row r="78" spans="1:44" x14ac:dyDescent="0.2">
      <c r="A78" s="73" t="s">
        <v>154</v>
      </c>
      <c r="B78" s="122">
        <v>65.956999999999994</v>
      </c>
      <c r="C78" s="122">
        <v>1974.2660000000001</v>
      </c>
      <c r="D78" s="122">
        <v>4306.6720000000005</v>
      </c>
      <c r="E78" s="122">
        <v>988.32799999999997</v>
      </c>
      <c r="F78" s="122">
        <v>1886.5880500000001</v>
      </c>
      <c r="G78" s="122">
        <v>1551.2550000000001</v>
      </c>
      <c r="H78" s="122">
        <v>852.10526795609553</v>
      </c>
      <c r="I78" s="122">
        <v>5278.2763179560952</v>
      </c>
      <c r="J78" s="122">
        <v>1539</v>
      </c>
      <c r="K78" s="122">
        <v>1974.1110000000001</v>
      </c>
      <c r="L78" s="122">
        <v>1876</v>
      </c>
      <c r="M78" s="122">
        <v>1704</v>
      </c>
      <c r="N78" s="122">
        <v>7093.1109999999999</v>
      </c>
      <c r="O78" s="122">
        <v>1828</v>
      </c>
      <c r="P78" s="122">
        <v>2404</v>
      </c>
      <c r="Q78" s="122">
        <v>2121</v>
      </c>
      <c r="R78" s="122">
        <v>2138.0216115615622</v>
      </c>
      <c r="S78" s="122">
        <v>8491.0216115615622</v>
      </c>
      <c r="T78" s="122">
        <v>2248</v>
      </c>
      <c r="U78" s="122">
        <v>2879</v>
      </c>
      <c r="V78" s="122">
        <v>2160</v>
      </c>
      <c r="W78" s="122">
        <v>2175</v>
      </c>
      <c r="X78" s="122">
        <v>9462.2124600000006</v>
      </c>
      <c r="Y78" s="122">
        <v>2743</v>
      </c>
      <c r="Z78" s="122">
        <v>2715</v>
      </c>
      <c r="AA78" s="122">
        <v>1871</v>
      </c>
      <c r="AB78" s="122">
        <v>2087.1860000000001</v>
      </c>
      <c r="AC78" s="122">
        <v>9416.1859999999997</v>
      </c>
      <c r="AD78" s="122">
        <v>3645</v>
      </c>
      <c r="AE78" s="122">
        <v>2859.57</v>
      </c>
      <c r="AF78" s="122">
        <v>2967</v>
      </c>
      <c r="AG78" s="122">
        <v>2360</v>
      </c>
      <c r="AH78" s="122">
        <v>11831.57</v>
      </c>
      <c r="AI78" s="122">
        <f t="shared" si="32"/>
        <v>4176</v>
      </c>
      <c r="AJ78" s="122">
        <f t="shared" si="32"/>
        <v>1966</v>
      </c>
      <c r="AK78" s="122">
        <f t="shared" ref="AK78:AN78" si="34">AK67</f>
        <v>2376</v>
      </c>
      <c r="AL78" s="122">
        <f t="shared" si="34"/>
        <v>2493</v>
      </c>
      <c r="AM78" s="122">
        <f t="shared" si="34"/>
        <v>11011</v>
      </c>
      <c r="AN78" s="122">
        <f t="shared" si="34"/>
        <v>4255</v>
      </c>
      <c r="AO78" s="31">
        <f t="shared" si="21"/>
        <v>0</v>
      </c>
      <c r="AP78" s="272"/>
      <c r="AR78" s="252"/>
    </row>
    <row r="79" spans="1:44" x14ac:dyDescent="0.2">
      <c r="A79" s="73" t="s">
        <v>200</v>
      </c>
      <c r="B79" s="224">
        <v>0</v>
      </c>
      <c r="C79" s="224">
        <v>0</v>
      </c>
      <c r="D79" s="224">
        <v>0</v>
      </c>
      <c r="E79" s="224">
        <v>0</v>
      </c>
      <c r="F79" s="224">
        <v>0</v>
      </c>
      <c r="G79" s="224">
        <v>0</v>
      </c>
      <c r="H79" s="224">
        <v>0</v>
      </c>
      <c r="I79" s="224">
        <v>0</v>
      </c>
      <c r="J79" s="224">
        <v>0</v>
      </c>
      <c r="K79" s="224">
        <v>0</v>
      </c>
      <c r="L79" s="224">
        <v>0</v>
      </c>
      <c r="M79" s="224">
        <v>0</v>
      </c>
      <c r="N79" s="224">
        <v>0</v>
      </c>
      <c r="O79" s="224">
        <v>0</v>
      </c>
      <c r="P79" s="224">
        <v>0</v>
      </c>
      <c r="Q79" s="224">
        <v>0</v>
      </c>
      <c r="R79" s="224">
        <v>0</v>
      </c>
      <c r="S79" s="224">
        <v>0</v>
      </c>
      <c r="T79" s="224">
        <v>0</v>
      </c>
      <c r="U79" s="224">
        <v>0</v>
      </c>
      <c r="V79" s="224">
        <v>0</v>
      </c>
      <c r="W79" s="224">
        <v>0</v>
      </c>
      <c r="X79" s="224">
        <v>0</v>
      </c>
      <c r="Y79" s="224">
        <v>0</v>
      </c>
      <c r="Z79" s="224">
        <v>0</v>
      </c>
      <c r="AA79" s="224">
        <v>0</v>
      </c>
      <c r="AB79" s="224">
        <v>0</v>
      </c>
      <c r="AC79" s="224">
        <v>0</v>
      </c>
      <c r="AD79" s="224">
        <v>0</v>
      </c>
      <c r="AE79" s="224">
        <v>0</v>
      </c>
      <c r="AF79" s="224">
        <v>0</v>
      </c>
      <c r="AG79" s="152">
        <f>AG68</f>
        <v>351</v>
      </c>
      <c r="AH79" s="152">
        <f>AH68</f>
        <v>351</v>
      </c>
      <c r="AI79" s="122">
        <f t="shared" si="32"/>
        <v>2471</v>
      </c>
      <c r="AJ79" s="122">
        <f t="shared" si="32"/>
        <v>5718</v>
      </c>
      <c r="AK79" s="122">
        <f t="shared" ref="AK79:AN79" si="35">AK68</f>
        <v>9626</v>
      </c>
      <c r="AL79" s="122">
        <f t="shared" si="35"/>
        <v>8532</v>
      </c>
      <c r="AM79" s="152">
        <f t="shared" si="35"/>
        <v>26347</v>
      </c>
      <c r="AN79" s="122">
        <f t="shared" si="35"/>
        <v>0</v>
      </c>
      <c r="AO79" s="31">
        <f t="shared" si="21"/>
        <v>0</v>
      </c>
      <c r="AP79" s="272"/>
      <c r="AR79" s="252"/>
    </row>
    <row r="80" spans="1:44" s="225" customFormat="1" x14ac:dyDescent="0.2">
      <c r="A80" s="223" t="s">
        <v>166</v>
      </c>
      <c r="B80" s="224">
        <v>0</v>
      </c>
      <c r="C80" s="224">
        <v>0</v>
      </c>
      <c r="D80" s="224">
        <v>0</v>
      </c>
      <c r="E80" s="224">
        <v>0</v>
      </c>
      <c r="F80" s="224">
        <v>0</v>
      </c>
      <c r="G80" s="224">
        <v>0</v>
      </c>
      <c r="H80" s="224">
        <v>0</v>
      </c>
      <c r="I80" s="224">
        <v>0</v>
      </c>
      <c r="J80" s="224">
        <v>0</v>
      </c>
      <c r="K80" s="224">
        <v>0</v>
      </c>
      <c r="L80" s="224">
        <v>0</v>
      </c>
      <c r="M80" s="224">
        <v>-5075</v>
      </c>
      <c r="N80" s="224">
        <v>-5075</v>
      </c>
      <c r="O80" s="224">
        <v>0</v>
      </c>
      <c r="P80" s="224">
        <v>0</v>
      </c>
      <c r="Q80" s="224">
        <v>0</v>
      </c>
      <c r="R80" s="224">
        <v>0</v>
      </c>
      <c r="S80" s="224">
        <v>0</v>
      </c>
      <c r="T80" s="224">
        <v>0</v>
      </c>
      <c r="U80" s="224">
        <v>0</v>
      </c>
      <c r="V80" s="224">
        <v>0</v>
      </c>
      <c r="W80" s="224">
        <v>0</v>
      </c>
      <c r="X80" s="224">
        <v>0</v>
      </c>
      <c r="Y80" s="224">
        <v>0</v>
      </c>
      <c r="Z80" s="224">
        <v>0</v>
      </c>
      <c r="AA80" s="224">
        <v>0</v>
      </c>
      <c r="AB80" s="224">
        <v>0</v>
      </c>
      <c r="AC80" s="224">
        <v>0</v>
      </c>
      <c r="AD80" s="224">
        <v>0</v>
      </c>
      <c r="AE80" s="224">
        <v>0</v>
      </c>
      <c r="AF80" s="224"/>
      <c r="AG80" s="224"/>
      <c r="AH80" s="224">
        <v>0</v>
      </c>
      <c r="AI80" s="224">
        <v>0</v>
      </c>
      <c r="AJ80" s="224">
        <v>0</v>
      </c>
      <c r="AK80" s="224">
        <v>0</v>
      </c>
      <c r="AL80" s="224"/>
      <c r="AM80" s="224">
        <v>0</v>
      </c>
      <c r="AN80" s="224">
        <v>0</v>
      </c>
      <c r="AO80" s="246">
        <f t="shared" si="21"/>
        <v>0</v>
      </c>
      <c r="AP80" s="259"/>
      <c r="AR80" s="252"/>
    </row>
    <row r="81" spans="1:46" x14ac:dyDescent="0.2">
      <c r="A81" s="69" t="s">
        <v>150</v>
      </c>
      <c r="B81" s="47">
        <v>1939.4124373695859</v>
      </c>
      <c r="C81" s="47">
        <v>14597.526780065731</v>
      </c>
      <c r="D81" s="47">
        <v>18332.384999999995</v>
      </c>
      <c r="E81" s="47">
        <v>6037.3629999999994</v>
      </c>
      <c r="F81" s="47">
        <v>7298.6400499999963</v>
      </c>
      <c r="G81" s="47">
        <v>9647.8615736051215</v>
      </c>
      <c r="H81" s="47">
        <v>9114.9282679560984</v>
      </c>
      <c r="I81" s="47">
        <v>32098.792891561236</v>
      </c>
      <c r="J81" s="47">
        <v>8252.1611200000007</v>
      </c>
      <c r="K81" s="47">
        <v>7557.9177399999908</v>
      </c>
      <c r="L81" s="47">
        <v>9973.3459700000058</v>
      </c>
      <c r="M81" s="47">
        <v>12041.025800000007</v>
      </c>
      <c r="N81" s="47">
        <v>37824.450629999963</v>
      </c>
      <c r="O81" s="47">
        <v>11377</v>
      </c>
      <c r="P81" s="47">
        <v>11533</v>
      </c>
      <c r="Q81" s="47">
        <v>13322</v>
      </c>
      <c r="R81" s="153">
        <v>14616.43262156154</v>
      </c>
      <c r="S81" s="47">
        <v>50849.27262156154</v>
      </c>
      <c r="T81" s="47">
        <v>14608</v>
      </c>
      <c r="U81" s="47">
        <v>17397</v>
      </c>
      <c r="V81" s="47">
        <v>20263</v>
      </c>
      <c r="W81" s="47">
        <v>21506</v>
      </c>
      <c r="X81" s="47">
        <v>73774.212459999995</v>
      </c>
      <c r="Y81" s="47">
        <v>19533</v>
      </c>
      <c r="Z81" s="47">
        <v>23148</v>
      </c>
      <c r="AA81" s="47">
        <v>25074</v>
      </c>
      <c r="AB81" s="47">
        <v>24516.186000000005</v>
      </c>
      <c r="AC81" s="47">
        <v>92271.186000000002</v>
      </c>
      <c r="AD81" s="47">
        <v>22262.2</v>
      </c>
      <c r="AE81" s="47">
        <v>22048.57</v>
      </c>
      <c r="AF81" s="47">
        <v>28449</v>
      </c>
      <c r="AG81" s="47">
        <f t="shared" ref="AG81:AM81" si="36">AG75+AG76+AG77+AG78+AG79</f>
        <v>31759.800000000003</v>
      </c>
      <c r="AH81" s="47">
        <f t="shared" si="36"/>
        <v>104519.57</v>
      </c>
      <c r="AI81" s="47">
        <f t="shared" si="36"/>
        <v>28490</v>
      </c>
      <c r="AJ81" s="47">
        <f t="shared" si="36"/>
        <v>20460</v>
      </c>
      <c r="AK81" s="47">
        <f t="shared" si="36"/>
        <v>24407</v>
      </c>
      <c r="AL81" s="47">
        <f t="shared" si="36"/>
        <v>26069</v>
      </c>
      <c r="AM81" s="47">
        <f t="shared" si="36"/>
        <v>99426</v>
      </c>
      <c r="AN81" s="47">
        <f t="shared" ref="AN81" si="37">AN75+AN76+AN77+AN78+AN79</f>
        <v>24776</v>
      </c>
      <c r="AO81" s="31">
        <f t="shared" si="21"/>
        <v>0</v>
      </c>
      <c r="AP81" s="264"/>
      <c r="AR81" s="252"/>
    </row>
    <row r="82" spans="1:46" x14ac:dyDescent="0.2">
      <c r="A82" s="158" t="s">
        <v>151</v>
      </c>
      <c r="B82" s="151">
        <v>3.5795458983681631E-2</v>
      </c>
      <c r="C82" s="151">
        <v>0.14792891178340778</v>
      </c>
      <c r="D82" s="151">
        <v>0.12058198754078507</v>
      </c>
      <c r="E82" s="151">
        <v>0.13588093377651064</v>
      </c>
      <c r="F82" s="151">
        <v>0.15523994581414152</v>
      </c>
      <c r="G82" s="151">
        <v>0.20715611910543677</v>
      </c>
      <c r="H82" s="151">
        <v>0.20860647916811836</v>
      </c>
      <c r="I82" s="151">
        <v>0.17664480891790443</v>
      </c>
      <c r="J82" s="151">
        <v>0.20134255021322331</v>
      </c>
      <c r="K82" s="151">
        <v>0.17831467512539143</v>
      </c>
      <c r="L82" s="151">
        <v>0.20697693612048931</v>
      </c>
      <c r="M82" s="151">
        <v>0.2214926264730108</v>
      </c>
      <c r="N82" s="151">
        <v>0.20344493439446718</v>
      </c>
      <c r="O82" s="151">
        <v>0.20879443557415259</v>
      </c>
      <c r="P82" s="151">
        <v>0.19019113112023614</v>
      </c>
      <c r="Q82" s="151">
        <v>0.19711474439594584</v>
      </c>
      <c r="R82" s="151">
        <v>0.20868618274190198</v>
      </c>
      <c r="S82" s="151">
        <v>0.20118147805564618</v>
      </c>
      <c r="T82" s="151">
        <v>0.20036484836846943</v>
      </c>
      <c r="U82" s="151">
        <v>0.2046031895375641</v>
      </c>
      <c r="V82" s="151">
        <v>0.2025773298942275</v>
      </c>
      <c r="W82" s="151">
        <v>0.20965100409436538</v>
      </c>
      <c r="X82" s="151">
        <v>0.20462086825076758</v>
      </c>
      <c r="Y82" s="151">
        <v>0.1867256806362802</v>
      </c>
      <c r="Z82" s="151">
        <v>0.21427381282976951</v>
      </c>
      <c r="AA82" s="151">
        <v>0.22260495920595885</v>
      </c>
      <c r="AB82" s="151">
        <v>0.20837705795857314</v>
      </c>
      <c r="AC82" s="151">
        <v>0.20832001896462196</v>
      </c>
      <c r="AD82" s="151">
        <v>0.19190559109011604</v>
      </c>
      <c r="AE82" s="151">
        <v>0.19006077167091925</v>
      </c>
      <c r="AF82" s="151">
        <v>0.23258799002575317</v>
      </c>
      <c r="AG82" s="151">
        <f t="shared" ref="AG82:AM82" si="38">IF(AG81/AG63&lt;0, "NM",AG81/AG63)</f>
        <v>0.25515207995243988</v>
      </c>
      <c r="AH82" s="151">
        <f t="shared" si="38"/>
        <v>0.21829347351624784</v>
      </c>
      <c r="AI82" s="151">
        <f t="shared" si="38"/>
        <v>0.22926256156049829</v>
      </c>
      <c r="AJ82" s="151">
        <f t="shared" si="38"/>
        <v>0.16308506568039791</v>
      </c>
      <c r="AK82" s="151">
        <f t="shared" si="38"/>
        <v>0.18478532437936751</v>
      </c>
      <c r="AL82" s="151">
        <f t="shared" si="38"/>
        <v>0.18126381954970866</v>
      </c>
      <c r="AM82" s="151">
        <f t="shared" si="38"/>
        <v>0.18915766944114148</v>
      </c>
      <c r="AN82" s="151">
        <f>IF(AN81/AN63&lt;0, "NM",AN81/AN63)</f>
        <v>0.17264302139223747</v>
      </c>
      <c r="AP82" s="261"/>
      <c r="AR82" s="252"/>
    </row>
    <row r="83" spans="1:46" x14ac:dyDescent="0.2">
      <c r="A83" s="70" t="s">
        <v>160</v>
      </c>
      <c r="B83" s="151" t="s">
        <v>96</v>
      </c>
      <c r="C83" s="151" t="s">
        <v>96</v>
      </c>
      <c r="D83" s="151" t="s">
        <v>96</v>
      </c>
      <c r="E83" s="151" t="s">
        <v>96</v>
      </c>
      <c r="F83" s="156">
        <v>0.20891191236968809</v>
      </c>
      <c r="G83" s="156">
        <v>0.32187113044506499</v>
      </c>
      <c r="H83" s="156">
        <v>-5.5238490061573442E-2</v>
      </c>
      <c r="I83" s="38" t="s">
        <v>96</v>
      </c>
      <c r="J83" s="156">
        <v>-9.46542992542454E-2</v>
      </c>
      <c r="K83" s="156">
        <v>-8.4128674889470623E-2</v>
      </c>
      <c r="L83" s="156">
        <v>0.31958911344277441</v>
      </c>
      <c r="M83" s="156">
        <v>0.20732057588492547</v>
      </c>
      <c r="N83" s="38" t="s">
        <v>96</v>
      </c>
      <c r="O83" s="156">
        <v>-5.5146946035113276E-2</v>
      </c>
      <c r="P83" s="156">
        <v>1.3711874835193871E-2</v>
      </c>
      <c r="Q83" s="156">
        <v>0.15512009017601658</v>
      </c>
      <c r="R83" s="156">
        <v>9.7165036898479329E-2</v>
      </c>
      <c r="S83" s="151" t="s">
        <v>96</v>
      </c>
      <c r="T83" s="156">
        <v>-5.769274747040587E-4</v>
      </c>
      <c r="U83" s="156">
        <v>0.19092278203723989</v>
      </c>
      <c r="V83" s="156">
        <v>0.164741047307007</v>
      </c>
      <c r="W83" s="156">
        <v>6.1343335142871158E-2</v>
      </c>
      <c r="X83" s="151" t="s">
        <v>96</v>
      </c>
      <c r="Y83" s="156">
        <v>-9.174183948665493E-2</v>
      </c>
      <c r="Z83" s="156">
        <v>0.18507141760098289</v>
      </c>
      <c r="AA83" s="156">
        <v>8.3203732503888128E-2</v>
      </c>
      <c r="AB83" s="156">
        <v>-2.2246709739171866E-2</v>
      </c>
      <c r="AC83" s="151" t="s">
        <v>96</v>
      </c>
      <c r="AD83" s="156">
        <v>-9.193868899509916E-2</v>
      </c>
      <c r="AE83" s="156">
        <v>-9.5960866401344491E-3</v>
      </c>
      <c r="AF83" s="156">
        <v>0.29028776015859536</v>
      </c>
      <c r="AG83" s="156">
        <f>AG81/AF81-1</f>
        <v>0.11637667404829699</v>
      </c>
      <c r="AH83" s="151" t="s">
        <v>96</v>
      </c>
      <c r="AI83" s="156">
        <f>AI81/AG81-1</f>
        <v>-0.10295404882902293</v>
      </c>
      <c r="AJ83" s="156">
        <f>AJ81/AI81-1</f>
        <v>-0.28185328185328185</v>
      </c>
      <c r="AK83" s="156">
        <f>AK81/AJ81-1</f>
        <v>0.19291300097751707</v>
      </c>
      <c r="AL83" s="156">
        <f>AL81/AK81-1</f>
        <v>6.8095218584832251E-2</v>
      </c>
      <c r="AM83" s="151" t="s">
        <v>96</v>
      </c>
      <c r="AN83" s="156">
        <f>AN81/AL81-1</f>
        <v>-4.9599140741877323E-2</v>
      </c>
      <c r="AP83" s="260"/>
      <c r="AR83" s="252"/>
    </row>
    <row r="84" spans="1:46" ht="13.5" thickBot="1" x14ac:dyDescent="0.25">
      <c r="A84" s="160" t="s">
        <v>161</v>
      </c>
      <c r="B84" s="103" t="s">
        <v>96</v>
      </c>
      <c r="C84" s="104">
        <v>6.526777955422558</v>
      </c>
      <c r="D84" s="104">
        <v>0.25585554842307645</v>
      </c>
      <c r="E84" s="103" t="s">
        <v>96</v>
      </c>
      <c r="F84" s="103" t="s">
        <v>96</v>
      </c>
      <c r="G84" s="103" t="s">
        <v>96</v>
      </c>
      <c r="H84" s="103" t="s">
        <v>96</v>
      </c>
      <c r="I84" s="104">
        <v>0.75093381966183048</v>
      </c>
      <c r="J84" s="104">
        <v>0.36684859267199954</v>
      </c>
      <c r="K84" s="104">
        <v>3.5524109727810727E-2</v>
      </c>
      <c r="L84" s="104">
        <v>3.3736428939378005E-2</v>
      </c>
      <c r="M84" s="104">
        <v>0.32102255179897843</v>
      </c>
      <c r="N84" s="104">
        <v>0.17837610771787005</v>
      </c>
      <c r="O84" s="104">
        <v>0.3786691552139736</v>
      </c>
      <c r="P84" s="104">
        <v>0.52594939462784018</v>
      </c>
      <c r="Q84" s="104">
        <v>0.3357603396164941</v>
      </c>
      <c r="R84" s="104">
        <v>0.21388599811500542</v>
      </c>
      <c r="S84" s="104">
        <v>0.34434927076590793</v>
      </c>
      <c r="T84" s="104">
        <v>0.28399402302891796</v>
      </c>
      <c r="U84" s="104">
        <v>0.50845400156073883</v>
      </c>
      <c r="V84" s="104">
        <v>0.5210178651854076</v>
      </c>
      <c r="W84" s="104">
        <v>0.47135765318517353</v>
      </c>
      <c r="X84" s="104">
        <v>0.45084105743368341</v>
      </c>
      <c r="Y84" s="104">
        <v>0.33714403066812704</v>
      </c>
      <c r="Z84" s="104">
        <v>0.33057423693740295</v>
      </c>
      <c r="AA84" s="104">
        <v>0.23742782411291508</v>
      </c>
      <c r="AB84" s="104">
        <v>0.13996958988189356</v>
      </c>
      <c r="AC84" s="104">
        <v>0.25072410701813963</v>
      </c>
      <c r="AD84" s="104">
        <v>0.13972252086213088</v>
      </c>
      <c r="AE84" s="104">
        <v>-4.7495679972351823E-2</v>
      </c>
      <c r="AF84" s="104">
        <v>0.13460157932519734</v>
      </c>
      <c r="AG84" s="104">
        <f t="shared" ref="AG84:AN84" si="39">AG81/AB81-1</f>
        <v>0.2954625160699953</v>
      </c>
      <c r="AH84" s="104">
        <f t="shared" si="39"/>
        <v>0.13274332466042016</v>
      </c>
      <c r="AI84" s="104">
        <f t="shared" si="39"/>
        <v>0.27974773382684548</v>
      </c>
      <c r="AJ84" s="104">
        <f t="shared" si="39"/>
        <v>-7.2048663473413432E-2</v>
      </c>
      <c r="AK84" s="104">
        <f t="shared" si="39"/>
        <v>-0.14207880769095571</v>
      </c>
      <c r="AL84" s="104">
        <f t="shared" si="39"/>
        <v>-0.17918248855471386</v>
      </c>
      <c r="AM84" s="104">
        <f t="shared" si="39"/>
        <v>-4.8733170257015068E-2</v>
      </c>
      <c r="AN84" s="104">
        <f t="shared" si="39"/>
        <v>-0.13036153036153031</v>
      </c>
      <c r="AO84" s="31">
        <f t="shared" si="21"/>
        <v>6.4829055635222455E-2</v>
      </c>
      <c r="AP84" s="260"/>
      <c r="AR84" s="252"/>
    </row>
    <row r="85" spans="1:46" ht="6" customHeight="1" x14ac:dyDescent="0.2">
      <c r="A85" s="158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31">
        <f t="shared" si="21"/>
        <v>0</v>
      </c>
      <c r="AP85" s="261"/>
      <c r="AR85" s="252"/>
    </row>
    <row r="86" spans="1:46" x14ac:dyDescent="0.2">
      <c r="A86" s="69" t="s">
        <v>152</v>
      </c>
      <c r="B86" s="47">
        <v>6810</v>
      </c>
      <c r="C86" s="47">
        <v>13440</v>
      </c>
      <c r="D86" s="47">
        <v>27044</v>
      </c>
      <c r="E86" s="47">
        <v>6800</v>
      </c>
      <c r="F86" s="47">
        <v>5264</v>
      </c>
      <c r="G86" s="47">
        <v>-1075</v>
      </c>
      <c r="H86" s="153">
        <v>3419</v>
      </c>
      <c r="I86" s="47">
        <v>14408</v>
      </c>
      <c r="J86" s="47">
        <v>2883</v>
      </c>
      <c r="K86" s="47">
        <v>1252</v>
      </c>
      <c r="L86" s="47">
        <v>3994</v>
      </c>
      <c r="M86" s="47">
        <v>7524</v>
      </c>
      <c r="N86" s="47">
        <v>15653</v>
      </c>
      <c r="O86" s="47">
        <v>5623</v>
      </c>
      <c r="P86" s="47">
        <v>4869</v>
      </c>
      <c r="Q86" s="47">
        <v>7804</v>
      </c>
      <c r="R86" s="47">
        <v>8295.5942699999796</v>
      </c>
      <c r="S86" s="47">
        <v>26591.594269999976</v>
      </c>
      <c r="T86" s="47">
        <v>8361</v>
      </c>
      <c r="U86" s="47">
        <v>8475</v>
      </c>
      <c r="V86" s="47">
        <v>8391</v>
      </c>
      <c r="W86" s="47">
        <v>9553</v>
      </c>
      <c r="X86" s="47">
        <v>34780</v>
      </c>
      <c r="Y86" s="47">
        <v>8916</v>
      </c>
      <c r="Z86" s="47">
        <v>9054</v>
      </c>
      <c r="AA86" s="47">
        <v>11703</v>
      </c>
      <c r="AB86" s="47">
        <v>12163</v>
      </c>
      <c r="AC86" s="47">
        <v>41836</v>
      </c>
      <c r="AD86" s="47">
        <v>9762</v>
      </c>
      <c r="AE86" s="47">
        <v>9236</v>
      </c>
      <c r="AF86" s="47">
        <v>13240</v>
      </c>
      <c r="AG86" s="47">
        <f t="shared" ref="AG86:AM86" si="40">AG43</f>
        <v>15859.000000000004</v>
      </c>
      <c r="AH86" s="47">
        <f t="shared" si="40"/>
        <v>48097</v>
      </c>
      <c r="AI86" s="153">
        <f t="shared" si="40"/>
        <v>11147</v>
      </c>
      <c r="AJ86" s="153">
        <f t="shared" si="40"/>
        <v>7762</v>
      </c>
      <c r="AK86" s="153">
        <f t="shared" si="40"/>
        <v>6075</v>
      </c>
      <c r="AL86" s="153">
        <f t="shared" si="40"/>
        <v>7461</v>
      </c>
      <c r="AM86" s="153">
        <f t="shared" si="40"/>
        <v>32445</v>
      </c>
      <c r="AN86" s="153">
        <f t="shared" ref="AN86" si="41">AN43</f>
        <v>9567</v>
      </c>
      <c r="AO86" s="31">
        <f t="shared" si="21"/>
        <v>0</v>
      </c>
      <c r="AP86" s="267"/>
      <c r="AR86" s="252"/>
    </row>
    <row r="87" spans="1:46" x14ac:dyDescent="0.2">
      <c r="A87" s="73" t="s">
        <v>154</v>
      </c>
      <c r="B87" s="152">
        <v>66</v>
      </c>
      <c r="C87" s="152">
        <v>1974</v>
      </c>
      <c r="D87" s="152">
        <v>4307</v>
      </c>
      <c r="E87" s="152">
        <v>988</v>
      </c>
      <c r="F87" s="152">
        <v>1887</v>
      </c>
      <c r="G87" s="152">
        <v>1551</v>
      </c>
      <c r="H87" s="154">
        <v>852</v>
      </c>
      <c r="I87" s="152">
        <v>5278</v>
      </c>
      <c r="J87" s="152">
        <v>1539</v>
      </c>
      <c r="K87" s="152">
        <v>1974</v>
      </c>
      <c r="L87" s="152">
        <v>1876</v>
      </c>
      <c r="M87" s="152">
        <v>1704</v>
      </c>
      <c r="N87" s="152">
        <v>7093</v>
      </c>
      <c r="O87" s="152">
        <v>1828</v>
      </c>
      <c r="P87" s="152">
        <v>2404</v>
      </c>
      <c r="Q87" s="152">
        <v>2121</v>
      </c>
      <c r="R87" s="122">
        <v>2138.0216115615622</v>
      </c>
      <c r="S87" s="152">
        <v>8491.0216115615622</v>
      </c>
      <c r="T87" s="152">
        <v>2248</v>
      </c>
      <c r="U87" s="152">
        <v>2879</v>
      </c>
      <c r="V87" s="152">
        <v>2160</v>
      </c>
      <c r="W87" s="152">
        <v>2175</v>
      </c>
      <c r="X87" s="152">
        <v>9462.2124600000006</v>
      </c>
      <c r="Y87" s="152">
        <v>2743</v>
      </c>
      <c r="Z87" s="152">
        <v>2715</v>
      </c>
      <c r="AA87" s="152">
        <v>1871</v>
      </c>
      <c r="AB87" s="152">
        <v>2087.1860000000001</v>
      </c>
      <c r="AC87" s="152">
        <v>9415.985999999999</v>
      </c>
      <c r="AD87" s="152">
        <v>3645</v>
      </c>
      <c r="AE87" s="152">
        <v>2859.57</v>
      </c>
      <c r="AF87" s="152">
        <v>2967</v>
      </c>
      <c r="AG87" s="152">
        <v>2360</v>
      </c>
      <c r="AH87" s="152">
        <v>11831.97</v>
      </c>
      <c r="AI87" s="152">
        <f t="shared" ref="AI87:AN87" si="42">AI67</f>
        <v>4176</v>
      </c>
      <c r="AJ87" s="152">
        <f t="shared" si="42"/>
        <v>1966</v>
      </c>
      <c r="AK87" s="152">
        <f t="shared" si="42"/>
        <v>2376</v>
      </c>
      <c r="AL87" s="152">
        <f t="shared" si="42"/>
        <v>2493</v>
      </c>
      <c r="AM87" s="152">
        <f t="shared" si="42"/>
        <v>11011</v>
      </c>
      <c r="AN87" s="152">
        <f t="shared" si="42"/>
        <v>4255</v>
      </c>
      <c r="AO87" s="31">
        <f t="shared" si="21"/>
        <v>0</v>
      </c>
      <c r="AP87" s="258"/>
      <c r="AR87" s="252"/>
    </row>
    <row r="88" spans="1:46" x14ac:dyDescent="0.2">
      <c r="A88" s="73" t="s">
        <v>153</v>
      </c>
      <c r="B88" s="152">
        <v>0</v>
      </c>
      <c r="C88" s="152">
        <v>1180</v>
      </c>
      <c r="D88" s="152">
        <v>1630</v>
      </c>
      <c r="E88" s="152">
        <v>212</v>
      </c>
      <c r="F88" s="152">
        <v>221</v>
      </c>
      <c r="G88" s="152">
        <v>51</v>
      </c>
      <c r="H88" s="154">
        <v>51</v>
      </c>
      <c r="I88" s="152">
        <v>535</v>
      </c>
      <c r="J88" s="152">
        <v>0</v>
      </c>
      <c r="K88" s="152">
        <v>0</v>
      </c>
      <c r="L88" s="152">
        <v>84</v>
      </c>
      <c r="M88" s="152">
        <v>83</v>
      </c>
      <c r="N88" s="152">
        <v>167</v>
      </c>
      <c r="O88" s="152">
        <v>180.691</v>
      </c>
      <c r="P88" s="152">
        <v>520</v>
      </c>
      <c r="Q88" s="152">
        <v>688</v>
      </c>
      <c r="R88" s="122">
        <v>635.1928200000001</v>
      </c>
      <c r="S88" s="152">
        <v>2024.1748000000002</v>
      </c>
      <c r="T88" s="152">
        <v>636</v>
      </c>
      <c r="U88" s="152">
        <v>913</v>
      </c>
      <c r="V88" s="152">
        <v>1395</v>
      </c>
      <c r="W88" s="152">
        <v>1385</v>
      </c>
      <c r="X88" s="152">
        <v>4328.6699100000005</v>
      </c>
      <c r="Y88" s="152">
        <v>1394</v>
      </c>
      <c r="Z88" s="152">
        <v>1365</v>
      </c>
      <c r="AA88" s="152">
        <v>1324</v>
      </c>
      <c r="AB88" s="152">
        <v>1554.6510000000001</v>
      </c>
      <c r="AC88" s="152">
        <v>5637.6509999999998</v>
      </c>
      <c r="AD88" s="152">
        <v>1634</v>
      </c>
      <c r="AE88" s="152">
        <v>1595.53</v>
      </c>
      <c r="AF88" s="152">
        <v>1534</v>
      </c>
      <c r="AG88" s="152">
        <v>1536.4</v>
      </c>
      <c r="AH88" s="152">
        <v>6300.33</v>
      </c>
      <c r="AI88" s="152">
        <f t="shared" ref="AI88:AN88" si="43">AI66</f>
        <v>1536.3753999999999</v>
      </c>
      <c r="AJ88" s="152">
        <f t="shared" si="43"/>
        <v>1488.9848000000002</v>
      </c>
      <c r="AK88" s="152">
        <f t="shared" si="43"/>
        <v>1441</v>
      </c>
      <c r="AL88" s="152">
        <f t="shared" si="43"/>
        <v>2157</v>
      </c>
      <c r="AM88" s="152">
        <f t="shared" si="43"/>
        <v>6623</v>
      </c>
      <c r="AN88" s="152">
        <f t="shared" si="43"/>
        <v>2059</v>
      </c>
      <c r="AO88" s="31">
        <f t="shared" si="21"/>
        <v>-0.36020000000007713</v>
      </c>
      <c r="AP88" s="258"/>
      <c r="AR88" s="252"/>
    </row>
    <row r="89" spans="1:46" x14ac:dyDescent="0.2">
      <c r="A89" s="73" t="s">
        <v>202</v>
      </c>
      <c r="B89" s="152">
        <v>0</v>
      </c>
      <c r="C89" s="152">
        <v>0</v>
      </c>
      <c r="D89" s="152">
        <v>0</v>
      </c>
      <c r="E89" s="152">
        <v>0</v>
      </c>
      <c r="F89" s="152">
        <v>0</v>
      </c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52">
        <v>0</v>
      </c>
      <c r="V89" s="152">
        <v>0</v>
      </c>
      <c r="W89" s="152">
        <v>0</v>
      </c>
      <c r="X89" s="152">
        <v>0</v>
      </c>
      <c r="Y89" s="152">
        <v>0</v>
      </c>
      <c r="Z89" s="152">
        <v>0</v>
      </c>
      <c r="AA89" s="152">
        <v>0</v>
      </c>
      <c r="AB89" s="152">
        <v>0</v>
      </c>
      <c r="AC89" s="152">
        <v>0</v>
      </c>
      <c r="AD89" s="152">
        <v>0</v>
      </c>
      <c r="AE89" s="152">
        <v>0</v>
      </c>
      <c r="AF89" s="152">
        <v>0</v>
      </c>
      <c r="AG89" s="152">
        <f t="shared" ref="AG89:AM89" si="44">AG79</f>
        <v>351</v>
      </c>
      <c r="AH89" s="152">
        <f t="shared" si="44"/>
        <v>351</v>
      </c>
      <c r="AI89" s="152">
        <f t="shared" si="44"/>
        <v>2471</v>
      </c>
      <c r="AJ89" s="152">
        <f t="shared" si="44"/>
        <v>5718</v>
      </c>
      <c r="AK89" s="152">
        <f t="shared" si="44"/>
        <v>9626</v>
      </c>
      <c r="AL89" s="152">
        <f t="shared" si="44"/>
        <v>8532</v>
      </c>
      <c r="AM89" s="152">
        <f t="shared" si="44"/>
        <v>26347</v>
      </c>
      <c r="AN89" s="152">
        <f t="shared" ref="AN89" si="45">AN79</f>
        <v>0</v>
      </c>
      <c r="AO89" s="31">
        <f t="shared" si="21"/>
        <v>0</v>
      </c>
      <c r="AP89" s="258"/>
      <c r="AR89" s="252"/>
    </row>
    <row r="90" spans="1:46" x14ac:dyDescent="0.2">
      <c r="A90" s="73" t="s">
        <v>157</v>
      </c>
      <c r="B90" s="152">
        <v>0</v>
      </c>
      <c r="C90" s="152">
        <v>-567.93196</v>
      </c>
      <c r="D90" s="152">
        <v>-1381.16</v>
      </c>
      <c r="E90" s="152">
        <v>-370.84761017808211</v>
      </c>
      <c r="F90" s="152">
        <v>-591.81658408082183</v>
      </c>
      <c r="G90" s="152">
        <v>-506.41800405205475</v>
      </c>
      <c r="H90" s="152">
        <v>-239.33842999999999</v>
      </c>
      <c r="I90" s="152">
        <v>-1708.4206283109586</v>
      </c>
      <c r="J90" s="152">
        <v>-463.83927999999997</v>
      </c>
      <c r="K90" s="152">
        <v>-566.04124999999999</v>
      </c>
      <c r="L90" s="152">
        <v>-507.83</v>
      </c>
      <c r="M90" s="152">
        <v>-487.01456000000002</v>
      </c>
      <c r="N90" s="152">
        <v>-2024.7250899999999</v>
      </c>
      <c r="O90" s="152">
        <v>-494.5</v>
      </c>
      <c r="P90" s="152">
        <v>-661</v>
      </c>
      <c r="Q90" s="152">
        <v>-638.59792279315059</v>
      </c>
      <c r="R90" s="122">
        <v>-1785</v>
      </c>
      <c r="S90" s="152">
        <v>-3579.6892034883504</v>
      </c>
      <c r="T90" s="122">
        <v>-952</v>
      </c>
      <c r="U90" s="152">
        <v>-1125</v>
      </c>
      <c r="V90" s="152">
        <v>-846</v>
      </c>
      <c r="W90" s="122">
        <v>-974</v>
      </c>
      <c r="X90" s="152">
        <v>-3897</v>
      </c>
      <c r="Y90" s="122">
        <v>-1085.623</v>
      </c>
      <c r="Z90" s="217">
        <v>-1075.1400000000001</v>
      </c>
      <c r="AA90" s="217">
        <v>-752.52</v>
      </c>
      <c r="AB90" s="217">
        <v>-687.4</v>
      </c>
      <c r="AC90" s="152">
        <v>-3600.683</v>
      </c>
      <c r="AD90" s="231">
        <v>-1396.28</v>
      </c>
      <c r="AE90" s="231">
        <v>-1092.8</v>
      </c>
      <c r="AF90" s="152">
        <v>-1130.6400000000001</v>
      </c>
      <c r="AG90" s="152">
        <v>-900.42000000000007</v>
      </c>
      <c r="AH90" s="152">
        <v>-4520.1400000000003</v>
      </c>
      <c r="AI90" s="33">
        <v>-1596.0031416096554</v>
      </c>
      <c r="AJ90" s="33">
        <v>-751</v>
      </c>
      <c r="AK90" s="33">
        <v>-907</v>
      </c>
      <c r="AL90" s="33">
        <v>-951</v>
      </c>
      <c r="AM90" s="152">
        <v>-4205</v>
      </c>
      <c r="AN90" s="33">
        <v>-1626</v>
      </c>
      <c r="AO90" s="31">
        <f t="shared" si="21"/>
        <v>3.1416096553584794E-3</v>
      </c>
      <c r="AP90" s="265"/>
      <c r="AR90" s="252"/>
    </row>
    <row r="91" spans="1:46" x14ac:dyDescent="0.2">
      <c r="A91" s="73" t="s">
        <v>158</v>
      </c>
      <c r="B91" s="152">
        <v>0</v>
      </c>
      <c r="C91" s="152">
        <v>0</v>
      </c>
      <c r="D91" s="152">
        <v>0</v>
      </c>
      <c r="E91" s="152">
        <v>0</v>
      </c>
      <c r="F91" s="152">
        <v>0</v>
      </c>
      <c r="G91" s="152">
        <v>0</v>
      </c>
      <c r="H91" s="152">
        <v>0</v>
      </c>
      <c r="I91" s="152">
        <v>0</v>
      </c>
      <c r="J91" s="152">
        <v>0</v>
      </c>
      <c r="K91" s="152">
        <v>0</v>
      </c>
      <c r="L91" s="152">
        <v>0</v>
      </c>
      <c r="M91" s="152">
        <v>0</v>
      </c>
      <c r="N91" s="152">
        <v>0</v>
      </c>
      <c r="O91" s="152">
        <v>0</v>
      </c>
      <c r="P91" s="152">
        <v>-55</v>
      </c>
      <c r="Q91" s="152">
        <v>-364.27935226429094</v>
      </c>
      <c r="R91" s="122">
        <v>-205.91626000000002</v>
      </c>
      <c r="S91" s="152">
        <v>-625.19561226429096</v>
      </c>
      <c r="T91" s="122">
        <v>-206</v>
      </c>
      <c r="U91" s="152">
        <v>-206</v>
      </c>
      <c r="V91" s="152">
        <v>-186.4</v>
      </c>
      <c r="W91" s="122">
        <v>-187</v>
      </c>
      <c r="X91" s="152">
        <v>-784.74</v>
      </c>
      <c r="Y91" s="122">
        <v>-187.4</v>
      </c>
      <c r="Z91" s="217">
        <v>-189.4</v>
      </c>
      <c r="AA91" s="217">
        <v>-179</v>
      </c>
      <c r="AB91" s="217">
        <v>-217.7</v>
      </c>
      <c r="AC91" s="152">
        <v>-773.5</v>
      </c>
      <c r="AD91" s="231">
        <v>-191</v>
      </c>
      <c r="AE91" s="231">
        <v>-183</v>
      </c>
      <c r="AF91" s="152">
        <v>-170</v>
      </c>
      <c r="AG91" s="152">
        <v>-170</v>
      </c>
      <c r="AH91" s="152">
        <v>-714</v>
      </c>
      <c r="AI91" s="33">
        <v>-170</v>
      </c>
      <c r="AJ91" s="33">
        <v>-170</v>
      </c>
      <c r="AK91" s="33">
        <v>-191</v>
      </c>
      <c r="AL91" s="33">
        <v>-348</v>
      </c>
      <c r="AM91" s="152">
        <v>-879</v>
      </c>
      <c r="AN91" s="33">
        <v>-433</v>
      </c>
      <c r="AO91" s="31">
        <f t="shared" si="21"/>
        <v>0</v>
      </c>
      <c r="AP91" s="265"/>
      <c r="AR91" s="252"/>
    </row>
    <row r="92" spans="1:46" x14ac:dyDescent="0.2">
      <c r="A92" s="73" t="s">
        <v>201</v>
      </c>
      <c r="B92" s="152">
        <v>0</v>
      </c>
      <c r="C92" s="152">
        <v>0</v>
      </c>
      <c r="D92" s="152">
        <v>0</v>
      </c>
      <c r="E92" s="152">
        <v>0</v>
      </c>
      <c r="F92" s="152">
        <v>0</v>
      </c>
      <c r="G92" s="152">
        <v>0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-133.38</v>
      </c>
      <c r="AH92" s="152">
        <f>AG92</f>
        <v>-133.38</v>
      </c>
      <c r="AI92" s="33">
        <v>-938.98</v>
      </c>
      <c r="AJ92" s="33">
        <v>-2173</v>
      </c>
      <c r="AK92" s="33">
        <v>-3658</v>
      </c>
      <c r="AL92" s="33">
        <v>-3242</v>
      </c>
      <c r="AM92" s="152">
        <v>-10012</v>
      </c>
      <c r="AN92" s="33">
        <v>0</v>
      </c>
      <c r="AO92" s="31">
        <f t="shared" si="21"/>
        <v>-1.999999999998181E-2</v>
      </c>
      <c r="AP92" s="265"/>
      <c r="AR92" s="252"/>
      <c r="AS92" s="250"/>
      <c r="AT92" s="149"/>
    </row>
    <row r="93" spans="1:46" x14ac:dyDescent="0.2">
      <c r="A93" s="73" t="s">
        <v>166</v>
      </c>
      <c r="B93" s="152">
        <v>0</v>
      </c>
      <c r="C93" s="152">
        <v>0</v>
      </c>
      <c r="D93" s="152">
        <v>0</v>
      </c>
      <c r="E93" s="152">
        <v>0</v>
      </c>
      <c r="F93" s="152">
        <v>0</v>
      </c>
      <c r="G93" s="152">
        <v>0</v>
      </c>
      <c r="H93" s="152">
        <v>0</v>
      </c>
      <c r="I93" s="152">
        <v>0</v>
      </c>
      <c r="J93" s="152">
        <v>0</v>
      </c>
      <c r="K93" s="152">
        <v>0</v>
      </c>
      <c r="L93" s="152">
        <v>0</v>
      </c>
      <c r="M93" s="152">
        <v>-5075</v>
      </c>
      <c r="N93" s="152">
        <v>-5075.25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98">
        <v>0</v>
      </c>
      <c r="V93" s="198">
        <v>0</v>
      </c>
      <c r="W93" s="152">
        <v>0</v>
      </c>
      <c r="X93" s="152">
        <v>0</v>
      </c>
      <c r="Y93" s="152">
        <v>0</v>
      </c>
      <c r="Z93" s="152">
        <v>0</v>
      </c>
      <c r="AA93" s="152">
        <v>0</v>
      </c>
      <c r="AB93" s="152">
        <v>0</v>
      </c>
      <c r="AC93" s="152">
        <v>0</v>
      </c>
      <c r="AD93" s="152">
        <v>0</v>
      </c>
      <c r="AE93" s="152">
        <v>0</v>
      </c>
      <c r="AF93" s="152">
        <v>0</v>
      </c>
      <c r="AG93" s="152">
        <v>0</v>
      </c>
      <c r="AH93" s="152">
        <v>0</v>
      </c>
      <c r="AI93" s="198">
        <v>0</v>
      </c>
      <c r="AJ93" s="198">
        <v>0</v>
      </c>
      <c r="AK93" s="198">
        <v>0</v>
      </c>
      <c r="AL93" s="198">
        <v>0</v>
      </c>
      <c r="AM93" s="198">
        <v>0</v>
      </c>
      <c r="AN93" s="198">
        <v>0</v>
      </c>
      <c r="AO93" s="31">
        <f t="shared" si="21"/>
        <v>0</v>
      </c>
      <c r="AP93" s="262"/>
      <c r="AR93" s="252"/>
    </row>
    <row r="94" spans="1:46" x14ac:dyDescent="0.2">
      <c r="A94" s="73" t="s">
        <v>167</v>
      </c>
      <c r="B94" s="152">
        <v>0</v>
      </c>
      <c r="C94" s="152">
        <v>0</v>
      </c>
      <c r="D94" s="152">
        <v>0</v>
      </c>
      <c r="E94" s="152">
        <v>0</v>
      </c>
      <c r="F94" s="152">
        <v>0</v>
      </c>
      <c r="G94" s="152">
        <v>0</v>
      </c>
      <c r="H94" s="152">
        <v>0</v>
      </c>
      <c r="I94" s="152">
        <v>0</v>
      </c>
      <c r="J94" s="152">
        <v>0</v>
      </c>
      <c r="K94" s="152">
        <v>0</v>
      </c>
      <c r="L94" s="152">
        <v>0</v>
      </c>
      <c r="M94" s="152">
        <v>1776.25</v>
      </c>
      <c r="N94" s="152">
        <v>1776.25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98">
        <v>0</v>
      </c>
      <c r="V94" s="198">
        <v>0</v>
      </c>
      <c r="W94" s="152">
        <v>0</v>
      </c>
      <c r="X94" s="152">
        <v>0</v>
      </c>
      <c r="Y94" s="152">
        <v>0</v>
      </c>
      <c r="Z94" s="152">
        <v>0</v>
      </c>
      <c r="AA94" s="152">
        <v>0</v>
      </c>
      <c r="AB94" s="152">
        <v>0</v>
      </c>
      <c r="AC94" s="152">
        <v>0</v>
      </c>
      <c r="AD94" s="152">
        <v>0</v>
      </c>
      <c r="AE94" s="152">
        <v>0</v>
      </c>
      <c r="AF94" s="152">
        <v>0</v>
      </c>
      <c r="AG94" s="152">
        <v>0</v>
      </c>
      <c r="AH94" s="152">
        <v>0</v>
      </c>
      <c r="AI94" s="198">
        <v>0</v>
      </c>
      <c r="AJ94" s="198">
        <v>0</v>
      </c>
      <c r="AK94" s="198">
        <v>0</v>
      </c>
      <c r="AL94" s="198">
        <v>0</v>
      </c>
      <c r="AM94" s="198">
        <v>0</v>
      </c>
      <c r="AN94" s="198">
        <v>0</v>
      </c>
      <c r="AO94" s="31">
        <f t="shared" si="21"/>
        <v>0</v>
      </c>
      <c r="AP94" s="262"/>
      <c r="AR94" s="252"/>
    </row>
    <row r="95" spans="1:46" x14ac:dyDescent="0.2">
      <c r="A95" s="69" t="s">
        <v>163</v>
      </c>
      <c r="B95" s="47">
        <v>6876</v>
      </c>
      <c r="C95" s="47">
        <v>16026.06804</v>
      </c>
      <c r="D95" s="47">
        <v>31599.84</v>
      </c>
      <c r="E95" s="47">
        <v>7629.1523898219175</v>
      </c>
      <c r="F95" s="47">
        <v>6780.1834159191785</v>
      </c>
      <c r="G95" s="47">
        <v>20.581995947945245</v>
      </c>
      <c r="H95" s="153">
        <v>4082.6615700000002</v>
      </c>
      <c r="I95" s="47">
        <v>18512.57937168904</v>
      </c>
      <c r="J95" s="47">
        <v>3958.1607199999999</v>
      </c>
      <c r="K95" s="47">
        <v>2659.9587499999998</v>
      </c>
      <c r="L95" s="47">
        <v>5446.17</v>
      </c>
      <c r="M95" s="47">
        <v>5525.2354400000004</v>
      </c>
      <c r="N95" s="47">
        <v>17589.27491</v>
      </c>
      <c r="O95" s="47">
        <v>7137.1909999999998</v>
      </c>
      <c r="P95" s="47">
        <v>7077</v>
      </c>
      <c r="Q95" s="47">
        <v>9610.1227249425574</v>
      </c>
      <c r="R95" s="47">
        <v>9077.892441561542</v>
      </c>
      <c r="S95" s="47">
        <v>32901.905865808898</v>
      </c>
      <c r="T95" s="47">
        <v>10087</v>
      </c>
      <c r="U95" s="153">
        <v>10936</v>
      </c>
      <c r="V95" s="153">
        <v>10913.6</v>
      </c>
      <c r="W95" s="153">
        <v>11952</v>
      </c>
      <c r="X95" s="153">
        <v>43889.142370000009</v>
      </c>
      <c r="Y95" s="153">
        <v>11779.977000000001</v>
      </c>
      <c r="Z95" s="153">
        <v>11869.460000000001</v>
      </c>
      <c r="AA95" s="153">
        <v>13966.48</v>
      </c>
      <c r="AB95" s="153">
        <v>14899.736999999999</v>
      </c>
      <c r="AC95" s="153">
        <v>52515.453999999998</v>
      </c>
      <c r="AD95" s="153">
        <v>13453.72</v>
      </c>
      <c r="AE95" s="153">
        <v>12415.300000000001</v>
      </c>
      <c r="AF95" s="153">
        <v>16440.36</v>
      </c>
      <c r="AG95" s="153">
        <f t="shared" ref="AG95:AM95" si="46">SUM(AG86:AG94)</f>
        <v>18902.600000000002</v>
      </c>
      <c r="AH95" s="153">
        <f t="shared" si="46"/>
        <v>61212.780000000006</v>
      </c>
      <c r="AI95" s="153">
        <f t="shared" si="46"/>
        <v>16625.392258390344</v>
      </c>
      <c r="AJ95" s="153">
        <f t="shared" si="46"/>
        <v>13840.984799999998</v>
      </c>
      <c r="AK95" s="153">
        <f t="shared" si="46"/>
        <v>14762</v>
      </c>
      <c r="AL95" s="153">
        <f t="shared" si="46"/>
        <v>16102</v>
      </c>
      <c r="AM95" s="153">
        <f t="shared" si="46"/>
        <v>61330</v>
      </c>
      <c r="AN95" s="153">
        <f t="shared" ref="AN95" si="47">SUM(AN86:AN94)</f>
        <v>13822</v>
      </c>
      <c r="AO95" s="31">
        <f>AM95-AL95-AK95-AJ95-AI95</f>
        <v>-0.37705839034242672</v>
      </c>
      <c r="AP95" s="267"/>
      <c r="AR95" s="252"/>
    </row>
    <row r="96" spans="1:46" x14ac:dyDescent="0.2">
      <c r="A96" s="158" t="s">
        <v>164</v>
      </c>
      <c r="B96" s="151">
        <v>0.1269093521466837</v>
      </c>
      <c r="C96" s="151">
        <v>0.16240551163512754</v>
      </c>
      <c r="D96" s="151">
        <v>0.20784919764508561</v>
      </c>
      <c r="E96" s="151">
        <v>0.17170681150898168</v>
      </c>
      <c r="F96" s="151">
        <v>0.14421252437256921</v>
      </c>
      <c r="G96" s="151">
        <v>4.4193071920568073E-4</v>
      </c>
      <c r="H96" s="151">
        <v>9.3436791899587604E-2</v>
      </c>
      <c r="I96" s="151">
        <v>0.10187769542415633</v>
      </c>
      <c r="J96" s="151">
        <v>9.6574238181937985E-2</v>
      </c>
      <c r="K96" s="151">
        <v>6.2756660851563173E-2</v>
      </c>
      <c r="L96" s="151">
        <v>0.11302441363029589</v>
      </c>
      <c r="M96" s="151">
        <v>9.2957807213379609E-2</v>
      </c>
      <c r="N96" s="151">
        <v>9.2092930191375891E-2</v>
      </c>
      <c r="O96" s="151">
        <v>0.13098407017930225</v>
      </c>
      <c r="P96" s="151">
        <v>0.11670706970761391</v>
      </c>
      <c r="Q96" s="151">
        <v>0.14219313050148047</v>
      </c>
      <c r="R96" s="151">
        <v>0.12960965031757879</v>
      </c>
      <c r="S96" s="151">
        <v>0.13017401649368759</v>
      </c>
      <c r="T96" s="151">
        <v>0.13835434183274584</v>
      </c>
      <c r="U96" s="151">
        <v>0.12861645575575104</v>
      </c>
      <c r="V96" s="151">
        <v>0.10910763201567593</v>
      </c>
      <c r="W96" s="151">
        <v>0.11651394033924742</v>
      </c>
      <c r="X96" s="151">
        <v>0.12173134919468245</v>
      </c>
      <c r="Y96" s="151">
        <v>0.11261067031202203</v>
      </c>
      <c r="Z96" s="151">
        <v>0.10987188743867445</v>
      </c>
      <c r="AA96" s="151">
        <v>0.12399328829268726</v>
      </c>
      <c r="AB96" s="151">
        <v>0.12664136911085991</v>
      </c>
      <c r="AC96" s="151">
        <v>0.11856377757207685</v>
      </c>
      <c r="AD96" s="151">
        <v>0.11597434615450924</v>
      </c>
      <c r="AE96" s="151">
        <v>0.10702106751258535</v>
      </c>
      <c r="AF96" s="151">
        <v>0.13441000694927033</v>
      </c>
      <c r="AG96" s="151">
        <f t="shared" ref="AG96:AM96" si="48">IF(AG95/AG63&lt;0, "NM",AG95/AG63)</f>
        <v>0.15185982614843263</v>
      </c>
      <c r="AH96" s="151">
        <f t="shared" si="48"/>
        <v>0.12784543956491501</v>
      </c>
      <c r="AI96" s="151">
        <f t="shared" si="48"/>
        <v>0.13378659235193568</v>
      </c>
      <c r="AJ96" s="151">
        <f t="shared" si="48"/>
        <v>0.11032541129957912</v>
      </c>
      <c r="AK96" s="151">
        <f t="shared" si="48"/>
        <v>0.11176305807711817</v>
      </c>
      <c r="AL96" s="151">
        <f t="shared" si="48"/>
        <v>0.11196095064595531</v>
      </c>
      <c r="AM96" s="151">
        <f t="shared" si="48"/>
        <v>0.11668014268727706</v>
      </c>
      <c r="AN96" s="151">
        <f t="shared" ref="AN96" si="49">IF(AN95/AN63&lt;0, "NM",AN95/AN63)</f>
        <v>9.6313845725036581E-2</v>
      </c>
      <c r="AO96" s="31">
        <f t="shared" si="21"/>
        <v>-0.35115586968731122</v>
      </c>
      <c r="AP96" s="261"/>
      <c r="AR96" s="252"/>
    </row>
    <row r="97" spans="1:44" ht="6" customHeight="1" x14ac:dyDescent="0.2">
      <c r="A97" s="158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31">
        <f t="shared" si="21"/>
        <v>0</v>
      </c>
      <c r="AP97" s="261"/>
      <c r="AR97" s="252"/>
    </row>
    <row r="98" spans="1:44" x14ac:dyDescent="0.2">
      <c r="A98" s="159" t="s">
        <v>165</v>
      </c>
      <c r="B98" s="157">
        <v>0.31846561451358407</v>
      </c>
      <c r="C98" s="157">
        <v>0.69577922818240368</v>
      </c>
      <c r="D98" s="157">
        <v>1.0825125751086826</v>
      </c>
      <c r="E98" s="157">
        <v>0.26044428982340045</v>
      </c>
      <c r="F98" s="157">
        <v>0.23100319027624094</v>
      </c>
      <c r="G98" s="157">
        <v>7.0662206150193252E-4</v>
      </c>
      <c r="H98" s="157">
        <v>0.14041686768212447</v>
      </c>
      <c r="I98" s="157">
        <v>0.63373103018597432</v>
      </c>
      <c r="J98" s="157">
        <v>0.13611433704168571</v>
      </c>
      <c r="K98" s="157">
        <v>9.1220852985130385E-2</v>
      </c>
      <c r="L98" s="157">
        <v>0.18544326059412858</v>
      </c>
      <c r="M98" s="157">
        <v>0.18458749842982033</v>
      </c>
      <c r="N98" s="157">
        <v>0.59791041953694191</v>
      </c>
      <c r="O98" s="157">
        <v>0.23666031068751178</v>
      </c>
      <c r="P98" s="157">
        <v>0.23432927524607389</v>
      </c>
      <c r="Q98" s="157">
        <v>0.31627531058571323</v>
      </c>
      <c r="R98" s="157">
        <v>0.29467754127561979</v>
      </c>
      <c r="S98" s="157">
        <v>1.0827083968864</v>
      </c>
      <c r="T98" s="157">
        <v>0.3263232655903876</v>
      </c>
      <c r="U98" s="157">
        <v>0.35228070510001053</v>
      </c>
      <c r="V98" s="157">
        <v>0.34550992853501206</v>
      </c>
      <c r="W98" s="157">
        <v>0.36636446581901877</v>
      </c>
      <c r="X98" s="157">
        <v>1.3912680681094411</v>
      </c>
      <c r="Y98" s="157">
        <v>0.3593209187408492</v>
      </c>
      <c r="Z98" s="157">
        <v>0.35863072006142499</v>
      </c>
      <c r="AA98" s="157">
        <v>0.41961726601183286</v>
      </c>
      <c r="AB98" s="157">
        <v>0.44457655349110609</v>
      </c>
      <c r="AC98" s="157">
        <v>1.5831686840575003</v>
      </c>
      <c r="AD98" s="157">
        <v>0.39898583368075458</v>
      </c>
      <c r="AE98" s="157">
        <v>0.36624279413188726</v>
      </c>
      <c r="AF98" s="157">
        <v>0.48417448089348963</v>
      </c>
      <c r="AG98" s="157">
        <f t="shared" ref="AG98:AM98" si="50">AG95/AG58</f>
        <v>0.5593683915456904</v>
      </c>
      <c r="AH98" s="157">
        <f t="shared" si="50"/>
        <v>1.8087312484247311</v>
      </c>
      <c r="AI98" s="157">
        <f t="shared" si="50"/>
        <v>0.49734119730310444</v>
      </c>
      <c r="AJ98" s="157">
        <f t="shared" si="50"/>
        <v>0.41103286749878409</v>
      </c>
      <c r="AK98" s="157">
        <f t="shared" si="50"/>
        <v>0.43834506517307553</v>
      </c>
      <c r="AL98" s="157">
        <f t="shared" si="50"/>
        <v>0.47693431972998951</v>
      </c>
      <c r="AM98" s="157">
        <f t="shared" si="50"/>
        <v>1.8233119114294594</v>
      </c>
      <c r="AN98" s="157">
        <f t="shared" ref="AN98" si="51">AN95/AN58</f>
        <v>0.40590895604838856</v>
      </c>
      <c r="AO98" s="31">
        <f t="shared" si="21"/>
        <v>-3.4153827549432414E-4</v>
      </c>
      <c r="AP98" s="273"/>
      <c r="AR98" s="252"/>
    </row>
    <row r="99" spans="1:44" x14ac:dyDescent="0.2">
      <c r="A99" s="165" t="s">
        <v>160</v>
      </c>
      <c r="B99" s="123" t="s">
        <v>96</v>
      </c>
      <c r="C99" s="123" t="s">
        <v>96</v>
      </c>
      <c r="D99" s="123" t="s">
        <v>96</v>
      </c>
      <c r="E99" s="123" t="s">
        <v>96</v>
      </c>
      <c r="F99" s="124">
        <v>-0.11304183158372427</v>
      </c>
      <c r="G99" s="124">
        <v>-0.99694107228278128</v>
      </c>
      <c r="H99" s="124">
        <v>197.71565767939222</v>
      </c>
      <c r="I99" s="38" t="s">
        <v>96</v>
      </c>
      <c r="J99" s="124">
        <v>-3.0641123901003264E-2</v>
      </c>
      <c r="K99" s="124">
        <v>-0.32982186176909833</v>
      </c>
      <c r="L99" s="124">
        <v>1.0329042595595666</v>
      </c>
      <c r="M99" s="124">
        <v>-4.6146846295008759E-3</v>
      </c>
      <c r="N99" s="38" t="s">
        <v>96</v>
      </c>
      <c r="O99" s="124">
        <v>0.28210367820488869</v>
      </c>
      <c r="P99" s="124">
        <v>-9.8497100534774562E-3</v>
      </c>
      <c r="Q99" s="124">
        <v>0.34970464212628216</v>
      </c>
      <c r="R99" s="124">
        <v>-6.8287876376111445E-2</v>
      </c>
      <c r="S99" s="123" t="s">
        <v>96</v>
      </c>
      <c r="T99" s="124">
        <v>0.10739102877598916</v>
      </c>
      <c r="U99" s="124">
        <v>7.9545169611674682E-2</v>
      </c>
      <c r="V99" s="124">
        <v>-1.9219833692215138E-2</v>
      </c>
      <c r="W99" s="124">
        <v>6.0358720724557724E-2</v>
      </c>
      <c r="X99" s="123" t="s">
        <v>96</v>
      </c>
      <c r="Y99" s="124">
        <v>-1.9225519217382359E-2</v>
      </c>
      <c r="Z99" s="124">
        <v>-1.9208419087951567E-3</v>
      </c>
      <c r="AA99" s="124">
        <v>0.17005388144094935</v>
      </c>
      <c r="AB99" s="124">
        <v>5.9481078356221406E-2</v>
      </c>
      <c r="AC99" s="123" t="s">
        <v>96</v>
      </c>
      <c r="AD99" s="124">
        <v>-0.10254863746714338</v>
      </c>
      <c r="AE99" s="124">
        <v>-8.2065669467017766E-2</v>
      </c>
      <c r="AF99" s="124">
        <v>0.32200411489634417</v>
      </c>
      <c r="AG99" s="124">
        <f>AG98/AF98-1</f>
        <v>0.15530333303283328</v>
      </c>
      <c r="AH99" s="123" t="s">
        <v>96</v>
      </c>
      <c r="AI99" s="124">
        <f>AI98/AG98-1</f>
        <v>-0.11088791426199029</v>
      </c>
      <c r="AJ99" s="124">
        <f>AJ98/AI98-1</f>
        <v>-0.17353947405189474</v>
      </c>
      <c r="AK99" s="124">
        <f>AK98/AJ98-1</f>
        <v>6.6447721907232138E-2</v>
      </c>
      <c r="AL99" s="256">
        <f>AL98/AK98-1</f>
        <v>8.8033965984486429E-2</v>
      </c>
      <c r="AM99" s="123" t="s">
        <v>96</v>
      </c>
      <c r="AN99" s="276">
        <f>AN98/AL98-1</f>
        <v>-0.14892063905531283</v>
      </c>
      <c r="AP99" s="274"/>
      <c r="AR99" s="252"/>
    </row>
    <row r="100" spans="1:44" x14ac:dyDescent="0.2">
      <c r="A100" s="164" t="s">
        <v>161</v>
      </c>
      <c r="B100" s="38" t="s">
        <v>96</v>
      </c>
      <c r="C100" s="37">
        <v>1.1847860380315107</v>
      </c>
      <c r="D100" s="37">
        <v>0.55582766955626028</v>
      </c>
      <c r="E100" s="38" t="s">
        <v>96</v>
      </c>
      <c r="F100" s="38" t="s">
        <v>96</v>
      </c>
      <c r="G100" s="38" t="s">
        <v>96</v>
      </c>
      <c r="H100" s="38" t="s">
        <v>96</v>
      </c>
      <c r="I100" s="37">
        <v>-0.41457397839249244</v>
      </c>
      <c r="J100" s="37">
        <v>-0.47737638197412269</v>
      </c>
      <c r="K100" s="37">
        <v>-0.60510998624717871</v>
      </c>
      <c r="L100" s="38" t="s">
        <v>101</v>
      </c>
      <c r="M100" s="37">
        <v>0.31456783986728198</v>
      </c>
      <c r="N100" s="37">
        <v>-5.6523365501797374E-2</v>
      </c>
      <c r="O100" s="37">
        <v>0.73868760507596898</v>
      </c>
      <c r="P100" s="37">
        <v>1.5688125859146607</v>
      </c>
      <c r="Q100" s="37">
        <v>0.70550986631933177</v>
      </c>
      <c r="R100" s="37">
        <v>0.59641115342193873</v>
      </c>
      <c r="S100" s="37">
        <v>0.810820419762738</v>
      </c>
      <c r="T100" s="37">
        <v>0.37886773089412329</v>
      </c>
      <c r="U100" s="37">
        <v>0.50335763523389665</v>
      </c>
      <c r="V100" s="37">
        <v>9.2434081861018313E-2</v>
      </c>
      <c r="W100" s="37">
        <v>0.24327244021745198</v>
      </c>
      <c r="X100" s="37">
        <v>0.28498871174397644</v>
      </c>
      <c r="Y100" s="37">
        <v>0.10111952358273291</v>
      </c>
      <c r="Z100" s="37">
        <v>1.8025440705336848E-2</v>
      </c>
      <c r="AA100" s="37">
        <v>0.21448685365147524</v>
      </c>
      <c r="AB100" s="37">
        <v>0.21348164183238083</v>
      </c>
      <c r="AC100" s="37">
        <v>0.13793216443817902</v>
      </c>
      <c r="AD100" s="37">
        <v>0.11038854926370889</v>
      </c>
      <c r="AE100" s="37">
        <v>2.1225382112158409E-2</v>
      </c>
      <c r="AF100" s="37">
        <v>0.15384785162733583</v>
      </c>
      <c r="AG100" s="37">
        <f t="shared" ref="AG100:AN100" si="52">AG98/AB98-1</f>
        <v>0.25820488541998832</v>
      </c>
      <c r="AH100" s="37">
        <f t="shared" si="52"/>
        <v>0.14247538284368844</v>
      </c>
      <c r="AI100" s="37">
        <f t="shared" si="52"/>
        <v>0.2465134230832069</v>
      </c>
      <c r="AJ100" s="37">
        <f t="shared" si="52"/>
        <v>0.12229612182012661</v>
      </c>
      <c r="AK100" s="37">
        <f t="shared" si="52"/>
        <v>-9.4654752633474337E-2</v>
      </c>
      <c r="AL100" s="37">
        <f t="shared" si="52"/>
        <v>-0.14736991410600198</v>
      </c>
      <c r="AM100" s="37">
        <f>AM98/AH98-1</f>
        <v>8.0612656067211574E-3</v>
      </c>
      <c r="AN100" s="37">
        <f t="shared" si="52"/>
        <v>-0.18384208215711628</v>
      </c>
      <c r="AO100" s="31">
        <f t="shared" si="21"/>
        <v>-0.11872361255713604</v>
      </c>
      <c r="AP100" s="260"/>
      <c r="AR100" s="252"/>
    </row>
    <row r="101" spans="1:44" x14ac:dyDescent="0.2">
      <c r="A101" s="164"/>
      <c r="B101" s="38"/>
      <c r="C101" s="37"/>
      <c r="D101" s="37"/>
      <c r="E101" s="38"/>
      <c r="F101" s="38"/>
      <c r="G101" s="38"/>
      <c r="H101" s="38"/>
      <c r="I101" s="37"/>
      <c r="J101" s="37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P101" s="275"/>
    </row>
    <row r="102" spans="1:44" x14ac:dyDescent="0.2">
      <c r="A102" s="197" t="s">
        <v>187</v>
      </c>
      <c r="M102" s="77"/>
      <c r="N102" s="77"/>
      <c r="S102" s="46"/>
      <c r="U102" s="2"/>
      <c r="V102" s="2"/>
      <c r="W102" s="2"/>
      <c r="X102" s="46"/>
      <c r="Y102" s="2"/>
      <c r="Z102" s="2"/>
      <c r="AA102" s="2"/>
      <c r="AB102" s="2"/>
      <c r="AC102" s="46"/>
      <c r="AD102" s="2"/>
      <c r="AE102" s="2"/>
      <c r="AF102" s="2"/>
      <c r="AG102" s="2"/>
      <c r="AH102" s="46"/>
      <c r="AI102" s="2"/>
      <c r="AJ102" s="2"/>
      <c r="AK102" s="2"/>
      <c r="AL102" s="2"/>
      <c r="AM102" s="46"/>
      <c r="AN102" s="2"/>
      <c r="AP102" s="275"/>
    </row>
    <row r="103" spans="1:44" x14ac:dyDescent="0.2">
      <c r="A103" s="197" t="s">
        <v>188</v>
      </c>
      <c r="S103" s="46"/>
      <c r="AP103" s="275"/>
    </row>
    <row r="104" spans="1:44" x14ac:dyDescent="0.2">
      <c r="S104" s="46"/>
      <c r="V104" s="134"/>
      <c r="AP104" s="275"/>
    </row>
    <row r="105" spans="1:44" x14ac:dyDescent="0.2">
      <c r="O105" s="26"/>
      <c r="P105" s="26"/>
      <c r="Q105" s="26"/>
      <c r="R105" s="26"/>
      <c r="S105" s="46"/>
      <c r="X105" s="36"/>
      <c r="AC105" s="36"/>
      <c r="AH105" s="36"/>
      <c r="AM105" s="36"/>
    </row>
    <row r="106" spans="1:44" x14ac:dyDescent="0.2">
      <c r="O106" s="26"/>
      <c r="P106" s="26"/>
      <c r="Q106" s="26"/>
      <c r="R106" s="26"/>
      <c r="S106" s="46"/>
      <c r="X106" s="36"/>
      <c r="AC106" s="36"/>
      <c r="AH106" s="36"/>
      <c r="AM106" s="36"/>
    </row>
    <row r="107" spans="1:44" x14ac:dyDescent="0.2">
      <c r="O107" s="26"/>
      <c r="P107" s="26"/>
      <c r="Q107" s="26"/>
      <c r="R107" s="26"/>
      <c r="S107" s="46"/>
    </row>
    <row r="108" spans="1:44" x14ac:dyDescent="0.2">
      <c r="O108" s="26"/>
      <c r="P108" s="26"/>
      <c r="Q108" s="26"/>
      <c r="R108" s="26"/>
      <c r="S108" s="46"/>
      <c r="AC108" s="134"/>
      <c r="AD108" s="134"/>
      <c r="AH108" s="134"/>
      <c r="AI108" s="134"/>
      <c r="AJ108" s="134"/>
      <c r="AK108" s="134"/>
      <c r="AL108" s="134"/>
      <c r="AM108" s="134"/>
      <c r="AN108" s="134"/>
    </row>
  </sheetData>
  <customSheetViews>
    <customSheetView guid="{168DC811-186D-42DC-8A72-3741D1063270}" scale="80" showGridLines="0">
      <pane xSplit="1" ySplit="5" topLeftCell="G6" activePane="bottomRight" state="frozen"/>
      <selection pane="bottomRight" activeCell="Q8" sqref="Q8"/>
      <colBreaks count="1" manualBreakCount="1">
        <brk id="8" max="1048575" man="1"/>
      </colBreaks>
      <pageMargins left="0.7" right="0.7" top="0.75" bottom="0.75" header="0.3" footer="0.3"/>
      <pageSetup scale="62" orientation="landscape" horizontalDpi="300" verticalDpi="300" r:id="rId1"/>
    </customSheetView>
  </customSheetViews>
  <mergeCells count="2">
    <mergeCell ref="J4:N4"/>
    <mergeCell ref="O4:S4"/>
  </mergeCells>
  <phoneticPr fontId="0" type="noConversion"/>
  <printOptions horizontalCentered="1"/>
  <pageMargins left="0.25" right="0" top="0" bottom="0" header="0.3" footer="0.3"/>
  <pageSetup paperSize="5"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9"/>
  <sheetViews>
    <sheetView showGridLines="0" view="pageBreakPreview" zoomScale="80" zoomScaleNormal="80" zoomScaleSheetLayoutView="80" workbookViewId="0">
      <pane xSplit="2" ySplit="4" topLeftCell="S29" activePane="bottomRight" state="frozen"/>
      <selection activeCell="I106" sqref="I106"/>
      <selection pane="topRight" activeCell="I106" sqref="I106"/>
      <selection pane="bottomLeft" activeCell="I106" sqref="I106"/>
      <selection pane="bottomRight" activeCell="AD63" sqref="AD63"/>
    </sheetView>
  </sheetViews>
  <sheetFormatPr defaultRowHeight="12.75" outlineLevelCol="1" x14ac:dyDescent="0.2"/>
  <cols>
    <col min="1" max="1" width="45.5703125" style="25" customWidth="1"/>
    <col min="2" max="2" width="3.140625" style="2" customWidth="1"/>
    <col min="3" max="4" width="15.140625" style="2" hidden="1" customWidth="1" outlineLevel="1"/>
    <col min="5" max="5" width="12.7109375" style="2" customWidth="1" collapsed="1"/>
    <col min="6" max="8" width="12.7109375" style="2" hidden="1" customWidth="1" outlineLevel="1"/>
    <col min="9" max="9" width="13" style="2" customWidth="1" collapsed="1"/>
    <col min="10" max="10" width="13" style="2" hidden="1" customWidth="1" outlineLevel="1"/>
    <col min="11" max="12" width="12.140625" style="2" hidden="1" customWidth="1" outlineLevel="1"/>
    <col min="13" max="13" width="12.140625" style="2" customWidth="1" collapsed="1"/>
    <col min="14" max="22" width="12.140625" style="2" customWidth="1"/>
    <col min="23" max="25" width="12.7109375" style="2" customWidth="1"/>
    <col min="26" max="30" width="12.140625" style="2" customWidth="1"/>
    <col min="31" max="16384" width="9.140625" style="2"/>
  </cols>
  <sheetData>
    <row r="1" spans="1:253" x14ac:dyDescent="0.2">
      <c r="A1" s="13"/>
    </row>
    <row r="2" spans="1:253" ht="45" customHeight="1" x14ac:dyDescent="0.2">
      <c r="W2" s="61"/>
      <c r="X2" s="61"/>
      <c r="Y2" s="61"/>
      <c r="AE2" s="61"/>
    </row>
    <row r="3" spans="1:253" x14ac:dyDescent="0.2">
      <c r="A3" s="20" t="s">
        <v>16</v>
      </c>
      <c r="C3" s="83">
        <v>2006</v>
      </c>
      <c r="D3" s="4">
        <v>2007</v>
      </c>
      <c r="E3" s="4">
        <v>2008</v>
      </c>
      <c r="F3" s="4">
        <v>2009</v>
      </c>
      <c r="G3" s="4">
        <v>2009</v>
      </c>
      <c r="H3" s="4">
        <v>2009</v>
      </c>
      <c r="I3" s="4">
        <v>2009</v>
      </c>
      <c r="J3" s="4">
        <v>2010</v>
      </c>
      <c r="K3" s="4">
        <v>2010</v>
      </c>
      <c r="L3" s="4">
        <v>2010</v>
      </c>
      <c r="M3" s="4">
        <v>2010</v>
      </c>
      <c r="N3" s="4">
        <v>2011</v>
      </c>
      <c r="O3" s="4">
        <v>2011</v>
      </c>
      <c r="P3" s="4">
        <v>2011</v>
      </c>
      <c r="Q3" s="4">
        <v>2011</v>
      </c>
      <c r="R3" s="4">
        <v>2012</v>
      </c>
      <c r="S3" s="4">
        <v>2012</v>
      </c>
      <c r="T3" s="4">
        <v>2012</v>
      </c>
      <c r="U3" s="4">
        <v>2012</v>
      </c>
      <c r="V3" s="4">
        <v>2013</v>
      </c>
      <c r="W3" s="7">
        <v>2013</v>
      </c>
      <c r="X3" s="7">
        <v>2013</v>
      </c>
      <c r="Y3" s="7">
        <v>2013</v>
      </c>
      <c r="Z3" s="4">
        <v>2014</v>
      </c>
      <c r="AA3" s="4">
        <v>2014</v>
      </c>
      <c r="AB3" s="4">
        <v>2014</v>
      </c>
      <c r="AC3" s="4">
        <v>2014</v>
      </c>
      <c r="AD3" s="4">
        <v>2015</v>
      </c>
      <c r="AE3" s="61"/>
    </row>
    <row r="4" spans="1:253" s="9" customFormat="1" x14ac:dyDescent="0.2">
      <c r="A4" s="27" t="s">
        <v>77</v>
      </c>
      <c r="C4" s="5" t="s">
        <v>14</v>
      </c>
      <c r="D4" s="5" t="s">
        <v>14</v>
      </c>
      <c r="E4" s="5" t="s">
        <v>14</v>
      </c>
      <c r="F4" s="4" t="s">
        <v>10</v>
      </c>
      <c r="G4" s="101" t="s">
        <v>11</v>
      </c>
      <c r="H4" s="101" t="s">
        <v>12</v>
      </c>
      <c r="I4" s="101" t="s">
        <v>14</v>
      </c>
      <c r="J4" s="101" t="s">
        <v>10</v>
      </c>
      <c r="K4" s="101" t="s">
        <v>11</v>
      </c>
      <c r="L4" s="101" t="s">
        <v>12</v>
      </c>
      <c r="M4" s="101" t="s">
        <v>14</v>
      </c>
      <c r="N4" s="101" t="s">
        <v>10</v>
      </c>
      <c r="O4" s="101" t="s">
        <v>11</v>
      </c>
      <c r="P4" s="101" t="s">
        <v>12</v>
      </c>
      <c r="Q4" s="101" t="s">
        <v>13</v>
      </c>
      <c r="R4" s="101" t="s">
        <v>10</v>
      </c>
      <c r="S4" s="101" t="s">
        <v>11</v>
      </c>
      <c r="T4" s="101" t="s">
        <v>12</v>
      </c>
      <c r="U4" s="101" t="s">
        <v>13</v>
      </c>
      <c r="V4" s="101" t="s">
        <v>10</v>
      </c>
      <c r="W4" s="135" t="s">
        <v>11</v>
      </c>
      <c r="X4" s="135" t="s">
        <v>12</v>
      </c>
      <c r="Y4" s="135" t="s">
        <v>13</v>
      </c>
      <c r="Z4" s="101" t="s">
        <v>10</v>
      </c>
      <c r="AA4" s="101" t="s">
        <v>11</v>
      </c>
      <c r="AB4" s="101" t="s">
        <v>12</v>
      </c>
      <c r="AC4" s="101" t="s">
        <v>13</v>
      </c>
      <c r="AD4" s="101" t="s">
        <v>10</v>
      </c>
      <c r="AE4" s="1"/>
    </row>
    <row r="5" spans="1:253" s="4" customFormat="1" x14ac:dyDescent="0.2">
      <c r="A5" s="20"/>
      <c r="W5" s="7"/>
      <c r="X5" s="7"/>
      <c r="Y5" s="7"/>
      <c r="AE5" s="7"/>
    </row>
    <row r="6" spans="1:253" s="42" customFormat="1" x14ac:dyDescent="0.2">
      <c r="A6" s="55" t="s">
        <v>18</v>
      </c>
      <c r="B6" s="42" t="s">
        <v>22</v>
      </c>
      <c r="D6" s="182" t="s">
        <v>22</v>
      </c>
      <c r="E6" s="182" t="s">
        <v>22</v>
      </c>
      <c r="F6" s="42" t="s">
        <v>22</v>
      </c>
      <c r="G6" s="182"/>
      <c r="W6" s="182"/>
      <c r="X6" s="182"/>
      <c r="Y6" s="182"/>
    </row>
    <row r="7" spans="1:253" x14ac:dyDescent="0.2">
      <c r="A7" s="80" t="s">
        <v>19</v>
      </c>
      <c r="B7" s="167" t="s">
        <v>22</v>
      </c>
      <c r="D7" s="167" t="s">
        <v>22</v>
      </c>
      <c r="E7" s="167" t="s">
        <v>22</v>
      </c>
      <c r="F7" s="167" t="s">
        <v>22</v>
      </c>
      <c r="W7" s="172"/>
      <c r="X7" s="172"/>
      <c r="Y7" s="172"/>
      <c r="AE7" s="61"/>
    </row>
    <row r="8" spans="1:253" x14ac:dyDescent="0.2">
      <c r="A8" s="85" t="s">
        <v>124</v>
      </c>
      <c r="B8" s="176" t="s">
        <v>22</v>
      </c>
      <c r="C8" s="177">
        <v>84747</v>
      </c>
      <c r="D8" s="177">
        <v>101405.889</v>
      </c>
      <c r="E8" s="177">
        <v>112174</v>
      </c>
      <c r="F8" s="177">
        <v>106595</v>
      </c>
      <c r="G8" s="177">
        <v>114291</v>
      </c>
      <c r="H8" s="177">
        <v>117510</v>
      </c>
      <c r="I8" s="177">
        <v>132215</v>
      </c>
      <c r="J8" s="177">
        <v>99240</v>
      </c>
      <c r="K8" s="177">
        <v>88838</v>
      </c>
      <c r="L8" s="177">
        <v>102608</v>
      </c>
      <c r="M8" s="177">
        <v>111182</v>
      </c>
      <c r="N8" s="177">
        <v>112543</v>
      </c>
      <c r="O8" s="177">
        <v>79355</v>
      </c>
      <c r="P8" s="177">
        <v>72876</v>
      </c>
      <c r="Q8" s="177">
        <v>82393</v>
      </c>
      <c r="R8" s="177">
        <v>82272</v>
      </c>
      <c r="S8" s="177">
        <v>94520</v>
      </c>
      <c r="T8" s="177">
        <v>118579</v>
      </c>
      <c r="U8" s="177">
        <v>103037</v>
      </c>
      <c r="V8" s="177">
        <v>102307</v>
      </c>
      <c r="W8" s="199">
        <v>114569</v>
      </c>
      <c r="X8" s="199">
        <v>132393</v>
      </c>
      <c r="Y8" s="199">
        <v>148065</v>
      </c>
      <c r="Z8" s="177">
        <v>143692</v>
      </c>
      <c r="AA8" s="177">
        <v>160937</v>
      </c>
      <c r="AB8" s="177">
        <v>161428</v>
      </c>
      <c r="AC8" s="177">
        <v>176499</v>
      </c>
      <c r="AD8" s="177">
        <v>151319</v>
      </c>
      <c r="AE8" s="61"/>
      <c r="AF8" s="147"/>
    </row>
    <row r="9" spans="1:253" x14ac:dyDescent="0.2">
      <c r="A9" s="85" t="s">
        <v>123</v>
      </c>
      <c r="B9" s="176" t="s">
        <v>22</v>
      </c>
      <c r="C9" s="175">
        <v>0</v>
      </c>
      <c r="D9" s="175">
        <v>252.56100000000001</v>
      </c>
      <c r="E9" s="175">
        <v>153</v>
      </c>
      <c r="F9" s="175">
        <v>153</v>
      </c>
      <c r="G9" s="175">
        <v>0</v>
      </c>
      <c r="H9" s="175">
        <v>816</v>
      </c>
      <c r="I9" s="175">
        <v>4009</v>
      </c>
      <c r="J9" s="175">
        <v>2244</v>
      </c>
      <c r="K9" s="175">
        <v>2518</v>
      </c>
      <c r="L9" s="175">
        <v>2385</v>
      </c>
      <c r="M9" s="175">
        <v>3084</v>
      </c>
      <c r="N9" s="175">
        <v>3168</v>
      </c>
      <c r="O9" s="175">
        <v>4559</v>
      </c>
      <c r="P9" s="175">
        <v>9647</v>
      </c>
      <c r="Q9" s="175">
        <v>7869</v>
      </c>
      <c r="R9" s="175">
        <v>7258</v>
      </c>
      <c r="S9" s="175">
        <v>6502</v>
      </c>
      <c r="T9" s="175">
        <v>6814</v>
      </c>
      <c r="U9" s="175">
        <v>6137</v>
      </c>
      <c r="V9" s="175">
        <v>6263</v>
      </c>
      <c r="W9" s="200">
        <v>5628</v>
      </c>
      <c r="X9" s="200">
        <v>6154</v>
      </c>
      <c r="Y9" s="200">
        <v>5987</v>
      </c>
      <c r="Z9" s="175">
        <v>7169</v>
      </c>
      <c r="AA9" s="175">
        <v>7556</v>
      </c>
      <c r="AB9" s="175">
        <v>6561</v>
      </c>
      <c r="AC9" s="175">
        <v>11577</v>
      </c>
      <c r="AD9" s="175">
        <v>14330</v>
      </c>
      <c r="AE9" s="61"/>
      <c r="AF9" s="147"/>
    </row>
    <row r="10" spans="1:253" x14ac:dyDescent="0.2">
      <c r="A10" s="85" t="s">
        <v>20</v>
      </c>
      <c r="B10" s="176"/>
      <c r="C10" s="175">
        <v>1093.277</v>
      </c>
      <c r="D10" s="175">
        <v>283.43599999999998</v>
      </c>
      <c r="E10" s="175">
        <v>203</v>
      </c>
      <c r="F10" s="175">
        <v>205</v>
      </c>
      <c r="G10" s="175">
        <v>25</v>
      </c>
      <c r="H10" s="175">
        <v>1311</v>
      </c>
      <c r="I10" s="175">
        <v>65</v>
      </c>
      <c r="J10" s="175">
        <v>298</v>
      </c>
      <c r="K10" s="175">
        <v>294</v>
      </c>
      <c r="L10" s="175">
        <v>308</v>
      </c>
      <c r="M10" s="175">
        <v>231</v>
      </c>
      <c r="N10" s="175">
        <v>221</v>
      </c>
      <c r="O10" s="175">
        <v>231</v>
      </c>
      <c r="P10" s="175">
        <v>161</v>
      </c>
      <c r="Q10" s="175">
        <v>934</v>
      </c>
      <c r="R10" s="175">
        <v>834</v>
      </c>
      <c r="S10" s="175">
        <v>807</v>
      </c>
      <c r="T10" s="175">
        <v>729</v>
      </c>
      <c r="U10" s="175">
        <v>573</v>
      </c>
      <c r="V10" s="175">
        <v>757</v>
      </c>
      <c r="W10" s="200">
        <v>437</v>
      </c>
      <c r="X10" s="200">
        <v>527</v>
      </c>
      <c r="Y10" s="200">
        <v>423</v>
      </c>
      <c r="Z10" s="175">
        <v>816</v>
      </c>
      <c r="AA10" s="175">
        <v>571</v>
      </c>
      <c r="AB10" s="175">
        <v>1082</v>
      </c>
      <c r="AC10" s="175">
        <v>1395</v>
      </c>
      <c r="AD10" s="175">
        <v>2774</v>
      </c>
      <c r="AE10" s="61"/>
      <c r="AF10" s="147"/>
    </row>
    <row r="11" spans="1:253" x14ac:dyDescent="0.2">
      <c r="A11" s="85" t="s">
        <v>21</v>
      </c>
      <c r="B11" s="176" t="s">
        <v>22</v>
      </c>
      <c r="C11" s="175">
        <v>27056</v>
      </c>
      <c r="D11" s="175">
        <v>38852</v>
      </c>
      <c r="E11" s="175">
        <v>33714</v>
      </c>
      <c r="F11" s="175">
        <v>31888</v>
      </c>
      <c r="G11" s="175">
        <v>31892</v>
      </c>
      <c r="H11" s="175">
        <v>31578</v>
      </c>
      <c r="I11" s="175">
        <v>34856</v>
      </c>
      <c r="J11" s="175">
        <v>35094</v>
      </c>
      <c r="K11" s="175">
        <v>41392</v>
      </c>
      <c r="L11" s="175">
        <v>42006</v>
      </c>
      <c r="M11" s="175">
        <v>44186</v>
      </c>
      <c r="N11" s="175">
        <v>45288</v>
      </c>
      <c r="O11" s="175">
        <v>55382</v>
      </c>
      <c r="P11" s="175">
        <v>58235</v>
      </c>
      <c r="Q11" s="175">
        <v>55672</v>
      </c>
      <c r="R11" s="175">
        <v>58837</v>
      </c>
      <c r="S11" s="175">
        <v>61673</v>
      </c>
      <c r="T11" s="175">
        <v>65649</v>
      </c>
      <c r="U11" s="175">
        <v>72443</v>
      </c>
      <c r="V11" s="175">
        <v>75326</v>
      </c>
      <c r="W11" s="200">
        <v>76214</v>
      </c>
      <c r="X11" s="200">
        <v>74054</v>
      </c>
      <c r="Y11" s="200">
        <v>76121</v>
      </c>
      <c r="Z11" s="175">
        <v>77737</v>
      </c>
      <c r="AA11" s="175">
        <v>73721</v>
      </c>
      <c r="AB11" s="175">
        <v>75685</v>
      </c>
      <c r="AC11" s="175">
        <v>80244</v>
      </c>
      <c r="AD11" s="175">
        <v>89323</v>
      </c>
      <c r="AE11" s="61"/>
      <c r="AF11" s="147"/>
    </row>
    <row r="12" spans="1:253" x14ac:dyDescent="0.2">
      <c r="A12" s="85" t="s">
        <v>128</v>
      </c>
      <c r="B12" s="176" t="s">
        <v>22</v>
      </c>
      <c r="C12" s="175">
        <v>2870</v>
      </c>
      <c r="D12" s="175">
        <v>3091.9609999999998</v>
      </c>
      <c r="E12" s="175">
        <v>3401</v>
      </c>
      <c r="F12" s="175">
        <v>4084</v>
      </c>
      <c r="G12" s="175">
        <v>4155</v>
      </c>
      <c r="H12" s="175">
        <v>4490</v>
      </c>
      <c r="I12" s="175">
        <v>4872</v>
      </c>
      <c r="J12" s="175">
        <v>4444</v>
      </c>
      <c r="K12" s="175">
        <v>5933</v>
      </c>
      <c r="L12" s="175">
        <v>6251</v>
      </c>
      <c r="M12" s="175">
        <v>1721</v>
      </c>
      <c r="N12" s="175">
        <v>2253</v>
      </c>
      <c r="O12" s="175">
        <v>977</v>
      </c>
      <c r="P12" s="175">
        <v>5211</v>
      </c>
      <c r="Q12" s="175">
        <v>6228</v>
      </c>
      <c r="R12" s="175">
        <v>5774</v>
      </c>
      <c r="S12" s="175">
        <v>8120</v>
      </c>
      <c r="T12" s="175">
        <v>7100</v>
      </c>
      <c r="U12" s="175">
        <v>7460</v>
      </c>
      <c r="V12" s="175">
        <v>5111</v>
      </c>
      <c r="W12" s="175">
        <v>4236</v>
      </c>
      <c r="X12" s="175">
        <v>6353</v>
      </c>
      <c r="Y12" s="175">
        <v>6958</v>
      </c>
      <c r="Z12" s="175">
        <v>5455</v>
      </c>
      <c r="AA12" s="175">
        <v>4843</v>
      </c>
      <c r="AB12" s="175">
        <v>4691</v>
      </c>
      <c r="AC12" s="175">
        <v>4455</v>
      </c>
      <c r="AD12" s="175">
        <v>4921</v>
      </c>
      <c r="AE12" s="61"/>
      <c r="AF12" s="147"/>
    </row>
    <row r="13" spans="1:253" x14ac:dyDescent="0.2">
      <c r="A13" s="85" t="s">
        <v>122</v>
      </c>
      <c r="B13" s="176" t="s">
        <v>22</v>
      </c>
      <c r="C13" s="175">
        <v>0</v>
      </c>
      <c r="D13" s="175">
        <v>0</v>
      </c>
      <c r="E13" s="175">
        <v>2033</v>
      </c>
      <c r="F13" s="175">
        <v>2170</v>
      </c>
      <c r="G13" s="175">
        <v>2226</v>
      </c>
      <c r="H13" s="175">
        <v>101</v>
      </c>
      <c r="I13" s="175">
        <v>0</v>
      </c>
      <c r="J13" s="175">
        <v>935</v>
      </c>
      <c r="K13" s="175">
        <v>1564</v>
      </c>
      <c r="L13" s="175">
        <v>1578</v>
      </c>
      <c r="M13" s="175">
        <v>5364</v>
      </c>
      <c r="N13" s="175">
        <v>4751</v>
      </c>
      <c r="O13" s="175">
        <v>5671</v>
      </c>
      <c r="P13" s="175">
        <v>3217</v>
      </c>
      <c r="Q13" s="175">
        <v>3379</v>
      </c>
      <c r="R13" s="175">
        <v>2787</v>
      </c>
      <c r="S13" s="175">
        <v>0</v>
      </c>
      <c r="T13" s="175">
        <v>588</v>
      </c>
      <c r="U13" s="175">
        <v>4317</v>
      </c>
      <c r="V13" s="175">
        <v>4486</v>
      </c>
      <c r="W13" s="175">
        <v>3629</v>
      </c>
      <c r="X13" s="175">
        <v>2717</v>
      </c>
      <c r="Y13" s="175">
        <v>2024</v>
      </c>
      <c r="Z13" s="175">
        <v>3978</v>
      </c>
      <c r="AA13" s="175">
        <v>8447</v>
      </c>
      <c r="AB13" s="175">
        <v>7817</v>
      </c>
      <c r="AC13" s="175">
        <v>9905</v>
      </c>
      <c r="AD13" s="175">
        <f>9364-59</f>
        <v>9305</v>
      </c>
      <c r="AE13" s="61"/>
      <c r="AF13" s="147"/>
    </row>
    <row r="14" spans="1:253" x14ac:dyDescent="0.2">
      <c r="A14" s="85" t="s">
        <v>43</v>
      </c>
      <c r="B14" s="176" t="s">
        <v>22</v>
      </c>
      <c r="C14" s="175">
        <v>5222</v>
      </c>
      <c r="D14" s="175">
        <v>9842</v>
      </c>
      <c r="E14" s="175">
        <v>6199</v>
      </c>
      <c r="F14" s="175">
        <v>3743</v>
      </c>
      <c r="G14" s="175">
        <v>3589</v>
      </c>
      <c r="H14" s="175">
        <v>3546</v>
      </c>
      <c r="I14" s="175">
        <v>5529</v>
      </c>
      <c r="J14" s="175">
        <v>7509</v>
      </c>
      <c r="K14" s="175">
        <v>5018</v>
      </c>
      <c r="L14" s="175">
        <v>6363</v>
      </c>
      <c r="M14" s="175">
        <v>8560.5</v>
      </c>
      <c r="N14" s="175">
        <v>8797</v>
      </c>
      <c r="O14" s="175">
        <v>11587</v>
      </c>
      <c r="P14" s="175">
        <v>10502</v>
      </c>
      <c r="Q14" s="175">
        <v>10366</v>
      </c>
      <c r="R14" s="175">
        <v>12801</v>
      </c>
      <c r="S14" s="175">
        <v>12391</v>
      </c>
      <c r="T14" s="175">
        <v>14092</v>
      </c>
      <c r="U14" s="175">
        <v>12137</v>
      </c>
      <c r="V14" s="175">
        <v>15141</v>
      </c>
      <c r="W14" s="175">
        <v>12357</v>
      </c>
      <c r="X14" s="175">
        <v>15449</v>
      </c>
      <c r="Y14" s="175">
        <v>13049</v>
      </c>
      <c r="Z14" s="175">
        <v>19100</v>
      </c>
      <c r="AA14" s="175">
        <v>16787</v>
      </c>
      <c r="AB14" s="175">
        <v>15820</v>
      </c>
      <c r="AC14" s="175">
        <v>18316</v>
      </c>
      <c r="AD14" s="175">
        <v>23116</v>
      </c>
      <c r="AE14" s="61"/>
      <c r="AF14" s="147"/>
    </row>
    <row r="15" spans="1:253" s="81" customFormat="1" x14ac:dyDescent="0.2">
      <c r="A15" s="86" t="s">
        <v>98</v>
      </c>
      <c r="B15" s="176"/>
      <c r="C15" s="175">
        <v>5436</v>
      </c>
      <c r="D15" s="175">
        <v>9413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42"/>
      <c r="AF15" s="147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</row>
    <row r="16" spans="1:253" x14ac:dyDescent="0.2">
      <c r="A16" s="56" t="s">
        <v>125</v>
      </c>
      <c r="B16" s="186" t="s">
        <v>22</v>
      </c>
      <c r="C16" s="185">
        <v>126424.277</v>
      </c>
      <c r="D16" s="185">
        <v>163140.84700000001</v>
      </c>
      <c r="E16" s="185">
        <v>157877</v>
      </c>
      <c r="F16" s="185">
        <v>148838</v>
      </c>
      <c r="G16" s="185">
        <v>156178</v>
      </c>
      <c r="H16" s="185">
        <v>159352</v>
      </c>
      <c r="I16" s="185">
        <v>181546</v>
      </c>
      <c r="J16" s="185">
        <v>149764</v>
      </c>
      <c r="K16" s="185">
        <v>145557</v>
      </c>
      <c r="L16" s="185">
        <v>161499</v>
      </c>
      <c r="M16" s="185">
        <v>174328.5</v>
      </c>
      <c r="N16" s="185">
        <v>177021</v>
      </c>
      <c r="O16" s="185">
        <v>157762</v>
      </c>
      <c r="P16" s="185">
        <v>159849</v>
      </c>
      <c r="Q16" s="185">
        <v>166841</v>
      </c>
      <c r="R16" s="185">
        <v>170563</v>
      </c>
      <c r="S16" s="185">
        <v>184013</v>
      </c>
      <c r="T16" s="185">
        <v>213551</v>
      </c>
      <c r="U16" s="185">
        <v>206104</v>
      </c>
      <c r="V16" s="185">
        <v>209391</v>
      </c>
      <c r="W16" s="185">
        <v>217070</v>
      </c>
      <c r="X16" s="185">
        <v>237647</v>
      </c>
      <c r="Y16" s="185">
        <f t="shared" ref="Y16:AD16" si="0">SUM(Y8:Y15)</f>
        <v>252627</v>
      </c>
      <c r="Z16" s="185">
        <f t="shared" si="0"/>
        <v>257947</v>
      </c>
      <c r="AA16" s="185">
        <f t="shared" si="0"/>
        <v>272862</v>
      </c>
      <c r="AB16" s="185">
        <f t="shared" si="0"/>
        <v>273084</v>
      </c>
      <c r="AC16" s="185">
        <f t="shared" si="0"/>
        <v>302391</v>
      </c>
      <c r="AD16" s="185">
        <f t="shared" si="0"/>
        <v>295088</v>
      </c>
      <c r="AE16" s="61"/>
      <c r="AF16" s="147"/>
    </row>
    <row r="17" spans="1:32" x14ac:dyDescent="0.2">
      <c r="A17" s="21" t="s">
        <v>22</v>
      </c>
      <c r="B17" s="167" t="s">
        <v>22</v>
      </c>
      <c r="C17" s="169"/>
      <c r="D17" s="169"/>
      <c r="E17" s="169" t="s">
        <v>22</v>
      </c>
      <c r="F17" s="169" t="s">
        <v>22</v>
      </c>
      <c r="G17" s="169"/>
      <c r="H17" s="169"/>
      <c r="I17" s="169"/>
      <c r="J17" s="169"/>
      <c r="AE17" s="61"/>
      <c r="AF17" s="147"/>
    </row>
    <row r="18" spans="1:32" x14ac:dyDescent="0.2">
      <c r="A18" s="86" t="s">
        <v>126</v>
      </c>
      <c r="B18" s="176" t="s">
        <v>22</v>
      </c>
      <c r="C18" s="177">
        <v>19459</v>
      </c>
      <c r="D18" s="177">
        <v>24142.47</v>
      </c>
      <c r="E18" s="177">
        <v>24518</v>
      </c>
      <c r="F18" s="177">
        <v>24023</v>
      </c>
      <c r="G18" s="177">
        <v>22598</v>
      </c>
      <c r="H18" s="177">
        <v>22702</v>
      </c>
      <c r="I18" s="177">
        <v>23964.222680000003</v>
      </c>
      <c r="J18" s="177">
        <v>28234.215310000007</v>
      </c>
      <c r="K18" s="177">
        <v>28981</v>
      </c>
      <c r="L18" s="177">
        <v>31470</v>
      </c>
      <c r="M18" s="177">
        <v>34733</v>
      </c>
      <c r="N18" s="177">
        <v>37530</v>
      </c>
      <c r="O18" s="177">
        <v>45529</v>
      </c>
      <c r="P18" s="177">
        <v>41003</v>
      </c>
      <c r="Q18" s="177">
        <v>42320</v>
      </c>
      <c r="R18" s="177">
        <v>44840</v>
      </c>
      <c r="S18" s="177">
        <v>41252</v>
      </c>
      <c r="T18" s="177">
        <v>41154</v>
      </c>
      <c r="U18" s="177">
        <v>39356</v>
      </c>
      <c r="V18" s="177">
        <v>38973</v>
      </c>
      <c r="W18" s="177">
        <v>35656</v>
      </c>
      <c r="X18" s="177">
        <v>31690</v>
      </c>
      <c r="Y18" s="177">
        <v>34564</v>
      </c>
      <c r="Z18" s="177">
        <v>44031</v>
      </c>
      <c r="AA18" s="177">
        <v>45978</v>
      </c>
      <c r="AB18" s="177">
        <v>45307</v>
      </c>
      <c r="AC18" s="177">
        <v>45369</v>
      </c>
      <c r="AD18" s="177">
        <v>47467</v>
      </c>
      <c r="AE18" s="61"/>
      <c r="AF18" s="147"/>
    </row>
    <row r="19" spans="1:32" x14ac:dyDescent="0.2">
      <c r="A19" s="87" t="s">
        <v>127</v>
      </c>
      <c r="B19" s="184"/>
      <c r="C19" s="175">
        <v>1970</v>
      </c>
      <c r="D19" s="175">
        <v>340</v>
      </c>
      <c r="E19" s="175">
        <v>0</v>
      </c>
      <c r="F19" s="175">
        <v>0</v>
      </c>
      <c r="G19" s="175">
        <v>0</v>
      </c>
      <c r="H19" s="175">
        <v>710</v>
      </c>
      <c r="I19" s="175">
        <v>627</v>
      </c>
      <c r="J19" s="175">
        <v>10047</v>
      </c>
      <c r="K19" s="175">
        <v>16615</v>
      </c>
      <c r="L19" s="175">
        <v>19223</v>
      </c>
      <c r="M19" s="175">
        <v>18591</v>
      </c>
      <c r="N19" s="175">
        <v>17956</v>
      </c>
      <c r="O19" s="175">
        <v>39642</v>
      </c>
      <c r="P19" s="175">
        <v>37864</v>
      </c>
      <c r="Q19" s="175">
        <v>36313</v>
      </c>
      <c r="R19" s="175">
        <v>35090</v>
      </c>
      <c r="S19" s="175">
        <v>33405</v>
      </c>
      <c r="T19" s="175">
        <v>32247</v>
      </c>
      <c r="U19" s="175">
        <v>40711</v>
      </c>
      <c r="V19" s="175">
        <v>39118</v>
      </c>
      <c r="W19" s="175">
        <v>37283</v>
      </c>
      <c r="X19" s="175">
        <v>35621</v>
      </c>
      <c r="Y19" s="175">
        <v>34115</v>
      </c>
      <c r="Z19" s="175">
        <v>32643</v>
      </c>
      <c r="AA19" s="175">
        <v>31147</v>
      </c>
      <c r="AB19" s="175">
        <v>30545</v>
      </c>
      <c r="AC19" s="175">
        <f>45979+1000</f>
        <v>46979</v>
      </c>
      <c r="AD19" s="175">
        <v>60085</v>
      </c>
      <c r="AE19" s="61"/>
      <c r="AF19" s="147"/>
    </row>
    <row r="20" spans="1:32" x14ac:dyDescent="0.2">
      <c r="A20" s="86" t="s">
        <v>23</v>
      </c>
      <c r="B20" s="176" t="s">
        <v>22</v>
      </c>
      <c r="C20" s="175">
        <v>16651.462</v>
      </c>
      <c r="D20" s="175">
        <v>16785.487000000001</v>
      </c>
      <c r="E20" s="175">
        <v>17557</v>
      </c>
      <c r="F20" s="175">
        <v>17557</v>
      </c>
      <c r="G20" s="175">
        <v>17557</v>
      </c>
      <c r="H20" s="175">
        <v>19595</v>
      </c>
      <c r="I20" s="175">
        <v>19619</v>
      </c>
      <c r="J20" s="175">
        <v>40839</v>
      </c>
      <c r="K20" s="175">
        <v>48018</v>
      </c>
      <c r="L20" s="175">
        <v>43289</v>
      </c>
      <c r="M20" s="175">
        <v>43370</v>
      </c>
      <c r="N20" s="175">
        <v>43411</v>
      </c>
      <c r="O20" s="175">
        <v>99299</v>
      </c>
      <c r="P20" s="175">
        <v>96238</v>
      </c>
      <c r="Q20" s="175">
        <v>92287</v>
      </c>
      <c r="R20" s="175">
        <v>93627</v>
      </c>
      <c r="S20" s="175">
        <v>91339</v>
      </c>
      <c r="T20" s="175">
        <v>92886</v>
      </c>
      <c r="U20" s="175">
        <v>110948</v>
      </c>
      <c r="V20" s="175">
        <v>111341</v>
      </c>
      <c r="W20" s="175">
        <v>108730</v>
      </c>
      <c r="X20" s="175">
        <v>107058</v>
      </c>
      <c r="Y20" s="175">
        <v>107407</v>
      </c>
      <c r="Z20" s="175">
        <v>108216</v>
      </c>
      <c r="AA20" s="175">
        <v>108120</v>
      </c>
      <c r="AB20" s="175">
        <v>112203</v>
      </c>
      <c r="AC20" s="175">
        <f>140599-1000</f>
        <v>139599</v>
      </c>
      <c r="AD20" s="175">
        <v>172097</v>
      </c>
      <c r="AE20" s="61"/>
      <c r="AF20" s="147"/>
    </row>
    <row r="21" spans="1:32" x14ac:dyDescent="0.2">
      <c r="A21" s="86" t="s">
        <v>128</v>
      </c>
      <c r="B21" s="176" t="s">
        <v>22</v>
      </c>
      <c r="C21" s="175">
        <v>22</v>
      </c>
      <c r="D21" s="175">
        <v>3403.5630000000001</v>
      </c>
      <c r="E21" s="175">
        <v>3047</v>
      </c>
      <c r="F21" s="175">
        <v>2380</v>
      </c>
      <c r="G21" s="175">
        <v>2757</v>
      </c>
      <c r="H21" s="175">
        <v>7735</v>
      </c>
      <c r="I21" s="175">
        <v>8482</v>
      </c>
      <c r="J21" s="175">
        <v>6905</v>
      </c>
      <c r="K21" s="175">
        <v>7944</v>
      </c>
      <c r="L21" s="175">
        <v>9993</v>
      </c>
      <c r="M21" s="175">
        <v>14333</v>
      </c>
      <c r="N21" s="175">
        <v>15353</v>
      </c>
      <c r="O21" s="175">
        <v>16965</v>
      </c>
      <c r="P21" s="175">
        <v>15666</v>
      </c>
      <c r="Q21" s="175">
        <v>16495</v>
      </c>
      <c r="R21" s="175">
        <v>14334</v>
      </c>
      <c r="S21" s="175">
        <v>14831</v>
      </c>
      <c r="T21" s="175">
        <v>10042</v>
      </c>
      <c r="U21" s="175">
        <v>14123</v>
      </c>
      <c r="V21" s="175">
        <v>14249</v>
      </c>
      <c r="W21" s="175">
        <v>15387</v>
      </c>
      <c r="X21" s="175">
        <v>13978</v>
      </c>
      <c r="Y21" s="175">
        <v>12254</v>
      </c>
      <c r="Z21" s="175">
        <v>9905</v>
      </c>
      <c r="AA21" s="175">
        <v>8544</v>
      </c>
      <c r="AB21" s="175">
        <v>11017</v>
      </c>
      <c r="AC21" s="175">
        <v>11985</v>
      </c>
      <c r="AD21" s="175">
        <v>8288</v>
      </c>
      <c r="AE21" s="61"/>
      <c r="AF21" s="147"/>
    </row>
    <row r="22" spans="1:32" x14ac:dyDescent="0.2">
      <c r="A22" s="86" t="s">
        <v>32</v>
      </c>
      <c r="B22" s="176" t="s">
        <v>22</v>
      </c>
      <c r="C22" s="175">
        <v>1623</v>
      </c>
      <c r="D22" s="175">
        <v>7875.1500000000196</v>
      </c>
      <c r="E22" s="175">
        <v>8970</v>
      </c>
      <c r="F22" s="175">
        <v>9745</v>
      </c>
      <c r="G22" s="175">
        <v>13494</v>
      </c>
      <c r="H22" s="175">
        <v>14244</v>
      </c>
      <c r="I22" s="175">
        <v>15382</v>
      </c>
      <c r="J22" s="175">
        <v>21242</v>
      </c>
      <c r="K22" s="175">
        <v>19044</v>
      </c>
      <c r="L22" s="175">
        <v>20057</v>
      </c>
      <c r="M22" s="175">
        <v>20327.490000000002</v>
      </c>
      <c r="N22" s="175">
        <v>20220</v>
      </c>
      <c r="O22" s="175">
        <v>26207</v>
      </c>
      <c r="P22" s="175">
        <v>22962</v>
      </c>
      <c r="Q22" s="175">
        <v>23155</v>
      </c>
      <c r="R22" s="175">
        <v>24983</v>
      </c>
      <c r="S22" s="175">
        <v>23411</v>
      </c>
      <c r="T22" s="175">
        <v>25787</v>
      </c>
      <c r="U22" s="175">
        <v>24612</v>
      </c>
      <c r="V22" s="175">
        <v>24780</v>
      </c>
      <c r="W22" s="175">
        <v>22198</v>
      </c>
      <c r="X22" s="175">
        <v>20774</v>
      </c>
      <c r="Y22" s="175">
        <v>22465</v>
      </c>
      <c r="Z22" s="175">
        <v>25269</v>
      </c>
      <c r="AA22" s="175">
        <v>27622</v>
      </c>
      <c r="AB22" s="175">
        <v>26402</v>
      </c>
      <c r="AC22" s="175">
        <v>27233</v>
      </c>
      <c r="AD22" s="175">
        <v>27993</v>
      </c>
      <c r="AE22" s="61"/>
      <c r="AF22" s="147"/>
    </row>
    <row r="23" spans="1:32" x14ac:dyDescent="0.2">
      <c r="A23" s="86" t="s">
        <v>33</v>
      </c>
      <c r="B23" s="176" t="s">
        <v>22</v>
      </c>
      <c r="C23" s="175">
        <v>3017</v>
      </c>
      <c r="D23" s="175">
        <v>2673.6819999999998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61"/>
      <c r="AF23" s="147"/>
    </row>
    <row r="24" spans="1:32" s="9" customFormat="1" x14ac:dyDescent="0.2">
      <c r="A24" s="52" t="s">
        <v>129</v>
      </c>
      <c r="B24" s="183" t="s">
        <v>22</v>
      </c>
      <c r="C24" s="168">
        <v>169166.739</v>
      </c>
      <c r="D24" s="168">
        <v>218361.845</v>
      </c>
      <c r="E24" s="168">
        <v>211969</v>
      </c>
      <c r="F24" s="168">
        <v>202543</v>
      </c>
      <c r="G24" s="168">
        <v>212584</v>
      </c>
      <c r="H24" s="168">
        <v>224338</v>
      </c>
      <c r="I24" s="168">
        <v>249620.22268000001</v>
      </c>
      <c r="J24" s="168">
        <v>257031.21531</v>
      </c>
      <c r="K24" s="168">
        <v>266159</v>
      </c>
      <c r="L24" s="168">
        <v>285531</v>
      </c>
      <c r="M24" s="168">
        <v>305682.99</v>
      </c>
      <c r="N24" s="168">
        <v>311491</v>
      </c>
      <c r="O24" s="168">
        <v>385404</v>
      </c>
      <c r="P24" s="168">
        <v>373582</v>
      </c>
      <c r="Q24" s="168">
        <v>377411</v>
      </c>
      <c r="R24" s="168">
        <v>383437</v>
      </c>
      <c r="S24" s="168">
        <v>388251</v>
      </c>
      <c r="T24" s="168">
        <v>415667</v>
      </c>
      <c r="U24" s="168">
        <v>435854</v>
      </c>
      <c r="V24" s="168">
        <v>437852</v>
      </c>
      <c r="W24" s="168">
        <v>436324</v>
      </c>
      <c r="X24" s="168">
        <v>446768</v>
      </c>
      <c r="Y24" s="168">
        <f t="shared" ref="Y24:AD24" si="1">SUM(Y16:Y23)</f>
        <v>463432</v>
      </c>
      <c r="Z24" s="168">
        <f t="shared" si="1"/>
        <v>478011</v>
      </c>
      <c r="AA24" s="168">
        <f t="shared" si="1"/>
        <v>494273</v>
      </c>
      <c r="AB24" s="168">
        <f t="shared" si="1"/>
        <v>498558</v>
      </c>
      <c r="AC24" s="168">
        <f t="shared" si="1"/>
        <v>573556</v>
      </c>
      <c r="AD24" s="168">
        <f t="shared" si="1"/>
        <v>611018</v>
      </c>
      <c r="AE24" s="1"/>
      <c r="AF24" s="147"/>
    </row>
    <row r="25" spans="1:32" x14ac:dyDescent="0.2">
      <c r="A25" s="24" t="s">
        <v>22</v>
      </c>
      <c r="B25" s="167" t="s">
        <v>22</v>
      </c>
      <c r="C25" s="169"/>
      <c r="D25" s="169" t="s">
        <v>22</v>
      </c>
      <c r="E25" s="169" t="s">
        <v>22</v>
      </c>
      <c r="F25" s="169" t="s">
        <v>22</v>
      </c>
      <c r="G25" s="169"/>
      <c r="H25" s="169"/>
      <c r="I25" s="169"/>
      <c r="J25" s="169"/>
      <c r="AE25" s="61"/>
      <c r="AF25" s="147"/>
    </row>
    <row r="26" spans="1:32" s="42" customFormat="1" x14ac:dyDescent="0.2">
      <c r="A26" s="55" t="s">
        <v>24</v>
      </c>
      <c r="B26" s="182" t="s">
        <v>22</v>
      </c>
      <c r="C26" s="181"/>
      <c r="D26" s="181" t="s">
        <v>22</v>
      </c>
      <c r="E26" s="181" t="s">
        <v>22</v>
      </c>
      <c r="F26" s="181" t="s">
        <v>22</v>
      </c>
      <c r="G26" s="181"/>
      <c r="H26" s="181"/>
      <c r="I26" s="181"/>
      <c r="J26" s="181"/>
      <c r="AF26" s="147"/>
    </row>
    <row r="27" spans="1:32" x14ac:dyDescent="0.2">
      <c r="A27" s="80" t="s">
        <v>25</v>
      </c>
      <c r="B27" s="167" t="s">
        <v>22</v>
      </c>
      <c r="C27" s="169"/>
      <c r="D27" s="169" t="s">
        <v>22</v>
      </c>
      <c r="E27" s="169" t="s">
        <v>22</v>
      </c>
      <c r="F27" s="169" t="s">
        <v>22</v>
      </c>
      <c r="G27" s="169"/>
      <c r="H27" s="169"/>
      <c r="I27" s="169"/>
      <c r="J27" s="169"/>
      <c r="AE27" s="61"/>
      <c r="AF27" s="147"/>
    </row>
    <row r="28" spans="1:32" s="9" customFormat="1" x14ac:dyDescent="0.2">
      <c r="A28" s="85" t="s">
        <v>26</v>
      </c>
      <c r="B28" s="180" t="s">
        <v>22</v>
      </c>
      <c r="C28" s="177">
        <v>3114</v>
      </c>
      <c r="D28" s="177">
        <v>6389.2719999999999</v>
      </c>
      <c r="E28" s="177">
        <v>3371</v>
      </c>
      <c r="F28" s="177">
        <v>1894</v>
      </c>
      <c r="G28" s="177">
        <v>1948</v>
      </c>
      <c r="H28" s="177">
        <v>2254</v>
      </c>
      <c r="I28" s="177">
        <v>5345</v>
      </c>
      <c r="J28" s="177">
        <v>3145</v>
      </c>
      <c r="K28" s="177">
        <v>3663</v>
      </c>
      <c r="L28" s="177">
        <v>2867</v>
      </c>
      <c r="M28" s="177">
        <v>4860</v>
      </c>
      <c r="N28" s="177">
        <v>5752</v>
      </c>
      <c r="O28" s="177">
        <v>6745</v>
      </c>
      <c r="P28" s="177">
        <v>5923</v>
      </c>
      <c r="Q28" s="177">
        <v>4333</v>
      </c>
      <c r="R28" s="177">
        <v>3674</v>
      </c>
      <c r="S28" s="177">
        <v>2429</v>
      </c>
      <c r="T28" s="177">
        <v>2712</v>
      </c>
      <c r="U28" s="177">
        <v>3604</v>
      </c>
      <c r="V28" s="177">
        <v>3322</v>
      </c>
      <c r="W28" s="177">
        <v>2174</v>
      </c>
      <c r="X28" s="177">
        <v>2197</v>
      </c>
      <c r="Y28" s="177">
        <v>4714</v>
      </c>
      <c r="Z28" s="177">
        <v>4420</v>
      </c>
      <c r="AA28" s="177">
        <v>4294</v>
      </c>
      <c r="AB28" s="177">
        <v>3343</v>
      </c>
      <c r="AC28" s="177">
        <v>4663</v>
      </c>
      <c r="AD28" s="177">
        <v>5510</v>
      </c>
      <c r="AE28" s="1"/>
      <c r="AF28" s="147"/>
    </row>
    <row r="29" spans="1:32" s="9" customFormat="1" x14ac:dyDescent="0.2">
      <c r="A29" s="85" t="s">
        <v>170</v>
      </c>
      <c r="B29" s="180"/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30049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5000</v>
      </c>
      <c r="AE29" s="1"/>
      <c r="AF29" s="147"/>
    </row>
    <row r="30" spans="1:32" x14ac:dyDescent="0.2">
      <c r="A30" s="85" t="s">
        <v>27</v>
      </c>
      <c r="B30" s="178" t="s">
        <v>22</v>
      </c>
      <c r="C30" s="175">
        <v>6376.7250000000004</v>
      </c>
      <c r="D30" s="175">
        <v>4440.2610000000004</v>
      </c>
      <c r="E30" s="175">
        <v>2961</v>
      </c>
      <c r="F30" s="175">
        <v>2911</v>
      </c>
      <c r="G30" s="175">
        <v>3252</v>
      </c>
      <c r="H30" s="175">
        <v>3379</v>
      </c>
      <c r="I30" s="175">
        <v>4745</v>
      </c>
      <c r="J30" s="175">
        <v>3585</v>
      </c>
      <c r="K30" s="175">
        <v>6807</v>
      </c>
      <c r="L30" s="175">
        <v>4683</v>
      </c>
      <c r="M30" s="175">
        <v>5108</v>
      </c>
      <c r="N30" s="175">
        <v>6545</v>
      </c>
      <c r="O30" s="175">
        <v>7884</v>
      </c>
      <c r="P30" s="175">
        <v>7284</v>
      </c>
      <c r="Q30" s="175">
        <v>7772</v>
      </c>
      <c r="R30" s="175">
        <v>7805</v>
      </c>
      <c r="S30" s="175">
        <v>6384</v>
      </c>
      <c r="T30" s="175">
        <v>4670</v>
      </c>
      <c r="U30" s="175">
        <v>7922</v>
      </c>
      <c r="V30" s="175">
        <v>7640</v>
      </c>
      <c r="W30" s="175">
        <v>7946</v>
      </c>
      <c r="X30" s="175">
        <v>5395</v>
      </c>
      <c r="Y30" s="175">
        <v>8618</v>
      </c>
      <c r="Z30" s="175">
        <v>9520</v>
      </c>
      <c r="AA30" s="175">
        <v>9659</v>
      </c>
      <c r="AB30" s="175">
        <v>8039</v>
      </c>
      <c r="AC30" s="175">
        <v>7690</v>
      </c>
      <c r="AD30" s="175">
        <v>13246</v>
      </c>
      <c r="AE30" s="61"/>
      <c r="AF30" s="147"/>
    </row>
    <row r="31" spans="1:32" x14ac:dyDescent="0.2">
      <c r="A31" s="85" t="s">
        <v>28</v>
      </c>
      <c r="B31" s="178" t="s">
        <v>22</v>
      </c>
      <c r="C31" s="175">
        <v>9493</v>
      </c>
      <c r="D31" s="175">
        <v>12893.462</v>
      </c>
      <c r="E31" s="175">
        <v>14725</v>
      </c>
      <c r="F31" s="175">
        <v>7383</v>
      </c>
      <c r="G31" s="175">
        <v>9623</v>
      </c>
      <c r="H31" s="175">
        <v>12176</v>
      </c>
      <c r="I31" s="175">
        <v>16020</v>
      </c>
      <c r="J31" s="175">
        <v>11452</v>
      </c>
      <c r="K31" s="175">
        <v>15465</v>
      </c>
      <c r="L31" s="175">
        <v>21578</v>
      </c>
      <c r="M31" s="175">
        <v>23947</v>
      </c>
      <c r="N31" s="175">
        <v>13913</v>
      </c>
      <c r="O31" s="175">
        <v>24752</v>
      </c>
      <c r="P31" s="175">
        <v>26460</v>
      </c>
      <c r="Q31" s="175">
        <v>27444</v>
      </c>
      <c r="R31" s="175">
        <v>16016</v>
      </c>
      <c r="S31" s="175">
        <v>21013</v>
      </c>
      <c r="T31" s="175">
        <v>27400</v>
      </c>
      <c r="U31" s="175">
        <v>29393</v>
      </c>
      <c r="V31" s="175">
        <v>17596</v>
      </c>
      <c r="W31" s="175">
        <v>21257</v>
      </c>
      <c r="X31" s="175">
        <v>25894</v>
      </c>
      <c r="Y31" s="175">
        <v>29405</v>
      </c>
      <c r="Z31" s="175">
        <v>18371</v>
      </c>
      <c r="AA31" s="175">
        <v>24886</v>
      </c>
      <c r="AB31" s="175">
        <v>28044</v>
      </c>
      <c r="AC31" s="175">
        <v>37606</v>
      </c>
      <c r="AD31" s="175">
        <v>21021</v>
      </c>
      <c r="AE31" s="61"/>
      <c r="AF31" s="147"/>
    </row>
    <row r="32" spans="1:32" x14ac:dyDescent="0.2">
      <c r="A32" s="85" t="s">
        <v>74</v>
      </c>
      <c r="B32" s="178" t="s">
        <v>22</v>
      </c>
      <c r="C32" s="175">
        <v>17560</v>
      </c>
      <c r="D32" s="175">
        <v>17229</v>
      </c>
      <c r="E32" s="175">
        <v>18011</v>
      </c>
      <c r="F32" s="175">
        <v>17069</v>
      </c>
      <c r="G32" s="175">
        <v>14530</v>
      </c>
      <c r="H32" s="175">
        <v>12157</v>
      </c>
      <c r="I32" s="175">
        <v>11674</v>
      </c>
      <c r="J32" s="175">
        <v>13301</v>
      </c>
      <c r="K32" s="175">
        <v>12770</v>
      </c>
      <c r="L32" s="175">
        <v>14171</v>
      </c>
      <c r="M32" s="175">
        <v>16791</v>
      </c>
      <c r="N32" s="175">
        <v>18149</v>
      </c>
      <c r="O32" s="175">
        <v>28011</v>
      </c>
      <c r="P32" s="175">
        <v>30761</v>
      </c>
      <c r="Q32" s="175">
        <v>32685</v>
      </c>
      <c r="R32" s="175">
        <v>28230</v>
      </c>
      <c r="S32" s="175">
        <v>31079</v>
      </c>
      <c r="T32" s="175">
        <v>28422</v>
      </c>
      <c r="U32" s="175">
        <v>33422</v>
      </c>
      <c r="V32" s="175">
        <v>29581</v>
      </c>
      <c r="W32" s="175">
        <v>33880</v>
      </c>
      <c r="X32" s="175">
        <v>33613</v>
      </c>
      <c r="Y32" s="175">
        <v>33338</v>
      </c>
      <c r="Z32" s="175">
        <v>30683</v>
      </c>
      <c r="AA32" s="175">
        <v>30780</v>
      </c>
      <c r="AB32" s="175">
        <v>34637</v>
      </c>
      <c r="AC32" s="175">
        <v>41009</v>
      </c>
      <c r="AD32" s="175">
        <f>39386+743</f>
        <v>40129</v>
      </c>
      <c r="AE32" s="61"/>
      <c r="AF32" s="147"/>
    </row>
    <row r="33" spans="1:253" x14ac:dyDescent="0.2">
      <c r="A33" s="85" t="s">
        <v>100</v>
      </c>
      <c r="B33" s="178"/>
      <c r="C33" s="175">
        <v>2708</v>
      </c>
      <c r="D33" s="175">
        <v>726</v>
      </c>
      <c r="E33" s="175">
        <v>0</v>
      </c>
      <c r="F33" s="175">
        <v>0</v>
      </c>
      <c r="G33" s="175">
        <v>0</v>
      </c>
      <c r="H33" s="175">
        <v>0</v>
      </c>
      <c r="I33" s="175">
        <v>543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75">
        <v>0</v>
      </c>
      <c r="S33" s="175">
        <v>160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0</v>
      </c>
      <c r="AB33" s="175">
        <v>0</v>
      </c>
      <c r="AC33" s="175">
        <v>0</v>
      </c>
      <c r="AD33" s="175">
        <v>0</v>
      </c>
      <c r="AE33" s="61"/>
      <c r="AF33" s="147"/>
    </row>
    <row r="34" spans="1:253" s="81" customFormat="1" x14ac:dyDescent="0.2">
      <c r="A34" s="85" t="s">
        <v>99</v>
      </c>
      <c r="B34" s="178"/>
      <c r="C34" s="175">
        <v>2151</v>
      </c>
      <c r="D34" s="175">
        <v>1893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202"/>
      <c r="AF34" s="147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</row>
    <row r="35" spans="1:253" x14ac:dyDescent="0.2">
      <c r="A35" s="86" t="s">
        <v>30</v>
      </c>
      <c r="B35" s="178" t="s">
        <v>22</v>
      </c>
      <c r="C35" s="179">
        <v>41402.724999999999</v>
      </c>
      <c r="D35" s="179">
        <v>43570.994999999995</v>
      </c>
      <c r="E35" s="179">
        <v>39068</v>
      </c>
      <c r="F35" s="179">
        <v>29257</v>
      </c>
      <c r="G35" s="179">
        <v>29353</v>
      </c>
      <c r="H35" s="179">
        <v>29966</v>
      </c>
      <c r="I35" s="179">
        <v>38327</v>
      </c>
      <c r="J35" s="179">
        <v>31483</v>
      </c>
      <c r="K35" s="179">
        <v>38705</v>
      </c>
      <c r="L35" s="179">
        <v>43299</v>
      </c>
      <c r="M35" s="179">
        <v>50706</v>
      </c>
      <c r="N35" s="179">
        <v>44359</v>
      </c>
      <c r="O35" s="179">
        <v>97441</v>
      </c>
      <c r="P35" s="179">
        <v>70428</v>
      </c>
      <c r="Q35" s="179">
        <v>72234</v>
      </c>
      <c r="R35" s="179">
        <v>55725</v>
      </c>
      <c r="S35" s="179">
        <v>61065</v>
      </c>
      <c r="T35" s="179">
        <v>63204</v>
      </c>
      <c r="U35" s="179">
        <v>74341</v>
      </c>
      <c r="V35" s="179">
        <v>58139</v>
      </c>
      <c r="W35" s="179">
        <v>65257</v>
      </c>
      <c r="X35" s="179">
        <v>67099</v>
      </c>
      <c r="Y35" s="179">
        <f t="shared" ref="Y35:AD35" si="2">SUM(Y28:Y34)</f>
        <v>76075</v>
      </c>
      <c r="Z35" s="179">
        <f t="shared" si="2"/>
        <v>62994</v>
      </c>
      <c r="AA35" s="179">
        <f t="shared" si="2"/>
        <v>69619</v>
      </c>
      <c r="AB35" s="179">
        <f t="shared" si="2"/>
        <v>74063</v>
      </c>
      <c r="AC35" s="179">
        <f t="shared" si="2"/>
        <v>90968</v>
      </c>
      <c r="AD35" s="179">
        <f t="shared" si="2"/>
        <v>84906</v>
      </c>
      <c r="AE35" s="61"/>
      <c r="AF35" s="147"/>
    </row>
    <row r="36" spans="1:253" x14ac:dyDescent="0.2">
      <c r="A36" s="90" t="s">
        <v>22</v>
      </c>
      <c r="B36" s="178" t="s">
        <v>22</v>
      </c>
      <c r="C36" s="177"/>
      <c r="D36" s="177" t="s">
        <v>22</v>
      </c>
      <c r="E36" s="177" t="s">
        <v>22</v>
      </c>
      <c r="F36" s="177" t="s">
        <v>22</v>
      </c>
      <c r="G36" s="177"/>
      <c r="H36" s="177"/>
      <c r="I36" s="177"/>
      <c r="J36" s="177"/>
      <c r="AE36" s="61"/>
      <c r="AF36" s="147"/>
    </row>
    <row r="37" spans="1:253" x14ac:dyDescent="0.2">
      <c r="A37" s="91" t="s">
        <v>207</v>
      </c>
      <c r="B37" s="178"/>
      <c r="C37" s="177"/>
      <c r="D37" s="177"/>
      <c r="E37" s="177"/>
      <c r="F37" s="177"/>
      <c r="G37" s="177"/>
      <c r="H37" s="177"/>
      <c r="I37" s="177"/>
      <c r="J37" s="177"/>
      <c r="AC37" s="247">
        <v>50000</v>
      </c>
      <c r="AD37" s="247">
        <v>75000</v>
      </c>
      <c r="AE37" s="61"/>
      <c r="AF37" s="147"/>
    </row>
    <row r="38" spans="1:253" x14ac:dyDescent="0.2">
      <c r="A38" s="91" t="s">
        <v>75</v>
      </c>
      <c r="B38" s="176" t="s">
        <v>22</v>
      </c>
      <c r="C38" s="177"/>
      <c r="D38" s="177"/>
      <c r="E38" s="177"/>
      <c r="F38" s="177"/>
      <c r="G38" s="177"/>
      <c r="H38" s="177"/>
      <c r="I38" s="177"/>
      <c r="J38" s="177"/>
      <c r="AE38" s="61"/>
      <c r="AF38" s="147"/>
    </row>
    <row r="39" spans="1:253" x14ac:dyDescent="0.2">
      <c r="A39" s="85" t="s">
        <v>76</v>
      </c>
      <c r="B39" s="176"/>
      <c r="C39" s="177">
        <v>227.65100000000001</v>
      </c>
      <c r="D39" s="177">
        <v>258.399</v>
      </c>
      <c r="E39" s="177">
        <v>178.94</v>
      </c>
      <c r="F39" s="177">
        <v>135</v>
      </c>
      <c r="G39" s="177">
        <v>114</v>
      </c>
      <c r="H39" s="177">
        <v>88</v>
      </c>
      <c r="I39" s="177">
        <v>137</v>
      </c>
      <c r="J39" s="177">
        <v>182</v>
      </c>
      <c r="K39" s="177">
        <v>344</v>
      </c>
      <c r="L39" s="177">
        <v>373</v>
      </c>
      <c r="M39" s="177">
        <v>389</v>
      </c>
      <c r="N39" s="177">
        <v>389</v>
      </c>
      <c r="O39" s="177">
        <v>5752</v>
      </c>
      <c r="P39" s="177">
        <v>4905</v>
      </c>
      <c r="Q39" s="177">
        <v>4244</v>
      </c>
      <c r="R39" s="177">
        <v>4027</v>
      </c>
      <c r="S39" s="177">
        <v>3318</v>
      </c>
      <c r="T39" s="177">
        <v>3152</v>
      </c>
      <c r="U39" s="177">
        <v>2679</v>
      </c>
      <c r="V39" s="177">
        <v>2399</v>
      </c>
      <c r="W39" s="177">
        <v>1969</v>
      </c>
      <c r="X39" s="177">
        <v>1533</v>
      </c>
      <c r="Y39" s="177">
        <v>1371</v>
      </c>
      <c r="Z39" s="177">
        <v>1222</v>
      </c>
      <c r="AA39" s="177">
        <v>977</v>
      </c>
      <c r="AB39" s="177">
        <v>850</v>
      </c>
      <c r="AC39" s="177">
        <v>560</v>
      </c>
      <c r="AD39" s="177">
        <v>424</v>
      </c>
      <c r="AE39" s="61"/>
      <c r="AF39" s="147"/>
    </row>
    <row r="40" spans="1:253" x14ac:dyDescent="0.2">
      <c r="A40" s="85" t="s">
        <v>34</v>
      </c>
      <c r="B40" s="176"/>
      <c r="C40" s="175">
        <v>339.71499999999997</v>
      </c>
      <c r="D40" s="175">
        <v>471.04199999999997</v>
      </c>
      <c r="E40" s="175">
        <v>1390.038</v>
      </c>
      <c r="F40" s="175">
        <v>1974</v>
      </c>
      <c r="G40" s="175">
        <v>631</v>
      </c>
      <c r="H40" s="175">
        <v>3345</v>
      </c>
      <c r="I40" s="175">
        <v>5438</v>
      </c>
      <c r="J40" s="175">
        <v>7036</v>
      </c>
      <c r="K40" s="175">
        <v>6823</v>
      </c>
      <c r="L40" s="175">
        <v>5535</v>
      </c>
      <c r="M40" s="175">
        <v>6042</v>
      </c>
      <c r="N40" s="175">
        <v>6420</v>
      </c>
      <c r="O40" s="175">
        <v>8504</v>
      </c>
      <c r="P40" s="175">
        <v>9528</v>
      </c>
      <c r="Q40" s="175">
        <v>22458</v>
      </c>
      <c r="R40" s="175">
        <v>18139</v>
      </c>
      <c r="S40" s="175">
        <v>21187</v>
      </c>
      <c r="T40" s="175">
        <v>14339</v>
      </c>
      <c r="U40" s="175">
        <v>14317</v>
      </c>
      <c r="V40" s="175">
        <v>13764</v>
      </c>
      <c r="W40" s="175">
        <v>16136</v>
      </c>
      <c r="X40" s="175">
        <v>18330</v>
      </c>
      <c r="Y40" s="175">
        <v>19812</v>
      </c>
      <c r="Z40" s="175">
        <v>19107</v>
      </c>
      <c r="AA40" s="175">
        <v>14385</v>
      </c>
      <c r="AB40" s="175">
        <v>14530</v>
      </c>
      <c r="AC40" s="175">
        <v>12870</v>
      </c>
      <c r="AD40" s="175">
        <v>13727</v>
      </c>
      <c r="AE40" s="61"/>
      <c r="AF40" s="147"/>
    </row>
    <row r="41" spans="1:253" x14ac:dyDescent="0.2">
      <c r="A41" s="85" t="s">
        <v>169</v>
      </c>
      <c r="B41" s="176"/>
      <c r="C41" s="175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61"/>
      <c r="AF41" s="147"/>
    </row>
    <row r="42" spans="1:253" x14ac:dyDescent="0.2">
      <c r="A42" s="85" t="s">
        <v>35</v>
      </c>
      <c r="B42" s="176" t="s">
        <v>22</v>
      </c>
      <c r="C42" s="175">
        <v>0</v>
      </c>
      <c r="D42" s="175">
        <v>81.643000000000001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0</v>
      </c>
      <c r="Q42" s="175">
        <v>0</v>
      </c>
      <c r="R42" s="175">
        <v>0</v>
      </c>
      <c r="S42" s="175">
        <v>0</v>
      </c>
      <c r="T42" s="175">
        <v>0</v>
      </c>
      <c r="U42" s="175">
        <v>0</v>
      </c>
      <c r="V42" s="175">
        <v>0</v>
      </c>
      <c r="W42" s="175">
        <v>0</v>
      </c>
      <c r="X42" s="175">
        <v>0</v>
      </c>
      <c r="Y42" s="175">
        <v>0</v>
      </c>
      <c r="Z42" s="175">
        <v>0</v>
      </c>
      <c r="AA42" s="175">
        <v>0</v>
      </c>
      <c r="AB42" s="175">
        <v>0</v>
      </c>
      <c r="AC42" s="175">
        <v>0</v>
      </c>
      <c r="AD42" s="175">
        <v>0</v>
      </c>
      <c r="AE42" s="61"/>
      <c r="AF42" s="147"/>
    </row>
    <row r="43" spans="1:253" x14ac:dyDescent="0.2">
      <c r="A43" s="48" t="s">
        <v>84</v>
      </c>
      <c r="B43" s="49" t="s">
        <v>22</v>
      </c>
      <c r="C43" s="170">
        <v>41970.090999999993</v>
      </c>
      <c r="D43" s="170">
        <v>44382.078999999991</v>
      </c>
      <c r="E43" s="170">
        <v>40636.978000000003</v>
      </c>
      <c r="F43" s="170">
        <v>31366</v>
      </c>
      <c r="G43" s="170">
        <v>30098</v>
      </c>
      <c r="H43" s="170">
        <v>33399</v>
      </c>
      <c r="I43" s="170">
        <v>43902</v>
      </c>
      <c r="J43" s="170">
        <v>38701</v>
      </c>
      <c r="K43" s="170">
        <v>45872</v>
      </c>
      <c r="L43" s="170">
        <v>49207</v>
      </c>
      <c r="M43" s="170">
        <v>57137</v>
      </c>
      <c r="N43" s="170">
        <v>51168</v>
      </c>
      <c r="O43" s="170">
        <v>111697</v>
      </c>
      <c r="P43" s="170">
        <v>84861</v>
      </c>
      <c r="Q43" s="170">
        <v>98936</v>
      </c>
      <c r="R43" s="170">
        <v>77891</v>
      </c>
      <c r="S43" s="170">
        <v>85570</v>
      </c>
      <c r="T43" s="170">
        <v>80695</v>
      </c>
      <c r="U43" s="170">
        <v>91337</v>
      </c>
      <c r="V43" s="170">
        <v>74302</v>
      </c>
      <c r="W43" s="170">
        <v>83362</v>
      </c>
      <c r="X43" s="170">
        <v>86962</v>
      </c>
      <c r="Y43" s="170">
        <f t="shared" ref="Y43:AD43" si="3">SUM(Y35:Y42)</f>
        <v>97258</v>
      </c>
      <c r="Z43" s="170">
        <f t="shared" si="3"/>
        <v>83323</v>
      </c>
      <c r="AA43" s="170">
        <f t="shared" si="3"/>
        <v>84981</v>
      </c>
      <c r="AB43" s="170">
        <f t="shared" si="3"/>
        <v>89443</v>
      </c>
      <c r="AC43" s="170">
        <f t="shared" si="3"/>
        <v>154398</v>
      </c>
      <c r="AD43" s="170">
        <f t="shared" si="3"/>
        <v>174057</v>
      </c>
      <c r="AE43" s="61"/>
      <c r="AF43" s="147"/>
    </row>
    <row r="44" spans="1:253" x14ac:dyDescent="0.2">
      <c r="A44" s="21" t="s">
        <v>22</v>
      </c>
      <c r="B44" s="2" t="s">
        <v>22</v>
      </c>
      <c r="C44" s="169"/>
      <c r="D44" s="169" t="s">
        <v>22</v>
      </c>
      <c r="E44" s="169" t="s">
        <v>22</v>
      </c>
      <c r="F44" s="169" t="s">
        <v>22</v>
      </c>
      <c r="G44" s="169"/>
      <c r="H44" s="169"/>
      <c r="I44" s="169"/>
      <c r="J44" s="169"/>
      <c r="AE44" s="61"/>
      <c r="AF44" s="147"/>
    </row>
    <row r="45" spans="1:253" ht="25.5" x14ac:dyDescent="0.2">
      <c r="A45" s="22" t="s">
        <v>86</v>
      </c>
      <c r="B45" s="2" t="s">
        <v>22</v>
      </c>
      <c r="C45" s="169">
        <v>0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9">
        <v>0</v>
      </c>
      <c r="AC45" s="169">
        <v>0</v>
      </c>
      <c r="AD45" s="169">
        <v>0</v>
      </c>
      <c r="AE45" s="61"/>
      <c r="AF45" s="147"/>
    </row>
    <row r="46" spans="1:253" x14ac:dyDescent="0.2">
      <c r="A46" s="21"/>
      <c r="C46" s="169"/>
      <c r="D46" s="169"/>
      <c r="E46" s="169"/>
      <c r="F46" s="169"/>
      <c r="G46" s="169"/>
      <c r="H46" s="169"/>
      <c r="I46" s="169"/>
      <c r="J46" s="169"/>
      <c r="W46" s="201"/>
      <c r="X46" s="201"/>
      <c r="Y46" s="201"/>
      <c r="AE46" s="61"/>
      <c r="AF46" s="147"/>
    </row>
    <row r="47" spans="1:253" x14ac:dyDescent="0.2">
      <c r="A47" s="23" t="s">
        <v>130</v>
      </c>
      <c r="B47" s="9" t="s">
        <v>22</v>
      </c>
      <c r="C47" s="169"/>
      <c r="D47" s="169" t="s">
        <v>22</v>
      </c>
      <c r="E47" s="169" t="s">
        <v>22</v>
      </c>
      <c r="F47" s="169" t="s">
        <v>22</v>
      </c>
      <c r="G47" s="169"/>
      <c r="H47" s="169"/>
      <c r="I47" s="169"/>
      <c r="J47" s="169"/>
      <c r="W47" s="201"/>
      <c r="X47" s="201"/>
      <c r="Y47" s="201"/>
      <c r="AE47" s="61"/>
      <c r="AF47" s="147"/>
    </row>
    <row r="48" spans="1:253" x14ac:dyDescent="0.2">
      <c r="A48" s="146"/>
      <c r="B48" s="9"/>
      <c r="C48" s="169"/>
      <c r="D48" s="169"/>
      <c r="E48" s="169"/>
      <c r="F48" s="169"/>
      <c r="G48" s="169"/>
      <c r="H48" s="169"/>
      <c r="I48" s="169"/>
      <c r="J48" s="169"/>
      <c r="W48" s="201"/>
      <c r="X48" s="201"/>
      <c r="Y48" s="201"/>
      <c r="AE48" s="61"/>
      <c r="AF48" s="147"/>
    </row>
    <row r="49" spans="1:253" x14ac:dyDescent="0.2">
      <c r="A49" s="22" t="s">
        <v>87</v>
      </c>
      <c r="B49" s="42" t="s">
        <v>22</v>
      </c>
      <c r="C49" s="169">
        <v>28.263000000000002</v>
      </c>
      <c r="D49" s="169">
        <v>28.890999999999998</v>
      </c>
      <c r="E49" s="169">
        <v>29</v>
      </c>
      <c r="F49" s="169">
        <v>29</v>
      </c>
      <c r="G49" s="169">
        <v>29</v>
      </c>
      <c r="H49" s="169">
        <v>29</v>
      </c>
      <c r="I49" s="169">
        <v>29</v>
      </c>
      <c r="J49" s="169">
        <v>29</v>
      </c>
      <c r="K49" s="169">
        <v>29</v>
      </c>
      <c r="L49" s="169">
        <v>30</v>
      </c>
      <c r="M49" s="169">
        <v>30</v>
      </c>
      <c r="N49" s="169">
        <v>30</v>
      </c>
      <c r="O49" s="169">
        <v>30</v>
      </c>
      <c r="P49" s="169">
        <v>31</v>
      </c>
      <c r="Q49" s="169">
        <v>31</v>
      </c>
      <c r="R49" s="169">
        <v>32</v>
      </c>
      <c r="S49" s="169">
        <v>32</v>
      </c>
      <c r="T49" s="169">
        <v>32</v>
      </c>
      <c r="U49" s="169">
        <v>33</v>
      </c>
      <c r="V49" s="169">
        <v>33</v>
      </c>
      <c r="W49" s="201">
        <v>33</v>
      </c>
      <c r="X49" s="201">
        <v>33</v>
      </c>
      <c r="Y49" s="201">
        <v>33</v>
      </c>
      <c r="Z49" s="169">
        <v>34</v>
      </c>
      <c r="AA49" s="169">
        <v>34</v>
      </c>
      <c r="AB49" s="169">
        <v>34</v>
      </c>
      <c r="AC49" s="169">
        <v>34</v>
      </c>
      <c r="AD49" s="169">
        <v>35</v>
      </c>
      <c r="AE49" s="61"/>
      <c r="AF49" s="147"/>
    </row>
    <row r="50" spans="1:253" x14ac:dyDescent="0.2">
      <c r="A50" s="22" t="s">
        <v>31</v>
      </c>
      <c r="B50" s="2" t="s">
        <v>22</v>
      </c>
      <c r="C50" s="174">
        <v>98429.373999999996</v>
      </c>
      <c r="D50" s="174">
        <v>110988.552</v>
      </c>
      <c r="E50" s="174">
        <v>116676</v>
      </c>
      <c r="F50" s="174">
        <v>118226</v>
      </c>
      <c r="G50" s="174">
        <v>120394</v>
      </c>
      <c r="H50" s="174">
        <v>122308</v>
      </c>
      <c r="I50" s="174">
        <v>124493</v>
      </c>
      <c r="J50" s="174">
        <v>126582</v>
      </c>
      <c r="K50" s="174">
        <v>129518</v>
      </c>
      <c r="L50" s="174">
        <v>132464</v>
      </c>
      <c r="M50" s="174">
        <v>136173</v>
      </c>
      <c r="N50" s="174">
        <v>139015</v>
      </c>
      <c r="O50" s="174">
        <v>144878</v>
      </c>
      <c r="P50" s="174">
        <v>170401</v>
      </c>
      <c r="Q50" s="174">
        <v>173926</v>
      </c>
      <c r="R50" s="174">
        <v>179604</v>
      </c>
      <c r="S50" s="174">
        <v>186696</v>
      </c>
      <c r="T50" s="174">
        <v>190155</v>
      </c>
      <c r="U50" s="174">
        <v>195248</v>
      </c>
      <c r="V50" s="174">
        <v>200813</v>
      </c>
      <c r="W50" s="203">
        <v>204209</v>
      </c>
      <c r="X50" s="203">
        <v>209344</v>
      </c>
      <c r="Y50" s="203">
        <v>214522</v>
      </c>
      <c r="Z50" s="174">
        <v>220370</v>
      </c>
      <c r="AA50" s="174">
        <v>223477</v>
      </c>
      <c r="AB50" s="174">
        <v>228009</v>
      </c>
      <c r="AC50" s="174">
        <v>233173</v>
      </c>
      <c r="AD50" s="174">
        <v>239311</v>
      </c>
      <c r="AE50" s="61"/>
      <c r="AF50" s="147"/>
    </row>
    <row r="51" spans="1:253" x14ac:dyDescent="0.2">
      <c r="A51" s="86" t="s">
        <v>36</v>
      </c>
      <c r="B51" s="89" t="s">
        <v>22</v>
      </c>
      <c r="C51" s="175">
        <v>28665</v>
      </c>
      <c r="D51" s="174">
        <v>55708.233</v>
      </c>
      <c r="E51" s="174">
        <v>70021</v>
      </c>
      <c r="F51" s="174">
        <v>72904</v>
      </c>
      <c r="G51" s="174">
        <v>74156</v>
      </c>
      <c r="H51" s="174">
        <v>78150</v>
      </c>
      <c r="I51" s="174">
        <v>85674</v>
      </c>
      <c r="J51" s="174">
        <v>91297</v>
      </c>
      <c r="K51" s="174">
        <v>96166</v>
      </c>
      <c r="L51" s="174">
        <v>103970</v>
      </c>
      <c r="M51" s="174">
        <v>112266</v>
      </c>
      <c r="N51" s="174">
        <v>120627</v>
      </c>
      <c r="O51" s="174">
        <v>129102</v>
      </c>
      <c r="P51" s="174">
        <v>137493</v>
      </c>
      <c r="Q51" s="174">
        <v>147046</v>
      </c>
      <c r="R51" s="174">
        <v>155962</v>
      </c>
      <c r="S51" s="174">
        <v>165016</v>
      </c>
      <c r="T51" s="174">
        <v>176719</v>
      </c>
      <c r="U51" s="174">
        <v>188882</v>
      </c>
      <c r="V51" s="174">
        <v>198644</v>
      </c>
      <c r="W51" s="203">
        <v>207880</v>
      </c>
      <c r="X51" s="203">
        <v>221120</v>
      </c>
      <c r="Y51" s="203">
        <v>236979</v>
      </c>
      <c r="Z51" s="174">
        <v>248126</v>
      </c>
      <c r="AA51" s="174">
        <v>255889</v>
      </c>
      <c r="AB51" s="174">
        <v>261964</v>
      </c>
      <c r="AC51" s="174">
        <v>269424</v>
      </c>
      <c r="AD51" s="174">
        <f>AC51+9567</f>
        <v>278991</v>
      </c>
      <c r="AE51" s="61"/>
      <c r="AF51" s="147"/>
    </row>
    <row r="52" spans="1:253" x14ac:dyDescent="0.2">
      <c r="A52" s="86" t="s">
        <v>159</v>
      </c>
      <c r="B52" s="89" t="s">
        <v>22</v>
      </c>
      <c r="C52" s="175">
        <v>109.693</v>
      </c>
      <c r="D52" s="174">
        <v>7570.0259999999998</v>
      </c>
      <c r="E52" s="174">
        <v>-14491</v>
      </c>
      <c r="F52" s="174">
        <v>-19034</v>
      </c>
      <c r="G52" s="174">
        <v>-11117</v>
      </c>
      <c r="H52" s="174">
        <v>-8572</v>
      </c>
      <c r="I52" s="174">
        <v>-3515</v>
      </c>
      <c r="J52" s="174">
        <v>1378</v>
      </c>
      <c r="K52" s="174">
        <v>-4377</v>
      </c>
      <c r="L52" s="174">
        <v>909</v>
      </c>
      <c r="M52" s="174">
        <v>1126</v>
      </c>
      <c r="N52" s="174">
        <v>1734</v>
      </c>
      <c r="O52" s="174">
        <v>2389</v>
      </c>
      <c r="P52" s="174">
        <v>-16533</v>
      </c>
      <c r="Q52" s="174">
        <v>-39858</v>
      </c>
      <c r="R52" s="174">
        <v>-27200</v>
      </c>
      <c r="S52" s="174">
        <v>-46063</v>
      </c>
      <c r="T52" s="174">
        <v>-28934</v>
      </c>
      <c r="U52" s="174">
        <v>-36647</v>
      </c>
      <c r="V52" s="174">
        <v>-32553</v>
      </c>
      <c r="W52" s="203">
        <v>-55774</v>
      </c>
      <c r="X52" s="203">
        <v>-67278</v>
      </c>
      <c r="Y52" s="203">
        <v>-60718</v>
      </c>
      <c r="Z52" s="174">
        <v>-48741</v>
      </c>
      <c r="AA52" s="174">
        <v>-45007</v>
      </c>
      <c r="AB52" s="174">
        <v>-52928</v>
      </c>
      <c r="AC52" s="174">
        <v>-55509</v>
      </c>
      <c r="AD52" s="174">
        <v>-53015</v>
      </c>
      <c r="AE52" s="61"/>
      <c r="AF52" s="147"/>
    </row>
    <row r="53" spans="1:253" x14ac:dyDescent="0.2">
      <c r="A53" s="22" t="s">
        <v>85</v>
      </c>
      <c r="B53" s="2" t="s">
        <v>22</v>
      </c>
      <c r="C53" s="174">
        <v>-35.515999999999998</v>
      </c>
      <c r="D53" s="174">
        <v>-315.93299999999999</v>
      </c>
      <c r="E53" s="174">
        <v>-903</v>
      </c>
      <c r="F53" s="174">
        <v>-948</v>
      </c>
      <c r="G53" s="174">
        <v>-976</v>
      </c>
      <c r="H53" s="174">
        <v>-976</v>
      </c>
      <c r="I53" s="174">
        <v>-976</v>
      </c>
      <c r="J53" s="174">
        <v>-976</v>
      </c>
      <c r="K53" s="174">
        <v>-1069</v>
      </c>
      <c r="L53" s="174">
        <v>-1069</v>
      </c>
      <c r="M53" s="174">
        <v>-1069</v>
      </c>
      <c r="N53" s="174">
        <v>-1103</v>
      </c>
      <c r="O53" s="174">
        <v>-2712</v>
      </c>
      <c r="P53" s="174">
        <v>-2693</v>
      </c>
      <c r="Q53" s="174">
        <v>-2693</v>
      </c>
      <c r="R53" s="174">
        <v>-2875</v>
      </c>
      <c r="S53" s="174">
        <v>-3024</v>
      </c>
      <c r="T53" s="174">
        <v>-3024</v>
      </c>
      <c r="U53" s="174">
        <v>-3024</v>
      </c>
      <c r="V53" s="174">
        <v>-3413</v>
      </c>
      <c r="W53" s="203">
        <v>-3413</v>
      </c>
      <c r="X53" s="203">
        <v>-3413</v>
      </c>
      <c r="Y53" s="203">
        <v>-24642</v>
      </c>
      <c r="Z53" s="174">
        <v>-25101</v>
      </c>
      <c r="AA53" s="174">
        <v>-25101</v>
      </c>
      <c r="AB53" s="174">
        <v>-27964</v>
      </c>
      <c r="AC53" s="174">
        <v>-27964</v>
      </c>
      <c r="AD53" s="174">
        <v>-28361</v>
      </c>
      <c r="AE53" s="61"/>
      <c r="AF53" s="147"/>
    </row>
    <row r="54" spans="1:253" x14ac:dyDescent="0.2">
      <c r="A54" s="171" t="s">
        <v>146</v>
      </c>
      <c r="B54" s="49" t="s">
        <v>22</v>
      </c>
      <c r="C54" s="170">
        <v>127196.814</v>
      </c>
      <c r="D54" s="170">
        <v>173979.76900000003</v>
      </c>
      <c r="E54" s="170">
        <v>171332</v>
      </c>
      <c r="F54" s="170">
        <v>171177</v>
      </c>
      <c r="G54" s="170">
        <v>182486</v>
      </c>
      <c r="H54" s="170">
        <v>190939</v>
      </c>
      <c r="I54" s="170">
        <v>205705</v>
      </c>
      <c r="J54" s="170">
        <v>218310</v>
      </c>
      <c r="K54" s="170">
        <v>220267</v>
      </c>
      <c r="L54" s="170">
        <v>236304</v>
      </c>
      <c r="M54" s="170">
        <v>248526</v>
      </c>
      <c r="N54" s="170">
        <v>260303</v>
      </c>
      <c r="O54" s="170">
        <v>273687</v>
      </c>
      <c r="P54" s="170">
        <v>288699</v>
      </c>
      <c r="Q54" s="170">
        <v>278452</v>
      </c>
      <c r="R54" s="170">
        <v>305523</v>
      </c>
      <c r="S54" s="170">
        <v>302657</v>
      </c>
      <c r="T54" s="170">
        <v>334948</v>
      </c>
      <c r="U54" s="170">
        <v>344492</v>
      </c>
      <c r="V54" s="170">
        <v>363524</v>
      </c>
      <c r="W54" s="170">
        <v>352935</v>
      </c>
      <c r="X54" s="170">
        <v>359806</v>
      </c>
      <c r="Y54" s="170">
        <f t="shared" ref="Y54:AD54" si="4">SUM(Y45:Y53)</f>
        <v>366174</v>
      </c>
      <c r="Z54" s="170">
        <f t="shared" si="4"/>
        <v>394688</v>
      </c>
      <c r="AA54" s="170">
        <f t="shared" si="4"/>
        <v>409292</v>
      </c>
      <c r="AB54" s="170">
        <f t="shared" si="4"/>
        <v>409115</v>
      </c>
      <c r="AC54" s="170">
        <f t="shared" si="4"/>
        <v>419158</v>
      </c>
      <c r="AD54" s="170">
        <f t="shared" si="4"/>
        <v>436961</v>
      </c>
      <c r="AE54" s="61"/>
      <c r="AF54" s="147"/>
    </row>
    <row r="55" spans="1:253" x14ac:dyDescent="0.2">
      <c r="A55" s="173" t="s">
        <v>168</v>
      </c>
      <c r="B55" s="1"/>
      <c r="C55" s="172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13</v>
      </c>
      <c r="J55" s="172">
        <v>20</v>
      </c>
      <c r="K55" s="2">
        <v>20</v>
      </c>
      <c r="L55" s="2">
        <v>20</v>
      </c>
      <c r="M55" s="2">
        <v>20</v>
      </c>
      <c r="N55" s="2">
        <v>20</v>
      </c>
      <c r="O55" s="2">
        <v>20</v>
      </c>
      <c r="P55" s="2">
        <v>22</v>
      </c>
      <c r="Q55" s="2">
        <v>23</v>
      </c>
      <c r="R55" s="2">
        <v>23</v>
      </c>
      <c r="S55" s="2">
        <v>24</v>
      </c>
      <c r="T55" s="2">
        <v>24</v>
      </c>
      <c r="U55" s="2">
        <v>25</v>
      </c>
      <c r="V55" s="2">
        <v>26</v>
      </c>
      <c r="W55" s="2">
        <v>27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61"/>
      <c r="AF55" s="147"/>
    </row>
    <row r="56" spans="1:253" x14ac:dyDescent="0.2">
      <c r="A56" s="171" t="s">
        <v>147</v>
      </c>
      <c r="B56" s="49" t="s">
        <v>22</v>
      </c>
      <c r="C56" s="170">
        <v>127196.814</v>
      </c>
      <c r="D56" s="170">
        <v>173979.76900000003</v>
      </c>
      <c r="E56" s="170">
        <v>171332</v>
      </c>
      <c r="F56" s="170">
        <v>171177</v>
      </c>
      <c r="G56" s="170">
        <v>182486</v>
      </c>
      <c r="H56" s="170">
        <v>190939</v>
      </c>
      <c r="I56" s="170">
        <v>205718</v>
      </c>
      <c r="J56" s="170">
        <v>218330</v>
      </c>
      <c r="K56" s="170">
        <v>220287</v>
      </c>
      <c r="L56" s="170">
        <v>236324</v>
      </c>
      <c r="M56" s="170">
        <v>248546</v>
      </c>
      <c r="N56" s="170">
        <v>260323</v>
      </c>
      <c r="O56" s="170">
        <v>273707</v>
      </c>
      <c r="P56" s="170">
        <v>288721</v>
      </c>
      <c r="Q56" s="170">
        <v>278475</v>
      </c>
      <c r="R56" s="170">
        <v>305546</v>
      </c>
      <c r="S56" s="170">
        <v>302681</v>
      </c>
      <c r="T56" s="170">
        <v>334972</v>
      </c>
      <c r="U56" s="170">
        <v>344517</v>
      </c>
      <c r="V56" s="170">
        <v>363550</v>
      </c>
      <c r="W56" s="170">
        <v>352962</v>
      </c>
      <c r="X56" s="170">
        <v>359806</v>
      </c>
      <c r="Y56" s="170">
        <f t="shared" ref="Y56:AD56" si="5">SUM(Y54:Y55)</f>
        <v>366174</v>
      </c>
      <c r="Z56" s="170">
        <f t="shared" si="5"/>
        <v>394688</v>
      </c>
      <c r="AA56" s="170">
        <f t="shared" si="5"/>
        <v>409292</v>
      </c>
      <c r="AB56" s="170">
        <f t="shared" si="5"/>
        <v>409115</v>
      </c>
      <c r="AC56" s="170">
        <f t="shared" si="5"/>
        <v>419158</v>
      </c>
      <c r="AD56" s="170">
        <f t="shared" si="5"/>
        <v>436961</v>
      </c>
      <c r="AE56" s="61"/>
      <c r="AF56" s="147"/>
    </row>
    <row r="57" spans="1:253" x14ac:dyDescent="0.2">
      <c r="A57" s="24" t="s">
        <v>22</v>
      </c>
      <c r="B57" s="2" t="s">
        <v>22</v>
      </c>
      <c r="C57" s="169"/>
      <c r="D57" s="169" t="s">
        <v>22</v>
      </c>
      <c r="E57" s="169" t="s">
        <v>22</v>
      </c>
      <c r="F57" s="169" t="s">
        <v>22</v>
      </c>
      <c r="G57" s="169"/>
      <c r="H57" s="169"/>
      <c r="I57" s="169"/>
      <c r="J57" s="169"/>
      <c r="AE57" s="61"/>
      <c r="AF57" s="147"/>
    </row>
    <row r="58" spans="1:253" s="54" customFormat="1" x14ac:dyDescent="0.2">
      <c r="A58" s="52" t="s">
        <v>131</v>
      </c>
      <c r="B58" s="53" t="s">
        <v>22</v>
      </c>
      <c r="C58" s="168">
        <v>169166.905</v>
      </c>
      <c r="D58" s="168">
        <v>218361.84800000003</v>
      </c>
      <c r="E58" s="168">
        <v>211968.978</v>
      </c>
      <c r="F58" s="168">
        <v>202543</v>
      </c>
      <c r="G58" s="168">
        <v>212584</v>
      </c>
      <c r="H58" s="168">
        <v>224338</v>
      </c>
      <c r="I58" s="168">
        <v>249620</v>
      </c>
      <c r="J58" s="168">
        <v>257031</v>
      </c>
      <c r="K58" s="168">
        <v>266159</v>
      </c>
      <c r="L58" s="168">
        <v>285531</v>
      </c>
      <c r="M58" s="168">
        <v>305683</v>
      </c>
      <c r="N58" s="168">
        <v>311491</v>
      </c>
      <c r="O58" s="168">
        <v>385404</v>
      </c>
      <c r="P58" s="168">
        <v>373582</v>
      </c>
      <c r="Q58" s="168">
        <v>377411</v>
      </c>
      <c r="R58" s="168">
        <v>383437</v>
      </c>
      <c r="S58" s="168">
        <v>388251</v>
      </c>
      <c r="T58" s="168">
        <v>415667</v>
      </c>
      <c r="U58" s="168">
        <v>435854</v>
      </c>
      <c r="V58" s="168">
        <v>437852</v>
      </c>
      <c r="W58" s="168">
        <v>436324</v>
      </c>
      <c r="X58" s="168">
        <v>446768</v>
      </c>
      <c r="Y58" s="168">
        <f t="shared" ref="Y58:AD58" si="6">Y56+Y43</f>
        <v>463432</v>
      </c>
      <c r="Z58" s="168">
        <f t="shared" si="6"/>
        <v>478011</v>
      </c>
      <c r="AA58" s="168">
        <f t="shared" si="6"/>
        <v>494273</v>
      </c>
      <c r="AB58" s="168">
        <f t="shared" si="6"/>
        <v>498558</v>
      </c>
      <c r="AC58" s="168">
        <f t="shared" si="6"/>
        <v>573556</v>
      </c>
      <c r="AD58" s="168">
        <f t="shared" si="6"/>
        <v>611018</v>
      </c>
      <c r="AE58" s="61"/>
      <c r="AF58" s="147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idden="1" x14ac:dyDescent="0.2">
      <c r="C59" s="167"/>
      <c r="U59" s="147"/>
      <c r="V59" s="147"/>
      <c r="W59" s="150"/>
      <c r="X59" s="150">
        <v>0</v>
      </c>
      <c r="Y59" s="150">
        <v>0</v>
      </c>
      <c r="Z59" s="147"/>
      <c r="AA59" s="147"/>
      <c r="AB59" s="147"/>
      <c r="AC59" s="147"/>
      <c r="AD59" s="147"/>
      <c r="AE59" s="61"/>
    </row>
    <row r="60" spans="1:253" hidden="1" x14ac:dyDescent="0.2">
      <c r="C60" s="167">
        <v>169166.905</v>
      </c>
      <c r="D60" s="2">
        <v>218361.84800000003</v>
      </c>
      <c r="E60" s="2">
        <v>211968.978</v>
      </c>
      <c r="F60" s="39">
        <v>202543</v>
      </c>
      <c r="G60" s="2">
        <v>212584</v>
      </c>
      <c r="H60" s="2">
        <v>224338</v>
      </c>
      <c r="W60" s="61"/>
      <c r="X60" s="61"/>
      <c r="Y60" s="61"/>
      <c r="AE60" s="61"/>
    </row>
    <row r="61" spans="1:253" hidden="1" x14ac:dyDescent="0.2">
      <c r="C61" s="167">
        <v>0</v>
      </c>
      <c r="D61" s="167">
        <v>0</v>
      </c>
      <c r="E61" s="2">
        <v>0</v>
      </c>
      <c r="F61" s="167">
        <v>0</v>
      </c>
      <c r="G61" s="167">
        <v>0</v>
      </c>
      <c r="H61" s="167">
        <v>0</v>
      </c>
      <c r="W61" s="61"/>
      <c r="X61" s="61"/>
      <c r="Y61" s="61"/>
      <c r="AE61" s="61"/>
    </row>
    <row r="62" spans="1:253" x14ac:dyDescent="0.2">
      <c r="C62" s="167"/>
      <c r="O62" s="147"/>
      <c r="P62" s="147"/>
      <c r="Q62" s="147"/>
      <c r="R62" s="147"/>
      <c r="S62" s="147"/>
      <c r="T62" s="147"/>
      <c r="U62" s="147"/>
      <c r="V62" s="147"/>
      <c r="W62" s="61"/>
      <c r="X62" s="61"/>
      <c r="Y62" s="150"/>
      <c r="Z62" s="147"/>
      <c r="AA62" s="147"/>
      <c r="AB62" s="147"/>
      <c r="AC62" s="147"/>
      <c r="AD62" s="147"/>
      <c r="AE62" s="61"/>
    </row>
    <row r="63" spans="1:253" x14ac:dyDescent="0.2">
      <c r="C63" s="167"/>
      <c r="W63" s="61"/>
      <c r="X63" s="61"/>
      <c r="Y63" s="61"/>
      <c r="AC63" s="147"/>
      <c r="AD63" s="147"/>
      <c r="AE63" s="61"/>
    </row>
    <row r="64" spans="1:253" x14ac:dyDescent="0.2">
      <c r="C64" s="167"/>
      <c r="L64" s="147"/>
      <c r="M64" s="147"/>
      <c r="W64" s="61"/>
      <c r="X64" s="61"/>
      <c r="Y64" s="61"/>
      <c r="AE64" s="61"/>
    </row>
    <row r="65" spans="1:31" x14ac:dyDescent="0.2">
      <c r="C65" s="167"/>
      <c r="W65" s="61"/>
      <c r="X65" s="61"/>
      <c r="Y65" s="61"/>
      <c r="AE65" s="61"/>
    </row>
    <row r="66" spans="1:31" x14ac:dyDescent="0.2">
      <c r="A66" s="2"/>
      <c r="C66" s="167"/>
    </row>
    <row r="67" spans="1:31" x14ac:dyDescent="0.2">
      <c r="A67" s="2"/>
      <c r="C67" s="167"/>
    </row>
    <row r="68" spans="1:31" x14ac:dyDescent="0.2">
      <c r="A68" s="2"/>
      <c r="C68" s="167"/>
    </row>
    <row r="69" spans="1:31" x14ac:dyDescent="0.2">
      <c r="A69" s="2"/>
      <c r="C69" s="167"/>
    </row>
  </sheetData>
  <phoneticPr fontId="22" type="noConversion"/>
  <pageMargins left="0.7" right="0.7" top="0.33" bottom="0.38" header="0.3" footer="0.3"/>
  <pageSetup paperSize="5" scale="54" orientation="landscape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0"/>
  <sheetViews>
    <sheetView showGridLines="0" view="pageBreakPreview" zoomScale="80" zoomScaleNormal="80" zoomScaleSheetLayoutView="80" workbookViewId="0">
      <pane xSplit="1" ySplit="5" topLeftCell="N6" activePane="bottomRight" state="frozen"/>
      <selection activeCell="I106" sqref="I106"/>
      <selection pane="topRight" activeCell="I106" sqref="I106"/>
      <selection pane="bottomLeft" activeCell="I106" sqref="I106"/>
      <selection pane="bottomRight" activeCell="AI36" sqref="AI36"/>
    </sheetView>
  </sheetViews>
  <sheetFormatPr defaultRowHeight="12.75" outlineLevelCol="1" x14ac:dyDescent="0.2"/>
  <cols>
    <col min="1" max="1" width="68.85546875" style="2" customWidth="1"/>
    <col min="2" max="3" width="11.85546875" style="2" hidden="1" customWidth="1" outlineLevel="1"/>
    <col min="4" max="4" width="11.85546875" style="2" customWidth="1" collapsed="1"/>
    <col min="5" max="6" width="11.85546875" style="2" hidden="1" customWidth="1" outlineLevel="1"/>
    <col min="7" max="8" width="11.85546875" style="61" hidden="1" customWidth="1" outlineLevel="1"/>
    <col min="9" max="9" width="11.85546875" style="61" customWidth="1" collapsed="1"/>
    <col min="10" max="10" width="11.85546875" style="61" hidden="1" customWidth="1" outlineLevel="1"/>
    <col min="11" max="13" width="13.42578125" style="61" hidden="1" customWidth="1" outlineLevel="1"/>
    <col min="14" max="14" width="13.42578125" style="61" customWidth="1" collapsed="1"/>
    <col min="15" max="17" width="14.28515625" style="61" hidden="1" customWidth="1" outlineLevel="1"/>
    <col min="18" max="18" width="13.42578125" style="61" hidden="1" customWidth="1" outlineLevel="1"/>
    <col min="19" max="19" width="13.42578125" style="61" customWidth="1" collapsed="1"/>
    <col min="20" max="21" width="14.28515625" style="61" hidden="1" customWidth="1" outlineLevel="1"/>
    <col min="22" max="22" width="14.140625" style="61" hidden="1" customWidth="1" outlineLevel="1"/>
    <col min="23" max="23" width="13.42578125" style="61" hidden="1" customWidth="1" outlineLevel="1"/>
    <col min="24" max="24" width="13.42578125" style="61" customWidth="1" collapsed="1"/>
    <col min="25" max="28" width="13.42578125" style="61" hidden="1" customWidth="1" outlineLevel="1"/>
    <col min="29" max="29" width="13.42578125" style="61" customWidth="1" collapsed="1"/>
    <col min="30" max="35" width="13.42578125" style="61" customWidth="1"/>
    <col min="36" max="36" width="12.28515625" style="243" customWidth="1"/>
    <col min="37" max="77" width="9.140625" style="61"/>
    <col min="78" max="16384" width="9.140625" style="2"/>
  </cols>
  <sheetData>
    <row r="1" spans="1:77" x14ac:dyDescent="0.2">
      <c r="A1" s="13"/>
    </row>
    <row r="2" spans="1:77" x14ac:dyDescent="0.2">
      <c r="A2" s="14"/>
    </row>
    <row r="3" spans="1:77" ht="28.5" customHeight="1" x14ac:dyDescent="0.2"/>
    <row r="4" spans="1:77" x14ac:dyDescent="0.2">
      <c r="A4" s="10" t="s">
        <v>53</v>
      </c>
      <c r="B4" s="4">
        <v>2006</v>
      </c>
      <c r="C4" s="4">
        <v>2007</v>
      </c>
      <c r="D4" s="4">
        <v>2008</v>
      </c>
      <c r="E4" s="4">
        <v>2009</v>
      </c>
      <c r="F4" s="4">
        <v>2009</v>
      </c>
      <c r="G4" s="4">
        <v>2009</v>
      </c>
      <c r="H4" s="4">
        <v>2009</v>
      </c>
      <c r="I4" s="4">
        <v>2009</v>
      </c>
      <c r="J4" s="4">
        <v>2010</v>
      </c>
      <c r="K4" s="4">
        <v>2010</v>
      </c>
      <c r="L4" s="4">
        <v>2010</v>
      </c>
      <c r="M4" s="4">
        <v>2010</v>
      </c>
      <c r="N4" s="4">
        <v>2010</v>
      </c>
      <c r="O4" s="4">
        <v>2011</v>
      </c>
      <c r="P4" s="4">
        <v>2011</v>
      </c>
      <c r="Q4" s="4">
        <v>2011</v>
      </c>
      <c r="R4" s="4">
        <v>2011</v>
      </c>
      <c r="S4" s="4">
        <v>2011</v>
      </c>
      <c r="T4" s="4">
        <v>2012</v>
      </c>
      <c r="U4" s="4">
        <v>2012</v>
      </c>
      <c r="V4" s="4">
        <v>2012</v>
      </c>
      <c r="W4" s="4">
        <v>2012</v>
      </c>
      <c r="X4" s="4">
        <v>2012</v>
      </c>
      <c r="Y4" s="4">
        <v>2013</v>
      </c>
      <c r="Z4" s="4">
        <v>2013</v>
      </c>
      <c r="AA4" s="4">
        <v>2013</v>
      </c>
      <c r="AB4" s="4">
        <v>2013</v>
      </c>
      <c r="AC4" s="4">
        <v>2013</v>
      </c>
      <c r="AD4" s="4">
        <v>2014</v>
      </c>
      <c r="AE4" s="4">
        <v>2014</v>
      </c>
      <c r="AF4" s="4">
        <v>2014</v>
      </c>
      <c r="AG4" s="4">
        <v>2014</v>
      </c>
      <c r="AH4" s="4">
        <v>2014</v>
      </c>
      <c r="AI4" s="4">
        <v>2015</v>
      </c>
    </row>
    <row r="5" spans="1:77" x14ac:dyDescent="0.2">
      <c r="A5" s="27" t="s">
        <v>77</v>
      </c>
      <c r="B5" s="3"/>
      <c r="C5" s="3"/>
      <c r="D5" s="3"/>
      <c r="E5" s="3" t="s">
        <v>10</v>
      </c>
      <c r="F5" s="3" t="s">
        <v>11</v>
      </c>
      <c r="G5" s="3" t="s">
        <v>12</v>
      </c>
      <c r="H5" s="3" t="s">
        <v>13</v>
      </c>
      <c r="I5" s="3"/>
      <c r="J5" s="3" t="s">
        <v>10</v>
      </c>
      <c r="K5" s="3" t="s">
        <v>11</v>
      </c>
      <c r="L5" s="3" t="s">
        <v>12</v>
      </c>
      <c r="M5" s="3" t="s">
        <v>13</v>
      </c>
      <c r="N5" s="3"/>
      <c r="O5" s="3" t="s">
        <v>10</v>
      </c>
      <c r="P5" s="3" t="s">
        <v>11</v>
      </c>
      <c r="Q5" s="3" t="s">
        <v>12</v>
      </c>
      <c r="R5" s="3" t="s">
        <v>13</v>
      </c>
      <c r="S5" s="3"/>
      <c r="T5" s="3" t="s">
        <v>10</v>
      </c>
      <c r="U5" s="3" t="s">
        <v>11</v>
      </c>
      <c r="V5" s="3" t="s">
        <v>12</v>
      </c>
      <c r="W5" s="3" t="s">
        <v>13</v>
      </c>
      <c r="X5" s="3"/>
      <c r="Y5" s="3" t="s">
        <v>10</v>
      </c>
      <c r="Z5" s="3" t="s">
        <v>11</v>
      </c>
      <c r="AA5" s="3" t="s">
        <v>12</v>
      </c>
      <c r="AB5" s="3" t="s">
        <v>13</v>
      </c>
      <c r="AC5" s="3"/>
      <c r="AD5" s="3" t="s">
        <v>10</v>
      </c>
      <c r="AE5" s="3" t="s">
        <v>11</v>
      </c>
      <c r="AF5" s="3" t="s">
        <v>12</v>
      </c>
      <c r="AG5" s="3" t="s">
        <v>13</v>
      </c>
      <c r="AH5" s="3" t="s">
        <v>204</v>
      </c>
      <c r="AI5" s="3" t="s">
        <v>10</v>
      </c>
    </row>
    <row r="6" spans="1:77" s="9" customFormat="1" x14ac:dyDescent="0.2"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6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x14ac:dyDescent="0.2">
      <c r="A7" s="15" t="s">
        <v>132</v>
      </c>
    </row>
    <row r="8" spans="1:77" x14ac:dyDescent="0.2">
      <c r="A8" s="16" t="s">
        <v>37</v>
      </c>
      <c r="B8" s="187">
        <v>14057.796</v>
      </c>
      <c r="C8" s="187">
        <v>27043.585999999999</v>
      </c>
      <c r="D8" s="187">
        <v>14407.666999999999</v>
      </c>
      <c r="E8" s="187">
        <v>2883</v>
      </c>
      <c r="F8" s="187">
        <v>1252</v>
      </c>
      <c r="G8" s="187">
        <v>3994</v>
      </c>
      <c r="H8" s="187">
        <v>7524</v>
      </c>
      <c r="I8" s="190">
        <v>15653</v>
      </c>
      <c r="J8" s="190">
        <v>5623.3448099999996</v>
      </c>
      <c r="K8" s="190">
        <v>4869</v>
      </c>
      <c r="L8" s="190">
        <v>7803.6551900000013</v>
      </c>
      <c r="M8" s="190">
        <v>8296</v>
      </c>
      <c r="N8" s="190">
        <v>26592</v>
      </c>
      <c r="O8" s="190">
        <v>8361</v>
      </c>
      <c r="P8" s="190">
        <v>8474.8996299999926</v>
      </c>
      <c r="Q8" s="190">
        <v>8390</v>
      </c>
      <c r="R8" s="190">
        <v>9554</v>
      </c>
      <c r="S8" s="190">
        <v>34780</v>
      </c>
      <c r="T8" s="190">
        <v>8916</v>
      </c>
      <c r="U8" s="190">
        <v>9054</v>
      </c>
      <c r="V8" s="190">
        <v>11703</v>
      </c>
      <c r="W8" s="190">
        <v>12163</v>
      </c>
      <c r="X8" s="190">
        <v>41836</v>
      </c>
      <c r="Y8" s="190">
        <v>9762</v>
      </c>
      <c r="Z8" s="190">
        <v>9236</v>
      </c>
      <c r="AA8" s="190">
        <v>13240</v>
      </c>
      <c r="AB8" s="190">
        <v>15859</v>
      </c>
      <c r="AC8" s="190">
        <v>48097</v>
      </c>
      <c r="AD8" s="190">
        <v>11147</v>
      </c>
      <c r="AE8" s="190">
        <v>7762</v>
      </c>
      <c r="AF8" s="190">
        <v>6075</v>
      </c>
      <c r="AG8" s="190">
        <v>7461</v>
      </c>
      <c r="AH8" s="190">
        <f>'Income Statement'!AM43</f>
        <v>32445</v>
      </c>
      <c r="AI8" s="190">
        <f>'Income Statement'!AN43</f>
        <v>9567</v>
      </c>
      <c r="AK8" s="150"/>
    </row>
    <row r="9" spans="1:77" x14ac:dyDescent="0.2">
      <c r="A9" s="17" t="s">
        <v>60</v>
      </c>
      <c r="B9" s="174">
        <v>-7340.5659999999998</v>
      </c>
      <c r="C9" s="174">
        <v>-9469.0339999999997</v>
      </c>
      <c r="D9" s="174">
        <v>-3271.0340000000001</v>
      </c>
      <c r="E9" s="174">
        <v>139</v>
      </c>
      <c r="F9" s="174">
        <v>0</v>
      </c>
      <c r="G9" s="174">
        <v>0</v>
      </c>
      <c r="H9" s="174">
        <v>8.5000000000007958E-2</v>
      </c>
      <c r="I9" s="195">
        <v>139.08500000000001</v>
      </c>
      <c r="J9" s="195">
        <v>0</v>
      </c>
      <c r="K9" s="195"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195">
        <v>0</v>
      </c>
      <c r="AG9" s="195">
        <v>0</v>
      </c>
      <c r="AH9" s="195">
        <v>0</v>
      </c>
      <c r="AI9" s="195">
        <v>0</v>
      </c>
      <c r="AK9" s="150"/>
    </row>
    <row r="10" spans="1:77" x14ac:dyDescent="0.2">
      <c r="A10" s="40" t="s">
        <v>61</v>
      </c>
      <c r="B10" s="174"/>
      <c r="C10" s="174"/>
      <c r="D10" s="174"/>
      <c r="E10" s="174"/>
      <c r="F10" s="174"/>
      <c r="G10" s="174"/>
      <c r="H10" s="17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K10" s="150"/>
    </row>
    <row r="11" spans="1:77" x14ac:dyDescent="0.2">
      <c r="A11" s="50" t="s">
        <v>5</v>
      </c>
      <c r="B11" s="169">
        <v>7098.6840000000002</v>
      </c>
      <c r="C11" s="169">
        <v>9211.8510000000006</v>
      </c>
      <c r="D11" s="169">
        <v>11155.933000000001</v>
      </c>
      <c r="E11" s="169">
        <v>2430</v>
      </c>
      <c r="F11" s="169">
        <v>2789</v>
      </c>
      <c r="G11" s="169">
        <v>2918</v>
      </c>
      <c r="H11" s="169">
        <v>3268.4227200000023</v>
      </c>
      <c r="I11" s="188">
        <v>11405.422720000002</v>
      </c>
      <c r="J11" s="188">
        <v>3072.8397999999997</v>
      </c>
      <c r="K11" s="188">
        <v>3857</v>
      </c>
      <c r="L11" s="188">
        <v>4218.1602000000003</v>
      </c>
      <c r="M11" s="188">
        <v>4687</v>
      </c>
      <c r="N11" s="188">
        <v>15835</v>
      </c>
      <c r="O11" s="188">
        <v>4852</v>
      </c>
      <c r="P11" s="188">
        <v>5110.4631600000012</v>
      </c>
      <c r="Q11" s="188">
        <v>6443</v>
      </c>
      <c r="R11" s="188">
        <v>6589</v>
      </c>
      <c r="S11" s="188">
        <v>22994</v>
      </c>
      <c r="T11" s="188">
        <v>6359</v>
      </c>
      <c r="U11" s="188">
        <v>6040</v>
      </c>
      <c r="V11" s="188">
        <v>6333</v>
      </c>
      <c r="W11" s="188">
        <v>6891</v>
      </c>
      <c r="X11" s="188">
        <v>25623</v>
      </c>
      <c r="Y11" s="188">
        <v>6512</v>
      </c>
      <c r="Z11" s="188">
        <v>6362</v>
      </c>
      <c r="AA11" s="188">
        <v>5969</v>
      </c>
      <c r="AB11" s="188">
        <v>6074</v>
      </c>
      <c r="AC11" s="188">
        <v>24917</v>
      </c>
      <c r="AD11" s="188">
        <v>6356</v>
      </c>
      <c r="AE11" s="188">
        <v>6679</v>
      </c>
      <c r="AF11" s="188">
        <v>7014</v>
      </c>
      <c r="AG11" s="188">
        <v>7979</v>
      </c>
      <c r="AH11" s="188">
        <v>28028</v>
      </c>
      <c r="AI11" s="188">
        <v>7053</v>
      </c>
      <c r="AK11" s="150"/>
    </row>
    <row r="12" spans="1:77" x14ac:dyDescent="0.2">
      <c r="A12" s="50" t="s">
        <v>38</v>
      </c>
      <c r="B12" s="174">
        <v>112.5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90</v>
      </c>
      <c r="S12" s="195">
        <v>90</v>
      </c>
      <c r="T12" s="195">
        <v>38</v>
      </c>
      <c r="U12" s="195">
        <v>38</v>
      </c>
      <c r="V12" s="195">
        <v>38</v>
      </c>
      <c r="W12" s="195">
        <v>37</v>
      </c>
      <c r="X12" s="195">
        <v>151</v>
      </c>
      <c r="Y12" s="195">
        <v>38</v>
      </c>
      <c r="Z12" s="195">
        <v>38</v>
      </c>
      <c r="AA12" s="195">
        <v>38</v>
      </c>
      <c r="AB12" s="195">
        <v>37</v>
      </c>
      <c r="AC12" s="195">
        <v>151</v>
      </c>
      <c r="AD12" s="195">
        <v>38</v>
      </c>
      <c r="AE12" s="195">
        <v>15</v>
      </c>
      <c r="AF12" s="195">
        <v>0</v>
      </c>
      <c r="AG12" s="188">
        <v>15</v>
      </c>
      <c r="AH12" s="195">
        <v>68</v>
      </c>
      <c r="AI12" s="195">
        <v>0</v>
      </c>
      <c r="AK12" s="150"/>
    </row>
    <row r="13" spans="1:77" x14ac:dyDescent="0.2">
      <c r="A13" s="50" t="s">
        <v>133</v>
      </c>
      <c r="B13" s="174">
        <v>1974.2660000000001</v>
      </c>
      <c r="C13" s="174">
        <v>4306.6719999999996</v>
      </c>
      <c r="D13" s="174">
        <v>5278.2780000000002</v>
      </c>
      <c r="E13" s="174">
        <v>1539</v>
      </c>
      <c r="F13" s="174">
        <v>1974</v>
      </c>
      <c r="G13" s="174">
        <v>1876</v>
      </c>
      <c r="H13" s="174">
        <v>1704.0604876210655</v>
      </c>
      <c r="I13" s="195">
        <v>7093.0604876210655</v>
      </c>
      <c r="J13" s="195">
        <v>1828.1587584261488</v>
      </c>
      <c r="K13" s="195">
        <v>2403</v>
      </c>
      <c r="L13" s="195">
        <v>2120.8412415738512</v>
      </c>
      <c r="M13" s="195">
        <v>2139</v>
      </c>
      <c r="N13" s="195">
        <v>8491</v>
      </c>
      <c r="O13" s="195">
        <v>2248</v>
      </c>
      <c r="P13" s="195">
        <v>2878.7926322988424</v>
      </c>
      <c r="Q13" s="195">
        <v>2160</v>
      </c>
      <c r="R13" s="195">
        <v>2175</v>
      </c>
      <c r="S13" s="195">
        <v>9462</v>
      </c>
      <c r="T13" s="195">
        <v>2743</v>
      </c>
      <c r="U13" s="195">
        <v>2715</v>
      </c>
      <c r="V13" s="195">
        <v>1871</v>
      </c>
      <c r="W13" s="195">
        <v>2087</v>
      </c>
      <c r="X13" s="195">
        <v>9416</v>
      </c>
      <c r="Y13" s="195">
        <v>3645</v>
      </c>
      <c r="Z13" s="195">
        <v>2860</v>
      </c>
      <c r="AA13" s="195">
        <v>2967</v>
      </c>
      <c r="AB13" s="195">
        <v>2360</v>
      </c>
      <c r="AC13" s="195">
        <v>11832</v>
      </c>
      <c r="AD13" s="195">
        <v>4176</v>
      </c>
      <c r="AE13" s="195">
        <v>1966</v>
      </c>
      <c r="AF13" s="195">
        <v>2376</v>
      </c>
      <c r="AG13" s="188">
        <v>2493</v>
      </c>
      <c r="AH13" s="195">
        <v>11011</v>
      </c>
      <c r="AI13" s="195">
        <v>4255</v>
      </c>
      <c r="AK13" s="150"/>
    </row>
    <row r="14" spans="1:77" x14ac:dyDescent="0.2">
      <c r="A14" s="40" t="s">
        <v>39</v>
      </c>
      <c r="B14" s="174">
        <v>237.691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195">
        <v>0</v>
      </c>
      <c r="AG14" s="188">
        <v>0</v>
      </c>
      <c r="AH14" s="195">
        <v>0</v>
      </c>
      <c r="AI14" s="195">
        <v>0</v>
      </c>
      <c r="AK14" s="150"/>
    </row>
    <row r="15" spans="1:77" x14ac:dyDescent="0.2">
      <c r="A15" s="40" t="s">
        <v>40</v>
      </c>
      <c r="B15" s="174">
        <v>605.43200000000002</v>
      </c>
      <c r="C15" s="174">
        <v>545.29100000000005</v>
      </c>
      <c r="D15" s="174">
        <v>288.59399999999999</v>
      </c>
      <c r="E15" s="174">
        <v>71</v>
      </c>
      <c r="F15" s="174">
        <v>15</v>
      </c>
      <c r="G15" s="174">
        <v>24</v>
      </c>
      <c r="H15" s="174">
        <v>30.20991808786809</v>
      </c>
      <c r="I15" s="195">
        <v>140.20991808786809</v>
      </c>
      <c r="J15" s="195">
        <v>0</v>
      </c>
      <c r="K15" s="195">
        <v>3</v>
      </c>
      <c r="L15" s="195">
        <v>29</v>
      </c>
      <c r="M15" s="195">
        <v>26</v>
      </c>
      <c r="N15" s="195">
        <v>58</v>
      </c>
      <c r="O15" s="195">
        <v>0</v>
      </c>
      <c r="P15" s="195">
        <v>0.80948292414574641</v>
      </c>
      <c r="Q15" s="195">
        <v>8</v>
      </c>
      <c r="R15" s="195">
        <v>12</v>
      </c>
      <c r="S15" s="195">
        <v>21</v>
      </c>
      <c r="T15" s="195">
        <v>32</v>
      </c>
      <c r="U15" s="195">
        <v>0</v>
      </c>
      <c r="V15" s="195">
        <v>0</v>
      </c>
      <c r="W15" s="195">
        <v>0</v>
      </c>
      <c r="X15" s="195">
        <v>32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195">
        <v>0</v>
      </c>
      <c r="AE15" s="195">
        <v>0</v>
      </c>
      <c r="AF15" s="195">
        <v>0</v>
      </c>
      <c r="AG15" s="188">
        <v>0</v>
      </c>
      <c r="AH15" s="195">
        <v>0</v>
      </c>
      <c r="AI15" s="195">
        <v>0</v>
      </c>
      <c r="AK15" s="150"/>
    </row>
    <row r="16" spans="1:77" x14ac:dyDescent="0.2">
      <c r="A16" s="40" t="s">
        <v>149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95">
        <v>0</v>
      </c>
      <c r="J16" s="195">
        <v>6.5990000000000002</v>
      </c>
      <c r="K16" s="195">
        <v>0</v>
      </c>
      <c r="L16" s="195">
        <v>0.4009999999999998</v>
      </c>
      <c r="M16" s="195">
        <v>0</v>
      </c>
      <c r="N16" s="195">
        <v>7</v>
      </c>
      <c r="O16" s="195">
        <v>0</v>
      </c>
      <c r="P16" s="195">
        <v>0</v>
      </c>
      <c r="Q16" s="195">
        <v>2</v>
      </c>
      <c r="R16" s="195">
        <v>1</v>
      </c>
      <c r="S16" s="195">
        <v>3</v>
      </c>
      <c r="T16" s="195">
        <v>0</v>
      </c>
      <c r="U16" s="195">
        <v>0</v>
      </c>
      <c r="V16" s="195">
        <v>1</v>
      </c>
      <c r="W16" s="195">
        <v>1</v>
      </c>
      <c r="X16" s="195">
        <v>2</v>
      </c>
      <c r="Y16" s="195">
        <v>1</v>
      </c>
      <c r="Z16" s="195">
        <v>1</v>
      </c>
      <c r="AA16" s="195">
        <v>0</v>
      </c>
      <c r="AB16" s="195">
        <v>0</v>
      </c>
      <c r="AC16" s="195">
        <v>2</v>
      </c>
      <c r="AD16" s="195">
        <v>0</v>
      </c>
      <c r="AE16" s="195">
        <v>0</v>
      </c>
      <c r="AF16" s="195">
        <v>0</v>
      </c>
      <c r="AG16" s="188">
        <v>0</v>
      </c>
      <c r="AH16" s="195">
        <v>0</v>
      </c>
      <c r="AI16" s="195">
        <v>0</v>
      </c>
      <c r="AK16" s="150"/>
    </row>
    <row r="17" spans="1:42" x14ac:dyDescent="0.2">
      <c r="A17" s="40" t="s">
        <v>176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0</v>
      </c>
      <c r="R17" s="195">
        <v>-405</v>
      </c>
      <c r="S17" s="195">
        <v>-405</v>
      </c>
      <c r="T17" s="195">
        <v>0</v>
      </c>
      <c r="U17" s="195">
        <v>0</v>
      </c>
      <c r="V17" s="195"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v>0</v>
      </c>
      <c r="AD17" s="195">
        <v>0</v>
      </c>
      <c r="AE17" s="195">
        <v>0</v>
      </c>
      <c r="AF17" s="195">
        <v>0</v>
      </c>
      <c r="AG17" s="188">
        <v>0</v>
      </c>
      <c r="AH17" s="195">
        <v>0</v>
      </c>
      <c r="AI17" s="195">
        <v>0</v>
      </c>
      <c r="AK17" s="150"/>
    </row>
    <row r="18" spans="1:42" x14ac:dyDescent="0.2">
      <c r="A18" s="40" t="s">
        <v>41</v>
      </c>
      <c r="B18" s="174">
        <v>1000.679</v>
      </c>
      <c r="C18" s="174">
        <v>-1165.453</v>
      </c>
      <c r="D18" s="174">
        <v>1596.64</v>
      </c>
      <c r="E18" s="174">
        <v>-373</v>
      </c>
      <c r="F18" s="174">
        <v>-625</v>
      </c>
      <c r="G18" s="174">
        <v>17</v>
      </c>
      <c r="H18" s="174">
        <v>882.63019149982597</v>
      </c>
      <c r="I18" s="195">
        <v>-98.369808500173974</v>
      </c>
      <c r="J18" s="195">
        <v>599.0960173727683</v>
      </c>
      <c r="K18" s="195">
        <v>-622</v>
      </c>
      <c r="L18" s="195">
        <v>621.9039826272317</v>
      </c>
      <c r="M18" s="195">
        <v>451</v>
      </c>
      <c r="N18" s="195">
        <v>1050</v>
      </c>
      <c r="O18" s="195">
        <v>297</v>
      </c>
      <c r="P18" s="195">
        <v>360.03167627839355</v>
      </c>
      <c r="Q18" s="195">
        <v>-3710</v>
      </c>
      <c r="R18" s="195">
        <v>-3543</v>
      </c>
      <c r="S18" s="195">
        <v>-6596</v>
      </c>
      <c r="T18" s="195">
        <v>1711</v>
      </c>
      <c r="U18" s="195">
        <v>-3504</v>
      </c>
      <c r="V18" s="195">
        <v>2348</v>
      </c>
      <c r="W18" s="195">
        <v>-1498</v>
      </c>
      <c r="X18" s="195">
        <v>-943</v>
      </c>
      <c r="Y18" s="195">
        <v>958</v>
      </c>
      <c r="Z18" s="195">
        <v>-5746</v>
      </c>
      <c r="AA18" s="195">
        <v>-3004</v>
      </c>
      <c r="AB18" s="195">
        <v>10</v>
      </c>
      <c r="AC18" s="195">
        <v>-7782</v>
      </c>
      <c r="AD18" s="195">
        <v>1895</v>
      </c>
      <c r="AE18" s="195">
        <v>311</v>
      </c>
      <c r="AF18" s="195">
        <v>-1289</v>
      </c>
      <c r="AG18" s="188">
        <v>-1341</v>
      </c>
      <c r="AH18" s="195">
        <v>-424</v>
      </c>
      <c r="AI18" s="195">
        <v>284</v>
      </c>
      <c r="AK18" s="150"/>
    </row>
    <row r="19" spans="1:42" x14ac:dyDescent="0.2">
      <c r="A19" s="40" t="s">
        <v>42</v>
      </c>
      <c r="B19" s="174">
        <v>-2140.183</v>
      </c>
      <c r="C19" s="174">
        <v>-2836.8009999999999</v>
      </c>
      <c r="D19" s="174">
        <v>-627.05200000000002</v>
      </c>
      <c r="E19" s="174">
        <v>-758</v>
      </c>
      <c r="F19" s="174">
        <v>-364</v>
      </c>
      <c r="G19" s="174">
        <v>-5627</v>
      </c>
      <c r="H19" s="174">
        <v>-1650.6483399999997</v>
      </c>
      <c r="I19" s="195">
        <v>-8399.6483399999997</v>
      </c>
      <c r="J19" s="195">
        <v>-1000.12839</v>
      </c>
      <c r="K19" s="195">
        <v>-1444</v>
      </c>
      <c r="L19" s="195">
        <v>-138.87161000000015</v>
      </c>
      <c r="M19" s="195">
        <v>208</v>
      </c>
      <c r="N19" s="195">
        <v>-2375</v>
      </c>
      <c r="O19" s="195">
        <v>-1553</v>
      </c>
      <c r="P19" s="195">
        <v>324.75468999999998</v>
      </c>
      <c r="Q19" s="195">
        <v>-1432</v>
      </c>
      <c r="R19" s="195">
        <v>955</v>
      </c>
      <c r="S19" s="195">
        <v>-1705</v>
      </c>
      <c r="T19" s="195">
        <v>954</v>
      </c>
      <c r="U19" s="195">
        <v>-2225</v>
      </c>
      <c r="V19" s="195">
        <v>3329</v>
      </c>
      <c r="W19" s="195">
        <v>2669</v>
      </c>
      <c r="X19" s="195">
        <v>4727</v>
      </c>
      <c r="Y19" s="195">
        <v>1191</v>
      </c>
      <c r="Z19" s="195">
        <v>1182</v>
      </c>
      <c r="AA19" s="195">
        <v>-544</v>
      </c>
      <c r="AB19" s="195">
        <v>655</v>
      </c>
      <c r="AC19" s="195">
        <v>2484</v>
      </c>
      <c r="AD19" s="195">
        <v>1863</v>
      </c>
      <c r="AE19" s="195">
        <v>846</v>
      </c>
      <c r="AF19" s="195">
        <v>-2321</v>
      </c>
      <c r="AG19" s="188">
        <v>-312</v>
      </c>
      <c r="AH19" s="195">
        <v>76</v>
      </c>
      <c r="AI19" s="195">
        <v>2804</v>
      </c>
      <c r="AK19" s="150"/>
    </row>
    <row r="20" spans="1:42" x14ac:dyDescent="0.2">
      <c r="A20" s="40" t="s">
        <v>62</v>
      </c>
      <c r="B20" s="174">
        <v>-190.13900000000001</v>
      </c>
      <c r="C20" s="174">
        <v>-752.86099999999999</v>
      </c>
      <c r="D20" s="174">
        <v>141.30799999999999</v>
      </c>
      <c r="E20" s="174">
        <v>0</v>
      </c>
      <c r="F20" s="174">
        <v>0</v>
      </c>
      <c r="G20" s="174">
        <v>0</v>
      </c>
      <c r="H20" s="174">
        <v>343</v>
      </c>
      <c r="I20" s="195">
        <v>343</v>
      </c>
      <c r="J20" s="195">
        <v>0</v>
      </c>
      <c r="K20" s="195">
        <v>0</v>
      </c>
      <c r="L20" s="195">
        <v>0</v>
      </c>
      <c r="M20" s="195">
        <v>-107.16993705882356</v>
      </c>
      <c r="N20" s="195">
        <v>-107.16993705882356</v>
      </c>
      <c r="O20" s="195">
        <v>0</v>
      </c>
      <c r="P20" s="195">
        <v>0</v>
      </c>
      <c r="Q20" s="195">
        <v>0</v>
      </c>
      <c r="R20" s="195">
        <v>-1210</v>
      </c>
      <c r="S20" s="195">
        <v>-1210</v>
      </c>
      <c r="T20" s="195">
        <v>0</v>
      </c>
      <c r="U20" s="195">
        <v>0</v>
      </c>
      <c r="V20" s="195">
        <v>0</v>
      </c>
      <c r="W20" s="195">
        <v>-2273</v>
      </c>
      <c r="X20" s="195">
        <v>-2273</v>
      </c>
      <c r="Y20" s="195">
        <v>0</v>
      </c>
      <c r="Z20" s="195">
        <v>0</v>
      </c>
      <c r="AA20" s="195">
        <v>0</v>
      </c>
      <c r="AB20" s="195">
        <v>-1953</v>
      </c>
      <c r="AC20" s="195">
        <v>-1953</v>
      </c>
      <c r="AD20" s="195">
        <v>0</v>
      </c>
      <c r="AE20" s="195">
        <v>0</v>
      </c>
      <c r="AF20" s="195">
        <v>0</v>
      </c>
      <c r="AG20" s="188">
        <v>-1181</v>
      </c>
      <c r="AH20" s="195">
        <v>-1181</v>
      </c>
      <c r="AI20" s="195">
        <v>0</v>
      </c>
      <c r="AK20" s="150"/>
    </row>
    <row r="21" spans="1:42" x14ac:dyDescent="0.2">
      <c r="A21" s="40" t="s">
        <v>195</v>
      </c>
      <c r="B21" s="174"/>
      <c r="C21" s="174"/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74">
        <v>0</v>
      </c>
      <c r="S21" s="174">
        <v>0</v>
      </c>
      <c r="T21" s="174">
        <v>0</v>
      </c>
      <c r="U21" s="174">
        <v>0</v>
      </c>
      <c r="V21" s="174">
        <v>0</v>
      </c>
      <c r="W21" s="174">
        <v>0</v>
      </c>
      <c r="X21" s="174">
        <v>0</v>
      </c>
      <c r="Y21" s="174">
        <v>0</v>
      </c>
      <c r="Z21" s="174">
        <v>0</v>
      </c>
      <c r="AA21" s="188">
        <v>190</v>
      </c>
      <c r="AB21" s="188">
        <v>0</v>
      </c>
      <c r="AC21" s="195">
        <v>190</v>
      </c>
      <c r="AD21" s="195">
        <v>0</v>
      </c>
      <c r="AE21" s="195">
        <v>0</v>
      </c>
      <c r="AF21" s="195">
        <v>0</v>
      </c>
      <c r="AG21" s="188">
        <v>149</v>
      </c>
      <c r="AH21" s="195">
        <v>149</v>
      </c>
      <c r="AI21" s="195">
        <v>0</v>
      </c>
      <c r="AK21" s="150"/>
    </row>
    <row r="22" spans="1:42" x14ac:dyDescent="0.2">
      <c r="A22" s="40" t="s">
        <v>197</v>
      </c>
      <c r="B22" s="174"/>
      <c r="C22" s="174"/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>
        <v>0</v>
      </c>
      <c r="S22" s="174">
        <v>0</v>
      </c>
      <c r="T22" s="174">
        <v>0</v>
      </c>
      <c r="U22" s="174">
        <v>0</v>
      </c>
      <c r="V22" s="174">
        <v>0</v>
      </c>
      <c r="W22" s="174">
        <v>0</v>
      </c>
      <c r="X22" s="174">
        <v>0</v>
      </c>
      <c r="Y22" s="174">
        <v>0</v>
      </c>
      <c r="Z22" s="174">
        <v>0</v>
      </c>
      <c r="AA22" s="188">
        <v>2029</v>
      </c>
      <c r="AB22" s="188">
        <v>0</v>
      </c>
      <c r="AC22" s="195">
        <v>2029</v>
      </c>
      <c r="AD22" s="195">
        <v>0</v>
      </c>
      <c r="AE22" s="195">
        <v>0</v>
      </c>
      <c r="AF22" s="195">
        <v>0</v>
      </c>
      <c r="AG22" s="188">
        <v>0</v>
      </c>
      <c r="AH22" s="195">
        <v>0</v>
      </c>
      <c r="AI22" s="195">
        <v>0</v>
      </c>
      <c r="AK22" s="150"/>
    </row>
    <row r="23" spans="1:42" x14ac:dyDescent="0.2">
      <c r="A23" s="40" t="s">
        <v>205</v>
      </c>
      <c r="B23" s="174"/>
      <c r="C23" s="174"/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174">
        <v>0</v>
      </c>
      <c r="X23" s="174">
        <v>0</v>
      </c>
      <c r="Y23" s="174">
        <v>0</v>
      </c>
      <c r="Z23" s="174">
        <v>0</v>
      </c>
      <c r="AA23" s="188">
        <v>0</v>
      </c>
      <c r="AB23" s="188">
        <v>0</v>
      </c>
      <c r="AC23" s="195">
        <v>0</v>
      </c>
      <c r="AD23" s="195">
        <v>-16</v>
      </c>
      <c r="AE23" s="195">
        <v>-45</v>
      </c>
      <c r="AF23" s="195">
        <v>-27</v>
      </c>
      <c r="AG23" s="188">
        <v>166</v>
      </c>
      <c r="AH23" s="195">
        <v>78</v>
      </c>
      <c r="AI23" s="195">
        <v>-13</v>
      </c>
      <c r="AK23" s="150"/>
    </row>
    <row r="24" spans="1:42" x14ac:dyDescent="0.2">
      <c r="A24" s="51" t="s">
        <v>80</v>
      </c>
      <c r="B24" s="169"/>
      <c r="C24" s="169"/>
      <c r="D24" s="169"/>
      <c r="E24" s="169"/>
      <c r="F24" s="169"/>
      <c r="G24" s="169"/>
      <c r="H24" s="169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K24" s="150"/>
    </row>
    <row r="25" spans="1:42" x14ac:dyDescent="0.2">
      <c r="A25" s="40" t="s">
        <v>20</v>
      </c>
      <c r="B25" s="169">
        <v>-350.99900000000002</v>
      </c>
      <c r="C25" s="169">
        <v>884.94600000000003</v>
      </c>
      <c r="D25" s="169">
        <v>-51.040999999999997</v>
      </c>
      <c r="E25" s="177">
        <v>-4</v>
      </c>
      <c r="F25" s="177">
        <v>-2468</v>
      </c>
      <c r="G25" s="177">
        <v>-1986</v>
      </c>
      <c r="H25" s="177">
        <v>1199.9413</v>
      </c>
      <c r="I25" s="177">
        <v>-3258.0587</v>
      </c>
      <c r="J25" s="177">
        <v>-3581.7847200000001</v>
      </c>
      <c r="K25" s="177">
        <v>113</v>
      </c>
      <c r="L25" s="177">
        <v>3706.7847200000001</v>
      </c>
      <c r="M25" s="177">
        <v>193</v>
      </c>
      <c r="N25" s="177">
        <v>431</v>
      </c>
      <c r="O25" s="177">
        <v>-118</v>
      </c>
      <c r="P25" s="177">
        <v>92.790470000000013</v>
      </c>
      <c r="Q25" s="177">
        <v>62</v>
      </c>
      <c r="R25" s="177">
        <v>-535</v>
      </c>
      <c r="S25" s="177">
        <v>-498</v>
      </c>
      <c r="T25" s="177">
        <v>108</v>
      </c>
      <c r="U25" s="177">
        <v>-233</v>
      </c>
      <c r="V25" s="177">
        <v>3</v>
      </c>
      <c r="W25" s="177">
        <v>90</v>
      </c>
      <c r="X25" s="177">
        <v>-32</v>
      </c>
      <c r="Y25" s="177">
        <v>-239</v>
      </c>
      <c r="Z25" s="177">
        <v>283</v>
      </c>
      <c r="AA25" s="177">
        <v>-112</v>
      </c>
      <c r="AB25" s="177">
        <v>6</v>
      </c>
      <c r="AC25" s="177">
        <v>-62</v>
      </c>
      <c r="AD25" s="177">
        <v>-502</v>
      </c>
      <c r="AE25" s="177">
        <v>211</v>
      </c>
      <c r="AF25" s="177">
        <v>-77</v>
      </c>
      <c r="AG25" s="188">
        <v>-379</v>
      </c>
      <c r="AH25" s="177">
        <v>-747</v>
      </c>
      <c r="AI25" s="177">
        <v>-1477</v>
      </c>
      <c r="AK25" s="150"/>
    </row>
    <row r="26" spans="1:42" x14ac:dyDescent="0.2">
      <c r="A26" s="40" t="s">
        <v>21</v>
      </c>
      <c r="B26" s="174">
        <v>-4933.88</v>
      </c>
      <c r="C26" s="174">
        <v>-12418.734</v>
      </c>
      <c r="D26" s="174">
        <v>6199.009</v>
      </c>
      <c r="E26" s="175">
        <v>2491</v>
      </c>
      <c r="F26" s="175">
        <v>490</v>
      </c>
      <c r="G26" s="175">
        <v>59</v>
      </c>
      <c r="H26" s="175">
        <v>-3327</v>
      </c>
      <c r="I26" s="175">
        <v>-287</v>
      </c>
      <c r="J26" s="175">
        <v>-316.77623905118986</v>
      </c>
      <c r="K26" s="175">
        <v>-5230</v>
      </c>
      <c r="L26" s="175">
        <v>-474.2237609488102</v>
      </c>
      <c r="M26" s="175">
        <v>-2422</v>
      </c>
      <c r="N26" s="175">
        <v>-8443</v>
      </c>
      <c r="O26" s="175">
        <v>-1051</v>
      </c>
      <c r="P26" s="175">
        <v>-4207.3454920502609</v>
      </c>
      <c r="Q26" s="175">
        <v>-2912</v>
      </c>
      <c r="R26" s="175">
        <v>3061</v>
      </c>
      <c r="S26" s="175">
        <v>-5109</v>
      </c>
      <c r="T26" s="175">
        <v>-2839</v>
      </c>
      <c r="U26" s="175">
        <v>-3109</v>
      </c>
      <c r="V26" s="175">
        <v>-3761</v>
      </c>
      <c r="W26" s="175">
        <v>1623</v>
      </c>
      <c r="X26" s="175">
        <v>-8086</v>
      </c>
      <c r="Y26" s="175">
        <v>-3062</v>
      </c>
      <c r="Z26" s="175">
        <v>-834</v>
      </c>
      <c r="AA26" s="175">
        <f>2437-2029</f>
        <v>408</v>
      </c>
      <c r="AB26" s="175">
        <v>-2190</v>
      </c>
      <c r="AC26" s="175">
        <v>-5678</v>
      </c>
      <c r="AD26" s="175">
        <v>-1713</v>
      </c>
      <c r="AE26" s="175">
        <v>4185</v>
      </c>
      <c r="AF26" s="175">
        <v>-1633</v>
      </c>
      <c r="AG26" s="188">
        <v>2422</v>
      </c>
      <c r="AH26" s="175">
        <v>3261</v>
      </c>
      <c r="AI26" s="175">
        <v>-5778.9670686232503</v>
      </c>
      <c r="AK26" s="150"/>
      <c r="AL26" s="243"/>
      <c r="AM26" s="243"/>
      <c r="AN26" s="243"/>
      <c r="AO26" s="243"/>
      <c r="AP26" s="243"/>
    </row>
    <row r="27" spans="1:42" x14ac:dyDescent="0.2">
      <c r="A27" s="40" t="s">
        <v>43</v>
      </c>
      <c r="B27" s="174">
        <v>-3079.9229999999998</v>
      </c>
      <c r="C27" s="174">
        <v>2415.386</v>
      </c>
      <c r="D27" s="174">
        <v>-2795.913</v>
      </c>
      <c r="E27" s="175">
        <v>-698</v>
      </c>
      <c r="F27" s="175">
        <v>1583</v>
      </c>
      <c r="G27" s="196">
        <v>869</v>
      </c>
      <c r="H27" s="196">
        <v>-1808</v>
      </c>
      <c r="I27" s="196">
        <v>-54</v>
      </c>
      <c r="J27" s="196">
        <v>974.17564095843352</v>
      </c>
      <c r="K27" s="196">
        <v>-1362</v>
      </c>
      <c r="L27" s="196">
        <v>489.82435904156648</v>
      </c>
      <c r="M27" s="196">
        <v>-2268</v>
      </c>
      <c r="N27" s="196">
        <v>-2166</v>
      </c>
      <c r="O27" s="196">
        <v>-544</v>
      </c>
      <c r="P27" s="196">
        <v>1609.0323441039388</v>
      </c>
      <c r="Q27" s="196">
        <v>-7389</v>
      </c>
      <c r="R27" s="196">
        <v>1664</v>
      </c>
      <c r="S27" s="196">
        <v>-4660</v>
      </c>
      <c r="T27" s="196">
        <v>-2292</v>
      </c>
      <c r="U27" s="196">
        <v>-1583</v>
      </c>
      <c r="V27" s="196">
        <v>-842</v>
      </c>
      <c r="W27" s="196">
        <v>2924</v>
      </c>
      <c r="X27" s="196">
        <v>-1793</v>
      </c>
      <c r="Y27" s="196">
        <v>-1926</v>
      </c>
      <c r="Z27" s="196">
        <v>-463</v>
      </c>
      <c r="AA27" s="196">
        <v>-1573</v>
      </c>
      <c r="AB27" s="196">
        <v>544</v>
      </c>
      <c r="AC27" s="196">
        <v>-3418</v>
      </c>
      <c r="AD27" s="196">
        <v>-4187</v>
      </c>
      <c r="AE27" s="196">
        <v>2179</v>
      </c>
      <c r="AF27" s="196">
        <v>117</v>
      </c>
      <c r="AG27" s="188">
        <v>-2039</v>
      </c>
      <c r="AH27" s="196">
        <v>-3930</v>
      </c>
      <c r="AI27" s="196">
        <v>-2799</v>
      </c>
      <c r="AK27" s="150"/>
    </row>
    <row r="28" spans="1:42" x14ac:dyDescent="0.2">
      <c r="A28" s="40" t="s">
        <v>26</v>
      </c>
      <c r="B28" s="174">
        <v>681.66300000000001</v>
      </c>
      <c r="C28" s="174">
        <v>1426.1869999999999</v>
      </c>
      <c r="D28" s="174">
        <v>-1602.9259999999999</v>
      </c>
      <c r="E28" s="175">
        <v>67</v>
      </c>
      <c r="F28" s="175">
        <v>177</v>
      </c>
      <c r="G28" s="196">
        <v>228</v>
      </c>
      <c r="H28" s="196">
        <v>738.59999999999991</v>
      </c>
      <c r="I28" s="196">
        <v>1210.5999999999999</v>
      </c>
      <c r="J28" s="196">
        <v>26.130618452958277</v>
      </c>
      <c r="K28" s="196">
        <v>198</v>
      </c>
      <c r="L28" s="196">
        <v>-751.13061845295829</v>
      </c>
      <c r="M28" s="196">
        <v>382</v>
      </c>
      <c r="N28" s="196">
        <v>-145</v>
      </c>
      <c r="O28" s="196">
        <v>-1059</v>
      </c>
      <c r="P28" s="196">
        <v>1243.8027805758306</v>
      </c>
      <c r="Q28" s="196">
        <v>-455</v>
      </c>
      <c r="R28" s="196">
        <v>-570</v>
      </c>
      <c r="S28" s="196">
        <v>-840</v>
      </c>
      <c r="T28" s="196">
        <v>569</v>
      </c>
      <c r="U28" s="196">
        <v>-1258</v>
      </c>
      <c r="V28" s="196">
        <v>479</v>
      </c>
      <c r="W28" s="196">
        <v>3229</v>
      </c>
      <c r="X28" s="196">
        <v>3019</v>
      </c>
      <c r="Y28" s="196">
        <v>-367</v>
      </c>
      <c r="Z28" s="196">
        <v>-916</v>
      </c>
      <c r="AA28" s="196">
        <v>120</v>
      </c>
      <c r="AB28" s="196">
        <v>788</v>
      </c>
      <c r="AC28" s="196">
        <v>-375</v>
      </c>
      <c r="AD28" s="196">
        <v>-124</v>
      </c>
      <c r="AE28" s="196">
        <v>543</v>
      </c>
      <c r="AF28" s="196">
        <v>-1209</v>
      </c>
      <c r="AG28" s="188">
        <v>644</v>
      </c>
      <c r="AH28" s="196">
        <v>-146</v>
      </c>
      <c r="AI28" s="196">
        <v>-984</v>
      </c>
      <c r="AK28" s="150"/>
    </row>
    <row r="29" spans="1:42" x14ac:dyDescent="0.2">
      <c r="A29" s="40" t="s">
        <v>27</v>
      </c>
      <c r="B29" s="174">
        <v>-2081.34</v>
      </c>
      <c r="C29" s="174">
        <v>-2051.5479999999998</v>
      </c>
      <c r="D29" s="174">
        <v>-1015.83</v>
      </c>
      <c r="E29" s="175">
        <v>-27</v>
      </c>
      <c r="F29" s="175">
        <v>1621</v>
      </c>
      <c r="G29" s="196">
        <v>155</v>
      </c>
      <c r="H29" s="196">
        <v>1584.2485499999998</v>
      </c>
      <c r="I29" s="196">
        <v>3333.2485499999998</v>
      </c>
      <c r="J29" s="196">
        <v>-1165.7499300000002</v>
      </c>
      <c r="K29" s="196">
        <v>98</v>
      </c>
      <c r="L29" s="196">
        <v>-2123.2500700000001</v>
      </c>
      <c r="M29" s="196">
        <v>424</v>
      </c>
      <c r="N29" s="196">
        <v>-2767</v>
      </c>
      <c r="O29" s="196">
        <v>1436</v>
      </c>
      <c r="P29" s="196">
        <v>-1451.9767290000002</v>
      </c>
      <c r="Q29" s="196">
        <v>-849</v>
      </c>
      <c r="R29" s="177">
        <v>546</v>
      </c>
      <c r="S29" s="196">
        <v>-319</v>
      </c>
      <c r="T29" s="196">
        <v>21</v>
      </c>
      <c r="U29" s="196">
        <v>-1414</v>
      </c>
      <c r="V29" s="196">
        <v>-1724</v>
      </c>
      <c r="W29" s="177">
        <v>-604</v>
      </c>
      <c r="X29" s="196">
        <v>-3721</v>
      </c>
      <c r="Y29" s="196">
        <v>-265</v>
      </c>
      <c r="Z29" s="196">
        <v>311</v>
      </c>
      <c r="AA29" s="196">
        <v>-2567</v>
      </c>
      <c r="AB29" s="196">
        <v>3217</v>
      </c>
      <c r="AC29" s="196">
        <v>696</v>
      </c>
      <c r="AD29" s="196">
        <v>902</v>
      </c>
      <c r="AE29" s="196">
        <v>133</v>
      </c>
      <c r="AF29" s="196">
        <v>-1634</v>
      </c>
      <c r="AG29" s="188">
        <v>-348</v>
      </c>
      <c r="AH29" s="196">
        <v>-947</v>
      </c>
      <c r="AI29" s="196">
        <v>3833.785210206534</v>
      </c>
      <c r="AK29" s="150"/>
    </row>
    <row r="30" spans="1:42" x14ac:dyDescent="0.2">
      <c r="A30" s="40" t="s">
        <v>44</v>
      </c>
      <c r="B30" s="174">
        <v>5069.9949999999999</v>
      </c>
      <c r="C30" s="174">
        <v>3975.5070000000001</v>
      </c>
      <c r="D30" s="174">
        <v>6536.2070000000003</v>
      </c>
      <c r="E30" s="175">
        <v>-9794</v>
      </c>
      <c r="F30" s="175">
        <v>2832</v>
      </c>
      <c r="G30" s="196">
        <v>4057</v>
      </c>
      <c r="H30" s="196">
        <v>6748.6</v>
      </c>
      <c r="I30" s="196">
        <v>3843.6</v>
      </c>
      <c r="J30" s="196">
        <v>-4723.7386915406032</v>
      </c>
      <c r="K30" s="196">
        <v>4354</v>
      </c>
      <c r="L30" s="196">
        <v>4755.7386915406032</v>
      </c>
      <c r="M30" s="196">
        <v>4696</v>
      </c>
      <c r="N30" s="196">
        <v>9082</v>
      </c>
      <c r="O30" s="196">
        <v>-6137</v>
      </c>
      <c r="P30" s="196">
        <v>4794</v>
      </c>
      <c r="Q30" s="196">
        <v>7236</v>
      </c>
      <c r="R30" s="196">
        <v>2627</v>
      </c>
      <c r="S30" s="196">
        <v>8520</v>
      </c>
      <c r="T30" s="196">
        <v>-12346</v>
      </c>
      <c r="U30" s="196">
        <v>6182</v>
      </c>
      <c r="V30" s="196">
        <v>4269</v>
      </c>
      <c r="W30" s="196">
        <v>1180</v>
      </c>
      <c r="X30" s="196">
        <v>-715</v>
      </c>
      <c r="Y30" s="196">
        <v>-10121</v>
      </c>
      <c r="Z30" s="196">
        <v>6404</v>
      </c>
      <c r="AA30" s="196">
        <v>-1479</v>
      </c>
      <c r="AB30" s="196">
        <v>14067</v>
      </c>
      <c r="AC30" s="196">
        <v>8871</v>
      </c>
      <c r="AD30" s="196">
        <v>-12478</v>
      </c>
      <c r="AE30" s="196">
        <v>3579</v>
      </c>
      <c r="AF30" s="196">
        <v>9150</v>
      </c>
      <c r="AG30" s="188">
        <v>8354</v>
      </c>
      <c r="AH30" s="196">
        <v>8605</v>
      </c>
      <c r="AI30" s="196">
        <f>-16398-497</f>
        <v>-16895</v>
      </c>
      <c r="AK30" s="150"/>
    </row>
    <row r="31" spans="1:42" x14ac:dyDescent="0.2">
      <c r="A31" s="40" t="s">
        <v>29</v>
      </c>
      <c r="B31" s="174">
        <v>49.451999999999998</v>
      </c>
      <c r="C31" s="174">
        <v>-2038.9770000000001</v>
      </c>
      <c r="D31" s="174">
        <v>-2806.3110000000001</v>
      </c>
      <c r="E31" s="175">
        <v>-36</v>
      </c>
      <c r="F31" s="175">
        <v>-108</v>
      </c>
      <c r="G31" s="196">
        <v>1908</v>
      </c>
      <c r="H31" s="196">
        <v>750.44949316712655</v>
      </c>
      <c r="I31" s="196">
        <v>2514.4494931671265</v>
      </c>
      <c r="J31" s="196">
        <v>-1472.0232800000003</v>
      </c>
      <c r="K31" s="196">
        <v>-587</v>
      </c>
      <c r="L31" s="196">
        <v>-32.976719999999659</v>
      </c>
      <c r="M31" s="196">
        <v>-3758</v>
      </c>
      <c r="N31" s="196">
        <v>-5850</v>
      </c>
      <c r="O31" s="196">
        <v>609</v>
      </c>
      <c r="P31" s="196">
        <v>273.15819337776259</v>
      </c>
      <c r="Q31" s="196">
        <v>1120</v>
      </c>
      <c r="R31" s="196">
        <v>-594</v>
      </c>
      <c r="S31" s="196">
        <v>1408</v>
      </c>
      <c r="T31" s="196">
        <v>817</v>
      </c>
      <c r="U31" s="196">
        <v>2371</v>
      </c>
      <c r="V31" s="196">
        <v>-413</v>
      </c>
      <c r="W31" s="196">
        <v>-4088</v>
      </c>
      <c r="X31" s="196">
        <v>-1313</v>
      </c>
      <c r="Y31" s="196">
        <v>-141</v>
      </c>
      <c r="Z31" s="196">
        <v>630</v>
      </c>
      <c r="AA31" s="196">
        <v>1985</v>
      </c>
      <c r="AB31" s="196">
        <v>-368</v>
      </c>
      <c r="AC31" s="196">
        <v>2106</v>
      </c>
      <c r="AD31" s="196">
        <v>-1822</v>
      </c>
      <c r="AE31" s="196">
        <v>-4441</v>
      </c>
      <c r="AF31" s="196">
        <v>759</v>
      </c>
      <c r="AG31" s="188">
        <v>-2337</v>
      </c>
      <c r="AH31" s="196">
        <v>-7841</v>
      </c>
      <c r="AI31" s="196">
        <f>485+59</f>
        <v>544</v>
      </c>
      <c r="AK31" s="150"/>
    </row>
    <row r="32" spans="1:42" x14ac:dyDescent="0.2">
      <c r="A32" s="40" t="s">
        <v>134</v>
      </c>
      <c r="B32" s="174">
        <v>280.73500000000001</v>
      </c>
      <c r="C32" s="174">
        <v>-5394.03</v>
      </c>
      <c r="D32" s="174">
        <v>-3124.4169999999999</v>
      </c>
      <c r="E32" s="175">
        <v>830</v>
      </c>
      <c r="F32" s="175">
        <v>-1327</v>
      </c>
      <c r="G32" s="196">
        <v>1166</v>
      </c>
      <c r="H32" s="196">
        <v>1447.6</v>
      </c>
      <c r="I32" s="196">
        <v>2116.6</v>
      </c>
      <c r="J32" s="196">
        <v>-720.25824625046357</v>
      </c>
      <c r="K32" s="196">
        <v>1158</v>
      </c>
      <c r="L32" s="196">
        <v>-3487.7417537495367</v>
      </c>
      <c r="M32" s="196">
        <v>-136.83006294117649</v>
      </c>
      <c r="N32" s="196">
        <v>-3186.8300629411765</v>
      </c>
      <c r="O32" s="196">
        <v>411</v>
      </c>
      <c r="P32" s="196">
        <v>-480</v>
      </c>
      <c r="Q32" s="196">
        <v>5058</v>
      </c>
      <c r="R32" s="196">
        <v>-4690</v>
      </c>
      <c r="S32" s="196">
        <v>299</v>
      </c>
      <c r="T32" s="196">
        <v>-422</v>
      </c>
      <c r="U32" s="196">
        <v>2010</v>
      </c>
      <c r="V32" s="196">
        <v>269</v>
      </c>
      <c r="W32" s="196">
        <v>-2005</v>
      </c>
      <c r="X32" s="196">
        <v>-148</v>
      </c>
      <c r="Y32" s="196">
        <v>636</v>
      </c>
      <c r="Z32" s="196">
        <v>-569</v>
      </c>
      <c r="AA32" s="196">
        <v>1162</v>
      </c>
      <c r="AB32" s="196">
        <v>-544</v>
      </c>
      <c r="AC32" s="196">
        <v>685</v>
      </c>
      <c r="AD32" s="196">
        <v>-570</v>
      </c>
      <c r="AE32" s="196">
        <v>-1136</v>
      </c>
      <c r="AF32" s="196">
        <v>-749</v>
      </c>
      <c r="AG32" s="188">
        <v>609</v>
      </c>
      <c r="AH32" s="196">
        <v>-1846</v>
      </c>
      <c r="AI32" s="196">
        <v>-257</v>
      </c>
      <c r="AK32" s="150"/>
    </row>
    <row r="33" spans="1:249" s="9" customFormat="1" x14ac:dyDescent="0.2">
      <c r="A33" s="59" t="s">
        <v>135</v>
      </c>
      <c r="B33" s="194">
        <v>11051.862999999999</v>
      </c>
      <c r="C33" s="194">
        <v>13681.987999999998</v>
      </c>
      <c r="D33" s="194">
        <v>30309.111999999994</v>
      </c>
      <c r="E33" s="194">
        <v>-1240</v>
      </c>
      <c r="F33" s="194">
        <v>7841</v>
      </c>
      <c r="G33" s="193">
        <v>9658</v>
      </c>
      <c r="H33" s="193">
        <v>19436.029320375888</v>
      </c>
      <c r="I33" s="193">
        <v>35695.199320375876</v>
      </c>
      <c r="J33" s="193">
        <v>-851.11485163194652</v>
      </c>
      <c r="K33" s="193">
        <v>7808</v>
      </c>
      <c r="L33" s="193">
        <v>16739.114851631952</v>
      </c>
      <c r="M33" s="193">
        <v>12809.999999999998</v>
      </c>
      <c r="N33" s="193">
        <v>36506</v>
      </c>
      <c r="O33" s="193">
        <v>7752</v>
      </c>
      <c r="P33" s="193">
        <v>19024.212838508647</v>
      </c>
      <c r="Q33" s="193">
        <v>13732</v>
      </c>
      <c r="R33" s="193">
        <v>15727</v>
      </c>
      <c r="S33" s="193">
        <v>56235</v>
      </c>
      <c r="T33" s="193">
        <v>4369</v>
      </c>
      <c r="U33" s="193">
        <v>15084</v>
      </c>
      <c r="V33" s="193">
        <v>23903</v>
      </c>
      <c r="W33" s="193">
        <v>22426</v>
      </c>
      <c r="X33" s="193">
        <v>65782</v>
      </c>
      <c r="Y33" s="193">
        <v>6622</v>
      </c>
      <c r="Z33" s="193">
        <f t="shared" ref="Z33:AI33" si="0">SUM(Z8:Z32)</f>
        <v>18779</v>
      </c>
      <c r="AA33" s="193">
        <f t="shared" si="0"/>
        <v>18829</v>
      </c>
      <c r="AB33" s="193">
        <f t="shared" si="0"/>
        <v>38562</v>
      </c>
      <c r="AC33" s="193">
        <f t="shared" si="0"/>
        <v>82792</v>
      </c>
      <c r="AD33" s="193">
        <f t="shared" si="0"/>
        <v>4965</v>
      </c>
      <c r="AE33" s="193">
        <f t="shared" si="0"/>
        <v>22787</v>
      </c>
      <c r="AF33" s="193">
        <f t="shared" si="0"/>
        <v>16552</v>
      </c>
      <c r="AG33" s="193">
        <f t="shared" si="0"/>
        <v>22355</v>
      </c>
      <c r="AH33" s="193">
        <f t="shared" si="0"/>
        <v>66659</v>
      </c>
      <c r="AI33" s="193">
        <f t="shared" si="0"/>
        <v>136.81814158328416</v>
      </c>
      <c r="AJ33" s="64"/>
      <c r="AK33" s="150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249" s="9" customFormat="1" x14ac:dyDescent="0.2">
      <c r="A34" s="60" t="s">
        <v>136</v>
      </c>
      <c r="B34" s="192">
        <v>8735.3050000000003</v>
      </c>
      <c r="C34" s="192">
        <v>9743.1419999999998</v>
      </c>
      <c r="D34" s="192">
        <v>4063.8910000000001</v>
      </c>
      <c r="E34" s="192">
        <v>0</v>
      </c>
      <c r="F34" s="192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1">
        <v>0</v>
      </c>
      <c r="R34" s="191">
        <v>0</v>
      </c>
      <c r="S34" s="191">
        <v>0</v>
      </c>
      <c r="T34" s="191">
        <v>0</v>
      </c>
      <c r="U34" s="191">
        <v>0</v>
      </c>
      <c r="V34" s="191">
        <v>0</v>
      </c>
      <c r="W34" s="191">
        <v>0</v>
      </c>
      <c r="X34" s="191">
        <v>0</v>
      </c>
      <c r="Y34" s="191">
        <v>0</v>
      </c>
      <c r="Z34" s="191">
        <v>0</v>
      </c>
      <c r="AA34" s="191">
        <v>0</v>
      </c>
      <c r="AB34" s="191">
        <v>0</v>
      </c>
      <c r="AC34" s="191">
        <v>0</v>
      </c>
      <c r="AD34" s="191">
        <v>0</v>
      </c>
      <c r="AE34" s="191">
        <v>0</v>
      </c>
      <c r="AF34" s="191">
        <v>0</v>
      </c>
      <c r="AG34" s="191">
        <v>0</v>
      </c>
      <c r="AH34" s="191">
        <v>0</v>
      </c>
      <c r="AI34" s="191">
        <v>0</v>
      </c>
      <c r="AJ34" s="64"/>
      <c r="AK34" s="150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249" x14ac:dyDescent="0.2">
      <c r="A35" s="18"/>
      <c r="B35" s="169"/>
      <c r="C35" s="169"/>
      <c r="D35" s="169"/>
      <c r="E35" s="169"/>
      <c r="F35" s="169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K35" s="150"/>
    </row>
    <row r="36" spans="1:249" x14ac:dyDescent="0.2">
      <c r="A36" s="57" t="s">
        <v>137</v>
      </c>
      <c r="B36" s="168">
        <v>19787.168000000001</v>
      </c>
      <c r="C36" s="168">
        <v>23425.13</v>
      </c>
      <c r="D36" s="168">
        <v>34373.002999999997</v>
      </c>
      <c r="E36" s="168">
        <v>-1240</v>
      </c>
      <c r="F36" s="168">
        <v>7841</v>
      </c>
      <c r="G36" s="189">
        <v>9658</v>
      </c>
      <c r="H36" s="189">
        <v>19436.029320375888</v>
      </c>
      <c r="I36" s="189">
        <v>35695.199320375876</v>
      </c>
      <c r="J36" s="189">
        <v>-851.11485163194652</v>
      </c>
      <c r="K36" s="189">
        <v>7808</v>
      </c>
      <c r="L36" s="189">
        <v>16739.114851631952</v>
      </c>
      <c r="M36" s="189">
        <v>12809.999999999998</v>
      </c>
      <c r="N36" s="189">
        <v>36506</v>
      </c>
      <c r="O36" s="189">
        <v>7752</v>
      </c>
      <c r="P36" s="189">
        <v>19024.212838508647</v>
      </c>
      <c r="Q36" s="189">
        <v>13732</v>
      </c>
      <c r="R36" s="189">
        <v>15727</v>
      </c>
      <c r="S36" s="189">
        <v>56235</v>
      </c>
      <c r="T36" s="189">
        <v>4369</v>
      </c>
      <c r="U36" s="189">
        <v>15084</v>
      </c>
      <c r="V36" s="189">
        <v>23903</v>
      </c>
      <c r="W36" s="189">
        <v>22426</v>
      </c>
      <c r="X36" s="189">
        <v>65782</v>
      </c>
      <c r="Y36" s="189">
        <v>6622</v>
      </c>
      <c r="Z36" s="189">
        <f t="shared" ref="Z36:AH36" si="1">SUM(Z33:Z34)</f>
        <v>18779</v>
      </c>
      <c r="AA36" s="189">
        <f t="shared" si="1"/>
        <v>18829</v>
      </c>
      <c r="AB36" s="189">
        <f t="shared" si="1"/>
        <v>38562</v>
      </c>
      <c r="AC36" s="189">
        <f t="shared" si="1"/>
        <v>82792</v>
      </c>
      <c r="AD36" s="189">
        <f t="shared" si="1"/>
        <v>4965</v>
      </c>
      <c r="AE36" s="189">
        <f t="shared" si="1"/>
        <v>22787</v>
      </c>
      <c r="AF36" s="189">
        <f t="shared" si="1"/>
        <v>16552</v>
      </c>
      <c r="AG36" s="189">
        <f t="shared" si="1"/>
        <v>22355</v>
      </c>
      <c r="AH36" s="189">
        <f t="shared" si="1"/>
        <v>66659</v>
      </c>
      <c r="AI36" s="189">
        <f t="shared" ref="AI36" si="2">SUM(AI33:AI34)</f>
        <v>136.81814158328416</v>
      </c>
      <c r="AK36" s="150"/>
    </row>
    <row r="37" spans="1:249" x14ac:dyDescent="0.2">
      <c r="A37" s="19" t="s">
        <v>22</v>
      </c>
      <c r="B37" s="169"/>
      <c r="C37" s="169"/>
      <c r="D37" s="169"/>
      <c r="E37" s="169"/>
      <c r="F37" s="169"/>
      <c r="G37" s="188"/>
      <c r="H37" s="188"/>
      <c r="I37" s="188"/>
      <c r="J37" s="188"/>
      <c r="Z37" s="150"/>
      <c r="AA37" s="150"/>
      <c r="AB37" s="150"/>
      <c r="AK37" s="150"/>
    </row>
    <row r="38" spans="1:249" x14ac:dyDescent="0.2">
      <c r="A38" s="15" t="s">
        <v>138</v>
      </c>
      <c r="B38" s="169"/>
      <c r="C38" s="169"/>
      <c r="D38" s="169"/>
      <c r="E38" s="169"/>
      <c r="F38" s="169"/>
      <c r="G38" s="188"/>
      <c r="H38" s="188"/>
      <c r="I38" s="188"/>
      <c r="J38" s="188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K38" s="150"/>
    </row>
    <row r="39" spans="1:249" x14ac:dyDescent="0.2">
      <c r="A39" s="17" t="s">
        <v>45</v>
      </c>
      <c r="B39" s="169">
        <v>-10067.353999999999</v>
      </c>
      <c r="C39" s="169">
        <v>-8589.6679999999997</v>
      </c>
      <c r="D39" s="169">
        <v>-14832.61</v>
      </c>
      <c r="E39" s="169">
        <v>-5013</v>
      </c>
      <c r="F39" s="169">
        <v>-1772</v>
      </c>
      <c r="G39" s="188">
        <v>-2401</v>
      </c>
      <c r="H39" s="188">
        <v>-2230</v>
      </c>
      <c r="I39" s="188">
        <v>-11416</v>
      </c>
      <c r="J39" s="188">
        <v>-5384.9827731552332</v>
      </c>
      <c r="K39" s="188">
        <v>-4606</v>
      </c>
      <c r="L39" s="188">
        <v>-4839.0172268447677</v>
      </c>
      <c r="M39" s="188">
        <v>-5030</v>
      </c>
      <c r="N39" s="188">
        <v>-19860</v>
      </c>
      <c r="O39" s="188">
        <v>-7158</v>
      </c>
      <c r="P39" s="188">
        <v>-1446</v>
      </c>
      <c r="Q39" s="188">
        <v>-3771</v>
      </c>
      <c r="R39" s="188">
        <v>-7093</v>
      </c>
      <c r="S39" s="188">
        <v>-19468</v>
      </c>
      <c r="T39" s="188">
        <v>-9299</v>
      </c>
      <c r="U39" s="188">
        <v>-3900</v>
      </c>
      <c r="V39" s="188">
        <v>-3809</v>
      </c>
      <c r="W39" s="188">
        <v>-1796</v>
      </c>
      <c r="X39" s="188">
        <v>-18804</v>
      </c>
      <c r="Y39" s="188">
        <v>-6610</v>
      </c>
      <c r="Z39" s="188">
        <v>-3671</v>
      </c>
      <c r="AA39" s="188">
        <v>-1454</v>
      </c>
      <c r="AB39" s="188">
        <v>-4181</v>
      </c>
      <c r="AC39" s="188">
        <v>-15916</v>
      </c>
      <c r="AD39" s="188">
        <v>-10679</v>
      </c>
      <c r="AE39" s="188">
        <v>-5958</v>
      </c>
      <c r="AF39" s="188">
        <v>-7125</v>
      </c>
      <c r="AG39" s="188">
        <v>-3916</v>
      </c>
      <c r="AH39" s="188">
        <v>-27678</v>
      </c>
      <c r="AI39" s="188">
        <v>-8845</v>
      </c>
      <c r="AK39" s="150"/>
    </row>
    <row r="40" spans="1:249" x14ac:dyDescent="0.2">
      <c r="A40" s="17" t="s">
        <v>171</v>
      </c>
      <c r="B40" s="174">
        <v>0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v>0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0</v>
      </c>
      <c r="Z40" s="174">
        <v>0</v>
      </c>
      <c r="AA40" s="174">
        <v>0</v>
      </c>
      <c r="AB40" s="174">
        <v>0</v>
      </c>
      <c r="AC40" s="174">
        <v>0</v>
      </c>
      <c r="AD40" s="174">
        <v>0</v>
      </c>
      <c r="AE40" s="174">
        <v>0</v>
      </c>
      <c r="AF40" s="174">
        <v>0</v>
      </c>
      <c r="AG40" s="174">
        <v>0</v>
      </c>
      <c r="AH40" s="174">
        <v>0</v>
      </c>
      <c r="AI40" s="174">
        <v>0</v>
      </c>
      <c r="AK40" s="150"/>
    </row>
    <row r="41" spans="1:249" x14ac:dyDescent="0.2">
      <c r="A41" s="17" t="s">
        <v>139</v>
      </c>
      <c r="B41" s="174">
        <v>-1606.5429999999999</v>
      </c>
      <c r="C41" s="174">
        <v>0</v>
      </c>
      <c r="D41" s="174">
        <v>-2156.1210000000001</v>
      </c>
      <c r="E41" s="174">
        <v>0</v>
      </c>
      <c r="F41" s="174">
        <v>0</v>
      </c>
      <c r="G41" s="195">
        <v>-3505</v>
      </c>
      <c r="H41" s="195">
        <v>-24.166332791334298</v>
      </c>
      <c r="I41" s="195">
        <v>-3529.1663327913343</v>
      </c>
      <c r="J41" s="195">
        <v>-29122.006154610175</v>
      </c>
      <c r="K41" s="195">
        <v>-13013</v>
      </c>
      <c r="L41" s="195">
        <v>-8.9938453898212174</v>
      </c>
      <c r="M41" s="195">
        <v>0</v>
      </c>
      <c r="N41" s="195">
        <v>-42144</v>
      </c>
      <c r="O41" s="195">
        <v>0</v>
      </c>
      <c r="P41" s="195">
        <v>-80089.630740000008</v>
      </c>
      <c r="Q41" s="195">
        <v>-1083</v>
      </c>
      <c r="R41" s="195">
        <v>190</v>
      </c>
      <c r="S41" s="195">
        <v>-80983</v>
      </c>
      <c r="T41" s="195">
        <v>0</v>
      </c>
      <c r="U41" s="195">
        <v>0</v>
      </c>
      <c r="V41" s="195">
        <v>0</v>
      </c>
      <c r="W41" s="195">
        <v>-37500</v>
      </c>
      <c r="X41" s="195">
        <v>-37500</v>
      </c>
      <c r="Y41" s="195">
        <v>-1183</v>
      </c>
      <c r="Z41" s="195">
        <v>0</v>
      </c>
      <c r="AA41" s="195">
        <v>0</v>
      </c>
      <c r="AB41" s="195">
        <v>0</v>
      </c>
      <c r="AC41" s="195">
        <v>-1183</v>
      </c>
      <c r="AD41" s="195">
        <v>0</v>
      </c>
      <c r="AE41" s="195">
        <v>0</v>
      </c>
      <c r="AF41" s="195">
        <v>-6244</v>
      </c>
      <c r="AG41" s="195">
        <v>-51941</v>
      </c>
      <c r="AH41" s="195">
        <v>-58185</v>
      </c>
      <c r="AI41" s="195">
        <v>-44419</v>
      </c>
      <c r="AK41" s="150"/>
    </row>
    <row r="42" spans="1:249" x14ac:dyDescent="0.2">
      <c r="A42" s="17" t="s">
        <v>144</v>
      </c>
      <c r="B42" s="174">
        <v>0</v>
      </c>
      <c r="C42" s="174">
        <v>-252.56100000000001</v>
      </c>
      <c r="D42" s="174">
        <v>0</v>
      </c>
      <c r="E42" s="174">
        <v>0</v>
      </c>
      <c r="F42" s="174">
        <v>153</v>
      </c>
      <c r="G42" s="195">
        <v>-816</v>
      </c>
      <c r="H42" s="195">
        <v>-3324</v>
      </c>
      <c r="I42" s="195">
        <v>-3987</v>
      </c>
      <c r="J42" s="195">
        <v>0</v>
      </c>
      <c r="K42" s="195">
        <v>-335</v>
      </c>
      <c r="L42" s="195">
        <v>0</v>
      </c>
      <c r="M42" s="195">
        <v>-2089</v>
      </c>
      <c r="N42" s="195">
        <v>-2424</v>
      </c>
      <c r="O42" s="195">
        <v>-72</v>
      </c>
      <c r="P42" s="195">
        <v>-1816.1389924000459</v>
      </c>
      <c r="Q42" s="195">
        <v>-6007</v>
      </c>
      <c r="R42" s="195">
        <v>-923</v>
      </c>
      <c r="S42" s="195">
        <v>-8818</v>
      </c>
      <c r="T42" s="195">
        <v>-1369</v>
      </c>
      <c r="U42" s="195">
        <v>-1923</v>
      </c>
      <c r="V42" s="195">
        <v>-6386</v>
      </c>
      <c r="W42" s="195">
        <v>2327</v>
      </c>
      <c r="X42" s="195">
        <v>-7351</v>
      </c>
      <c r="Y42" s="195">
        <v>-51</v>
      </c>
      <c r="Z42" s="195">
        <v>-115</v>
      </c>
      <c r="AA42" s="195">
        <v>-1526</v>
      </c>
      <c r="AB42" s="195">
        <v>-235</v>
      </c>
      <c r="AC42" s="195">
        <v>-1927</v>
      </c>
      <c r="AD42" s="195">
        <v>-1005</v>
      </c>
      <c r="AE42" s="195">
        <v>-403</v>
      </c>
      <c r="AF42" s="195">
        <v>-6193</v>
      </c>
      <c r="AG42" s="195">
        <v>-1533</v>
      </c>
      <c r="AH42" s="195">
        <v>-9134</v>
      </c>
      <c r="AI42" s="195">
        <v>-5995</v>
      </c>
      <c r="AK42" s="150"/>
    </row>
    <row r="43" spans="1:249" x14ac:dyDescent="0.2">
      <c r="A43" s="17" t="s">
        <v>145</v>
      </c>
      <c r="B43" s="174"/>
      <c r="C43" s="174"/>
      <c r="D43" s="174"/>
      <c r="E43" s="174"/>
      <c r="F43" s="174"/>
      <c r="G43" s="195"/>
      <c r="H43" s="195">
        <v>153</v>
      </c>
      <c r="I43" s="195">
        <v>153</v>
      </c>
      <c r="J43" s="195">
        <v>1842.7858200000001</v>
      </c>
      <c r="K43" s="195">
        <v>0.21417999999994208</v>
      </c>
      <c r="L43" s="195">
        <v>207</v>
      </c>
      <c r="M43" s="195">
        <v>1406</v>
      </c>
      <c r="N43" s="195">
        <v>3456</v>
      </c>
      <c r="O43" s="195">
        <v>0</v>
      </c>
      <c r="P43" s="195">
        <v>412.73666240004775</v>
      </c>
      <c r="Q43" s="195">
        <v>291</v>
      </c>
      <c r="R43" s="195">
        <v>2813</v>
      </c>
      <c r="S43" s="195">
        <v>3517</v>
      </c>
      <c r="T43" s="195">
        <v>2223</v>
      </c>
      <c r="U43" s="195">
        <v>2098</v>
      </c>
      <c r="V43" s="195">
        <v>6369</v>
      </c>
      <c r="W43" s="195">
        <v>-1869</v>
      </c>
      <c r="X43" s="195">
        <v>8821</v>
      </c>
      <c r="Y43" s="195">
        <v>0</v>
      </c>
      <c r="Z43" s="195">
        <v>281</v>
      </c>
      <c r="AA43" s="195">
        <v>735</v>
      </c>
      <c r="AB43" s="195">
        <v>475</v>
      </c>
      <c r="AC43" s="195">
        <v>1491</v>
      </c>
      <c r="AD43" s="195">
        <v>0</v>
      </c>
      <c r="AE43" s="195">
        <v>0</v>
      </c>
      <c r="AF43" s="195">
        <v>6986</v>
      </c>
      <c r="AG43" s="195">
        <v>-251</v>
      </c>
      <c r="AH43" s="195">
        <v>6735</v>
      </c>
      <c r="AI43" s="195">
        <v>3079</v>
      </c>
      <c r="AK43" s="150"/>
    </row>
    <row r="44" spans="1:249" x14ac:dyDescent="0.2">
      <c r="A44" s="17" t="s">
        <v>46</v>
      </c>
      <c r="B44" s="174">
        <v>0</v>
      </c>
      <c r="C44" s="174">
        <v>0</v>
      </c>
      <c r="D44" s="174">
        <v>1038.4680000000001</v>
      </c>
      <c r="E44" s="174">
        <v>1448</v>
      </c>
      <c r="F44" s="174">
        <v>0</v>
      </c>
      <c r="G44" s="195">
        <v>0</v>
      </c>
      <c r="H44" s="195">
        <v>0.17101735015762642</v>
      </c>
      <c r="I44" s="195">
        <v>1448.1710173501576</v>
      </c>
      <c r="J44" s="195">
        <v>0</v>
      </c>
      <c r="K44" s="195">
        <v>0</v>
      </c>
      <c r="L44" s="195">
        <v>0</v>
      </c>
      <c r="M44" s="195">
        <v>0</v>
      </c>
      <c r="N44" s="195"/>
      <c r="O44" s="195"/>
      <c r="P44" s="195"/>
      <c r="Q44" s="195"/>
      <c r="R44" s="195"/>
      <c r="S44" s="195"/>
      <c r="T44" s="195">
        <v>0</v>
      </c>
      <c r="U44" s="195">
        <v>0</v>
      </c>
      <c r="V44" s="195">
        <v>0</v>
      </c>
      <c r="W44" s="195">
        <v>0</v>
      </c>
      <c r="X44" s="195">
        <v>0</v>
      </c>
      <c r="Y44" s="195">
        <v>0</v>
      </c>
      <c r="Z44" s="195">
        <v>0</v>
      </c>
      <c r="AA44" s="195">
        <v>0</v>
      </c>
      <c r="AB44" s="195">
        <v>0</v>
      </c>
      <c r="AC44" s="195">
        <v>0</v>
      </c>
      <c r="AD44" s="195">
        <v>0</v>
      </c>
      <c r="AE44" s="195">
        <v>0</v>
      </c>
      <c r="AF44" s="195">
        <v>0</v>
      </c>
      <c r="AG44" s="195">
        <v>0</v>
      </c>
      <c r="AH44" s="195">
        <v>0</v>
      </c>
      <c r="AI44" s="195">
        <v>0</v>
      </c>
      <c r="AK44" s="150"/>
    </row>
    <row r="45" spans="1:249" s="9" customFormat="1" x14ac:dyDescent="0.2">
      <c r="A45" s="59" t="s">
        <v>91</v>
      </c>
      <c r="B45" s="194">
        <v>-11673.897000000001</v>
      </c>
      <c r="C45" s="194">
        <v>-8842.2289999999994</v>
      </c>
      <c r="D45" s="194">
        <v>-15950.263000000001</v>
      </c>
      <c r="E45" s="194">
        <v>-3565</v>
      </c>
      <c r="F45" s="194">
        <v>-1619</v>
      </c>
      <c r="G45" s="193">
        <v>-6722</v>
      </c>
      <c r="H45" s="193">
        <v>-5424.995315441176</v>
      </c>
      <c r="I45" s="193">
        <v>-17330.995315441178</v>
      </c>
      <c r="J45" s="193">
        <v>-32664.203107765406</v>
      </c>
      <c r="K45" s="193">
        <v>-17953.785820000001</v>
      </c>
      <c r="L45" s="193">
        <v>-4641.0110722345889</v>
      </c>
      <c r="M45" s="193">
        <v>-5713</v>
      </c>
      <c r="N45" s="193">
        <v>-60972</v>
      </c>
      <c r="O45" s="193">
        <v>-7230</v>
      </c>
      <c r="P45" s="193">
        <v>-82939.033070000005</v>
      </c>
      <c r="Q45" s="193">
        <v>-10570</v>
      </c>
      <c r="R45" s="193">
        <v>-5013</v>
      </c>
      <c r="S45" s="193">
        <v>-105752</v>
      </c>
      <c r="T45" s="193">
        <v>-8445</v>
      </c>
      <c r="U45" s="193">
        <v>-3725</v>
      </c>
      <c r="V45" s="193">
        <v>-3826</v>
      </c>
      <c r="W45" s="193">
        <v>-38838</v>
      </c>
      <c r="X45" s="193">
        <v>-54834</v>
      </c>
      <c r="Y45" s="193">
        <v>-7844</v>
      </c>
      <c r="Z45" s="193">
        <v>-3505</v>
      </c>
      <c r="AA45" s="193">
        <v>-2245</v>
      </c>
      <c r="AB45" s="193">
        <f t="shared" ref="AB45:AC45" si="3">SUM(AB39:AB44)</f>
        <v>-3941</v>
      </c>
      <c r="AC45" s="193">
        <f t="shared" si="3"/>
        <v>-17535</v>
      </c>
      <c r="AD45" s="193">
        <f t="shared" ref="AD45:AI45" si="4">SUM(AD39:AD44)</f>
        <v>-11684</v>
      </c>
      <c r="AE45" s="193">
        <f t="shared" si="4"/>
        <v>-6361</v>
      </c>
      <c r="AF45" s="193">
        <f t="shared" si="4"/>
        <v>-12576</v>
      </c>
      <c r="AG45" s="193">
        <f t="shared" si="4"/>
        <v>-57641</v>
      </c>
      <c r="AH45" s="193">
        <f t="shared" si="4"/>
        <v>-88262</v>
      </c>
      <c r="AI45" s="193">
        <f t="shared" si="4"/>
        <v>-56180</v>
      </c>
      <c r="AJ45" s="64"/>
      <c r="AK45" s="150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249" s="9" customFormat="1" x14ac:dyDescent="0.2">
      <c r="A46" s="60" t="s">
        <v>92</v>
      </c>
      <c r="B46" s="192">
        <v>-326.61900000000003</v>
      </c>
      <c r="C46" s="192">
        <v>-122.8</v>
      </c>
      <c r="D46" s="192">
        <v>-40.024999999999999</v>
      </c>
      <c r="E46" s="192">
        <v>0</v>
      </c>
      <c r="F46" s="192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  <c r="Q46" s="191">
        <v>0</v>
      </c>
      <c r="R46" s="191">
        <v>0</v>
      </c>
      <c r="S46" s="191">
        <v>0</v>
      </c>
      <c r="T46" s="191">
        <v>0</v>
      </c>
      <c r="U46" s="191">
        <v>0</v>
      </c>
      <c r="V46" s="191">
        <v>0</v>
      </c>
      <c r="W46" s="191">
        <v>0</v>
      </c>
      <c r="X46" s="191">
        <v>0</v>
      </c>
      <c r="Y46" s="191">
        <v>0</v>
      </c>
      <c r="Z46" s="191">
        <v>0</v>
      </c>
      <c r="AA46" s="191">
        <v>0</v>
      </c>
      <c r="AB46" s="191">
        <v>0</v>
      </c>
      <c r="AC46" s="191">
        <v>0</v>
      </c>
      <c r="AD46" s="191">
        <v>0</v>
      </c>
      <c r="AE46" s="191">
        <v>0</v>
      </c>
      <c r="AF46" s="191">
        <v>0</v>
      </c>
      <c r="AG46" s="191">
        <v>0</v>
      </c>
      <c r="AH46" s="191">
        <v>0</v>
      </c>
      <c r="AI46" s="191">
        <v>0</v>
      </c>
      <c r="AJ46" s="64"/>
      <c r="AK46" s="150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249" x14ac:dyDescent="0.2">
      <c r="A47" s="18"/>
      <c r="B47" s="169"/>
      <c r="C47" s="169"/>
      <c r="D47" s="169"/>
      <c r="E47" s="169"/>
      <c r="F47" s="169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K47" s="150"/>
    </row>
    <row r="48" spans="1:249" x14ac:dyDescent="0.2">
      <c r="A48" s="57" t="s">
        <v>88</v>
      </c>
      <c r="B48" s="168">
        <v>-12000.516000000001</v>
      </c>
      <c r="C48" s="168">
        <v>-8965.0289999999986</v>
      </c>
      <c r="D48" s="168">
        <v>-15990.288</v>
      </c>
      <c r="E48" s="189">
        <v>-3565</v>
      </c>
      <c r="F48" s="189">
        <v>-1619</v>
      </c>
      <c r="G48" s="189">
        <v>-6722</v>
      </c>
      <c r="H48" s="189">
        <v>-5424.995315441176</v>
      </c>
      <c r="I48" s="189">
        <v>-17330.995315441178</v>
      </c>
      <c r="J48" s="189">
        <v>-32664.203107765406</v>
      </c>
      <c r="K48" s="189">
        <v>-17953.785820000001</v>
      </c>
      <c r="L48" s="189">
        <v>-4641.0110722345889</v>
      </c>
      <c r="M48" s="189">
        <v>-5713</v>
      </c>
      <c r="N48" s="189">
        <v>-60972</v>
      </c>
      <c r="O48" s="189">
        <v>-7230</v>
      </c>
      <c r="P48" s="189">
        <v>-82939.033070000005</v>
      </c>
      <c r="Q48" s="189">
        <v>-10570</v>
      </c>
      <c r="R48" s="189">
        <v>-5013</v>
      </c>
      <c r="S48" s="189">
        <v>-105752</v>
      </c>
      <c r="T48" s="189">
        <v>-8445</v>
      </c>
      <c r="U48" s="189">
        <v>-3725</v>
      </c>
      <c r="V48" s="189">
        <v>-3826</v>
      </c>
      <c r="W48" s="189">
        <v>-38838</v>
      </c>
      <c r="X48" s="189">
        <v>-54834</v>
      </c>
      <c r="Y48" s="189">
        <v>-7844</v>
      </c>
      <c r="Z48" s="189">
        <v>-3505</v>
      </c>
      <c r="AA48" s="189">
        <v>-2245</v>
      </c>
      <c r="AB48" s="189">
        <f t="shared" ref="AB48:AC48" si="5">SUM(AB45:AB46)</f>
        <v>-3941</v>
      </c>
      <c r="AC48" s="189">
        <f t="shared" si="5"/>
        <v>-17535</v>
      </c>
      <c r="AD48" s="189">
        <f t="shared" ref="AD48:AI48" si="6">SUM(AD45:AD46)</f>
        <v>-11684</v>
      </c>
      <c r="AE48" s="189">
        <f t="shared" si="6"/>
        <v>-6361</v>
      </c>
      <c r="AF48" s="189">
        <f t="shared" si="6"/>
        <v>-12576</v>
      </c>
      <c r="AG48" s="189">
        <f t="shared" si="6"/>
        <v>-57641</v>
      </c>
      <c r="AH48" s="189">
        <f t="shared" si="6"/>
        <v>-88262</v>
      </c>
      <c r="AI48" s="189">
        <f t="shared" si="6"/>
        <v>-56180</v>
      </c>
      <c r="AK48" s="150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</row>
    <row r="49" spans="1:77" x14ac:dyDescent="0.2">
      <c r="A49" s="19" t="s">
        <v>22</v>
      </c>
      <c r="B49" s="169"/>
      <c r="C49" s="169"/>
      <c r="D49" s="169"/>
      <c r="E49" s="169"/>
      <c r="F49" s="169"/>
      <c r="G49" s="188"/>
      <c r="H49" s="188"/>
      <c r="I49" s="188"/>
      <c r="J49" s="188"/>
      <c r="U49" s="150"/>
      <c r="V49" s="150"/>
      <c r="AK49" s="150"/>
    </row>
    <row r="50" spans="1:77" x14ac:dyDescent="0.2">
      <c r="A50" s="15" t="s">
        <v>140</v>
      </c>
      <c r="B50" s="169"/>
      <c r="C50" s="169"/>
      <c r="D50" s="169"/>
      <c r="E50" s="169"/>
      <c r="F50" s="169"/>
      <c r="G50" s="188"/>
      <c r="H50" s="188"/>
      <c r="I50" s="188"/>
      <c r="J50" s="188"/>
      <c r="AK50" s="150"/>
    </row>
    <row r="51" spans="1:77" x14ac:dyDescent="0.2">
      <c r="A51" s="17" t="s">
        <v>47</v>
      </c>
      <c r="B51" s="169">
        <v>-5821.19</v>
      </c>
      <c r="C51" s="169">
        <v>0</v>
      </c>
      <c r="D51" s="169">
        <v>0</v>
      </c>
      <c r="E51" s="169">
        <v>0</v>
      </c>
      <c r="F51" s="169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188">
        <v>0</v>
      </c>
      <c r="R51" s="188">
        <v>0</v>
      </c>
      <c r="S51" s="188">
        <v>0</v>
      </c>
      <c r="T51" s="188">
        <v>0</v>
      </c>
      <c r="U51" s="188">
        <v>0</v>
      </c>
      <c r="V51" s="188">
        <v>0</v>
      </c>
      <c r="W51" s="188">
        <v>0</v>
      </c>
      <c r="X51" s="188">
        <v>0</v>
      </c>
      <c r="Y51" s="188">
        <v>0</v>
      </c>
      <c r="Z51" s="188">
        <v>0</v>
      </c>
      <c r="AA51" s="188">
        <v>0</v>
      </c>
      <c r="AB51" s="188">
        <v>0</v>
      </c>
      <c r="AC51" s="188">
        <v>0</v>
      </c>
      <c r="AD51" s="188">
        <v>0</v>
      </c>
      <c r="AE51" s="188">
        <v>0</v>
      </c>
      <c r="AF51" s="188">
        <v>0</v>
      </c>
      <c r="AG51" s="188">
        <v>0</v>
      </c>
      <c r="AH51" s="188">
        <v>0</v>
      </c>
      <c r="AI51" s="188">
        <v>0</v>
      </c>
      <c r="AK51" s="15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x14ac:dyDescent="0.2">
      <c r="A52" s="17" t="s">
        <v>172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4">
        <v>0</v>
      </c>
      <c r="O52" s="174">
        <v>0</v>
      </c>
      <c r="P52" s="174">
        <v>30000</v>
      </c>
      <c r="Q52" s="174">
        <v>0</v>
      </c>
      <c r="R52" s="174">
        <v>0</v>
      </c>
      <c r="S52" s="174">
        <v>30000</v>
      </c>
      <c r="T52" s="174">
        <v>0</v>
      </c>
      <c r="U52" s="174">
        <v>0</v>
      </c>
      <c r="V52" s="174">
        <v>0</v>
      </c>
      <c r="W52" s="174">
        <v>0</v>
      </c>
      <c r="X52" s="174">
        <v>0</v>
      </c>
      <c r="Y52" s="174">
        <v>0</v>
      </c>
      <c r="Z52" s="174">
        <v>0</v>
      </c>
      <c r="AA52" s="174">
        <v>0</v>
      </c>
      <c r="AB52" s="174">
        <v>0</v>
      </c>
      <c r="AC52" s="174">
        <v>0</v>
      </c>
      <c r="AD52" s="174">
        <v>0</v>
      </c>
      <c r="AE52" s="174">
        <v>0</v>
      </c>
      <c r="AF52" s="174">
        <v>0</v>
      </c>
      <c r="AG52" s="174">
        <v>0</v>
      </c>
      <c r="AH52" s="174">
        <v>0</v>
      </c>
      <c r="AI52" s="174">
        <v>5000</v>
      </c>
      <c r="AK52" s="15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x14ac:dyDescent="0.2">
      <c r="A53" s="17" t="s">
        <v>173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4">
        <v>0</v>
      </c>
      <c r="O53" s="174">
        <v>0</v>
      </c>
      <c r="P53" s="174">
        <v>-14</v>
      </c>
      <c r="Q53" s="174">
        <v>-30035</v>
      </c>
      <c r="R53" s="174">
        <v>0</v>
      </c>
      <c r="S53" s="174">
        <v>-30049</v>
      </c>
      <c r="T53" s="174">
        <v>0</v>
      </c>
      <c r="U53" s="174">
        <v>0</v>
      </c>
      <c r="V53" s="174">
        <v>0</v>
      </c>
      <c r="W53" s="174">
        <v>0</v>
      </c>
      <c r="X53" s="174">
        <v>0</v>
      </c>
      <c r="Y53" s="174">
        <v>0</v>
      </c>
      <c r="Z53" s="174">
        <v>0</v>
      </c>
      <c r="AA53" s="174">
        <v>0</v>
      </c>
      <c r="AB53" s="174">
        <v>0</v>
      </c>
      <c r="AC53" s="174">
        <v>0</v>
      </c>
      <c r="AD53" s="174">
        <v>0</v>
      </c>
      <c r="AE53" s="174">
        <v>0</v>
      </c>
      <c r="AF53" s="174">
        <v>0</v>
      </c>
      <c r="AG53" s="174">
        <v>0</v>
      </c>
      <c r="AH53" s="174">
        <v>0</v>
      </c>
      <c r="AI53" s="174">
        <v>0</v>
      </c>
      <c r="AK53" s="15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x14ac:dyDescent="0.2">
      <c r="A54" s="17" t="s">
        <v>174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4">
        <v>0</v>
      </c>
      <c r="O54" s="174">
        <v>0</v>
      </c>
      <c r="P54" s="174">
        <v>-446</v>
      </c>
      <c r="Q54" s="174">
        <v>0</v>
      </c>
      <c r="R54" s="174">
        <v>0</v>
      </c>
      <c r="S54" s="174">
        <v>-446</v>
      </c>
      <c r="T54" s="174">
        <v>0</v>
      </c>
      <c r="U54" s="174">
        <v>0</v>
      </c>
      <c r="V54" s="174">
        <v>0</v>
      </c>
      <c r="W54" s="174">
        <v>0</v>
      </c>
      <c r="X54" s="174">
        <v>0</v>
      </c>
      <c r="Y54" s="174">
        <v>0</v>
      </c>
      <c r="Z54" s="174">
        <v>0</v>
      </c>
      <c r="AA54" s="174">
        <v>0</v>
      </c>
      <c r="AB54" s="174">
        <v>0</v>
      </c>
      <c r="AC54" s="174">
        <v>0</v>
      </c>
      <c r="AD54" s="174">
        <v>0</v>
      </c>
      <c r="AE54" s="174">
        <v>0</v>
      </c>
      <c r="AF54" s="174">
        <v>0</v>
      </c>
      <c r="AG54" s="174">
        <v>-405</v>
      </c>
      <c r="AH54" s="174">
        <v>-405</v>
      </c>
      <c r="AI54" s="174">
        <v>-50</v>
      </c>
      <c r="AK54" s="15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x14ac:dyDescent="0.2">
      <c r="A55" s="17" t="s">
        <v>48</v>
      </c>
      <c r="B55" s="174">
        <v>-506.75799999999998</v>
      </c>
      <c r="C55" s="174">
        <v>-153.30000000000001</v>
      </c>
      <c r="D55" s="174">
        <v>-132.71100000000001</v>
      </c>
      <c r="E55" s="174">
        <v>-27</v>
      </c>
      <c r="F55" s="174">
        <v>-28</v>
      </c>
      <c r="G55" s="195">
        <v>-25</v>
      </c>
      <c r="H55" s="195">
        <v>-34.108465350267906</v>
      </c>
      <c r="I55" s="195">
        <v>-114.10846535026791</v>
      </c>
      <c r="J55" s="195">
        <v>-35.575118171506226</v>
      </c>
      <c r="K55" s="195">
        <v>-51</v>
      </c>
      <c r="L55" s="195">
        <v>-4.424881828493767</v>
      </c>
      <c r="M55" s="195">
        <v>3</v>
      </c>
      <c r="N55" s="195">
        <v>-88</v>
      </c>
      <c r="O55" s="195">
        <v>-51</v>
      </c>
      <c r="P55" s="195">
        <v>-249.64157047462464</v>
      </c>
      <c r="Q55" s="195">
        <v>-513</v>
      </c>
      <c r="R55" s="195">
        <v>-472</v>
      </c>
      <c r="S55" s="195">
        <v>-1286</v>
      </c>
      <c r="T55" s="195">
        <v>-446</v>
      </c>
      <c r="U55" s="195">
        <v>-426</v>
      </c>
      <c r="V55" s="195">
        <v>-387</v>
      </c>
      <c r="W55" s="195">
        <v>-381</v>
      </c>
      <c r="X55" s="195">
        <v>-1640</v>
      </c>
      <c r="Y55" s="195">
        <v>-434</v>
      </c>
      <c r="Z55" s="195">
        <v>-353</v>
      </c>
      <c r="AA55" s="195">
        <v>-443</v>
      </c>
      <c r="AB55" s="195">
        <v>-281</v>
      </c>
      <c r="AC55" s="195">
        <v>-1511</v>
      </c>
      <c r="AD55" s="195">
        <v>-288</v>
      </c>
      <c r="AE55" s="195">
        <v>-276</v>
      </c>
      <c r="AF55" s="195">
        <v>-243</v>
      </c>
      <c r="AG55" s="195">
        <v>-160</v>
      </c>
      <c r="AH55" s="195">
        <v>-967</v>
      </c>
      <c r="AI55" s="195">
        <v>-223</v>
      </c>
      <c r="AK55" s="15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x14ac:dyDescent="0.2">
      <c r="A56" s="17" t="s">
        <v>49</v>
      </c>
      <c r="B56" s="174">
        <v>-6688.4129999999996</v>
      </c>
      <c r="C56" s="174">
        <v>0</v>
      </c>
      <c r="D56" s="174">
        <v>0</v>
      </c>
      <c r="E56" s="174">
        <v>0</v>
      </c>
      <c r="F56" s="174"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5">
        <v>0</v>
      </c>
      <c r="W56" s="195">
        <v>0</v>
      </c>
      <c r="X56" s="195">
        <v>0</v>
      </c>
      <c r="Y56" s="195">
        <v>0</v>
      </c>
      <c r="Z56" s="195">
        <v>0</v>
      </c>
      <c r="AA56" s="195">
        <v>0</v>
      </c>
      <c r="AB56" s="195">
        <v>0</v>
      </c>
      <c r="AC56" s="195">
        <v>0</v>
      </c>
      <c r="AD56" s="195">
        <v>0</v>
      </c>
      <c r="AE56" s="195">
        <v>0</v>
      </c>
      <c r="AF56" s="195">
        <v>0</v>
      </c>
      <c r="AG56" s="195">
        <v>0</v>
      </c>
      <c r="AH56" s="174">
        <v>0</v>
      </c>
      <c r="AI56" s="174">
        <v>0</v>
      </c>
      <c r="AK56" s="15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x14ac:dyDescent="0.2">
      <c r="A57" s="17" t="s">
        <v>64</v>
      </c>
      <c r="B57" s="174">
        <v>69837.812999999995</v>
      </c>
      <c r="C57" s="174">
        <v>0</v>
      </c>
      <c r="D57" s="174">
        <v>0</v>
      </c>
      <c r="E57" s="174">
        <v>0</v>
      </c>
      <c r="F57" s="174">
        <v>0</v>
      </c>
      <c r="G57" s="195">
        <v>0</v>
      </c>
      <c r="H57" s="195">
        <v>0</v>
      </c>
      <c r="I57" s="195">
        <v>0</v>
      </c>
      <c r="J57" s="195">
        <v>0</v>
      </c>
      <c r="K57" s="195">
        <v>0</v>
      </c>
      <c r="L57" s="195">
        <v>0</v>
      </c>
      <c r="M57" s="195">
        <v>0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5">
        <v>0</v>
      </c>
      <c r="AD57" s="195">
        <v>0</v>
      </c>
      <c r="AE57" s="195">
        <v>0</v>
      </c>
      <c r="AF57" s="195">
        <v>0</v>
      </c>
      <c r="AG57" s="195">
        <v>0</v>
      </c>
      <c r="AH57" s="174">
        <v>0</v>
      </c>
      <c r="AI57" s="174">
        <v>0</v>
      </c>
      <c r="AK57" s="15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x14ac:dyDescent="0.2">
      <c r="A58" s="17" t="s">
        <v>63</v>
      </c>
      <c r="B58" s="174">
        <v>-4250</v>
      </c>
      <c r="C58" s="174">
        <v>0</v>
      </c>
      <c r="D58" s="174">
        <v>0</v>
      </c>
      <c r="E58" s="174">
        <v>0</v>
      </c>
      <c r="F58" s="174">
        <v>0</v>
      </c>
      <c r="G58" s="195">
        <v>0</v>
      </c>
      <c r="H58" s="195">
        <v>0</v>
      </c>
      <c r="I58" s="195">
        <v>0</v>
      </c>
      <c r="J58" s="195">
        <v>0</v>
      </c>
      <c r="K58" s="195">
        <v>0</v>
      </c>
      <c r="L58" s="195">
        <v>0</v>
      </c>
      <c r="M58" s="195">
        <v>0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5">
        <v>0</v>
      </c>
      <c r="V58" s="195">
        <v>0</v>
      </c>
      <c r="W58" s="195">
        <v>0</v>
      </c>
      <c r="X58" s="195">
        <v>0</v>
      </c>
      <c r="Y58" s="195">
        <v>0</v>
      </c>
      <c r="Z58" s="195">
        <v>0</v>
      </c>
      <c r="AA58" s="195">
        <v>0</v>
      </c>
      <c r="AB58" s="195">
        <v>0</v>
      </c>
      <c r="AC58" s="195">
        <v>0</v>
      </c>
      <c r="AD58" s="195">
        <v>0</v>
      </c>
      <c r="AE58" s="195">
        <v>0</v>
      </c>
      <c r="AF58" s="195">
        <v>0</v>
      </c>
      <c r="AG58" s="195">
        <v>0</v>
      </c>
      <c r="AH58" s="174">
        <v>0</v>
      </c>
      <c r="AI58" s="174">
        <v>0</v>
      </c>
      <c r="AK58" s="15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x14ac:dyDescent="0.2">
      <c r="A59" s="17" t="s">
        <v>50</v>
      </c>
      <c r="B59" s="174">
        <v>149.94399999999999</v>
      </c>
      <c r="C59" s="174">
        <v>1641.1590000000001</v>
      </c>
      <c r="D59" s="174">
        <v>620.06600000000003</v>
      </c>
      <c r="E59" s="174">
        <v>0</v>
      </c>
      <c r="F59" s="174">
        <v>179</v>
      </c>
      <c r="G59" s="195">
        <v>14</v>
      </c>
      <c r="H59" s="195">
        <v>786</v>
      </c>
      <c r="I59" s="195">
        <v>979</v>
      </c>
      <c r="J59" s="195">
        <v>261.42669157385149</v>
      </c>
      <c r="K59" s="195">
        <v>530</v>
      </c>
      <c r="L59" s="195">
        <v>795.57330842614851</v>
      </c>
      <c r="M59" s="195">
        <v>1436.8300629411765</v>
      </c>
      <c r="N59" s="195">
        <v>3023.8300629411765</v>
      </c>
      <c r="O59" s="195">
        <v>595</v>
      </c>
      <c r="P59" s="195">
        <v>2982.8674647770126</v>
      </c>
      <c r="Q59" s="195">
        <v>1783</v>
      </c>
      <c r="R59" s="195">
        <v>174</v>
      </c>
      <c r="S59" s="195">
        <v>5535</v>
      </c>
      <c r="T59" s="195">
        <v>2903</v>
      </c>
      <c r="U59" s="195">
        <v>4377</v>
      </c>
      <c r="V59" s="195">
        <v>1588</v>
      </c>
      <c r="W59" s="195">
        <v>735</v>
      </c>
      <c r="X59" s="195">
        <v>9603</v>
      </c>
      <c r="Y59" s="195">
        <v>1378</v>
      </c>
      <c r="Z59" s="195">
        <v>1078</v>
      </c>
      <c r="AA59" s="195">
        <v>2168</v>
      </c>
      <c r="AB59" s="195">
        <v>865</v>
      </c>
      <c r="AC59" s="195">
        <v>5489</v>
      </c>
      <c r="AD59" s="195">
        <v>1673</v>
      </c>
      <c r="AE59" s="195">
        <v>1140</v>
      </c>
      <c r="AF59" s="195">
        <v>2157</v>
      </c>
      <c r="AG59" s="195">
        <v>1489</v>
      </c>
      <c r="AH59" s="195">
        <v>6459</v>
      </c>
      <c r="AI59" s="195">
        <v>1883</v>
      </c>
      <c r="AK59" s="15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x14ac:dyDescent="0.2">
      <c r="A60" s="17" t="s">
        <v>65</v>
      </c>
      <c r="B60" s="174">
        <v>190.13900000000001</v>
      </c>
      <c r="C60" s="174">
        <v>752.86099999999999</v>
      </c>
      <c r="D60" s="174">
        <v>-141.30799999999999</v>
      </c>
      <c r="E60" s="174">
        <v>0</v>
      </c>
      <c r="F60" s="174">
        <v>0</v>
      </c>
      <c r="G60" s="195">
        <v>0</v>
      </c>
      <c r="H60" s="195">
        <v>-343</v>
      </c>
      <c r="I60" s="195">
        <v>-343</v>
      </c>
      <c r="J60" s="195">
        <v>0</v>
      </c>
      <c r="K60" s="195">
        <v>0</v>
      </c>
      <c r="L60" s="195">
        <v>0</v>
      </c>
      <c r="M60" s="195">
        <v>107.16993705882356</v>
      </c>
      <c r="N60" s="195">
        <v>107.16993705882356</v>
      </c>
      <c r="O60" s="195">
        <v>0</v>
      </c>
      <c r="P60" s="195">
        <v>0</v>
      </c>
      <c r="Q60" s="195">
        <v>0</v>
      </c>
      <c r="R60" s="195">
        <v>1210</v>
      </c>
      <c r="S60" s="195">
        <v>1210</v>
      </c>
      <c r="T60" s="195">
        <v>0</v>
      </c>
      <c r="U60" s="195">
        <v>0</v>
      </c>
      <c r="V60" s="195">
        <v>0</v>
      </c>
      <c r="W60" s="195">
        <v>2273</v>
      </c>
      <c r="X60" s="195">
        <v>2273</v>
      </c>
      <c r="Y60" s="195">
        <v>0</v>
      </c>
      <c r="Z60" s="195">
        <v>0</v>
      </c>
      <c r="AA60" s="195">
        <v>0</v>
      </c>
      <c r="AB60" s="195">
        <v>1953</v>
      </c>
      <c r="AC60" s="195">
        <v>1953</v>
      </c>
      <c r="AD60" s="195">
        <v>0</v>
      </c>
      <c r="AE60" s="195">
        <v>0</v>
      </c>
      <c r="AF60" s="195">
        <v>0</v>
      </c>
      <c r="AG60" s="195">
        <v>1181</v>
      </c>
      <c r="AH60" s="195">
        <v>1181</v>
      </c>
      <c r="AI60" s="195">
        <v>0</v>
      </c>
      <c r="AK60" s="15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ht="25.5" x14ac:dyDescent="0.2">
      <c r="A61" s="22" t="s">
        <v>175</v>
      </c>
      <c r="B61" s="174">
        <v>0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  <c r="I61" s="174">
        <v>0</v>
      </c>
      <c r="J61" s="174">
        <v>0</v>
      </c>
      <c r="K61" s="174">
        <v>0</v>
      </c>
      <c r="L61" s="174">
        <v>0</v>
      </c>
      <c r="M61" s="174">
        <v>0</v>
      </c>
      <c r="N61" s="174">
        <v>0</v>
      </c>
      <c r="O61" s="174">
        <v>0</v>
      </c>
      <c r="P61" s="174">
        <v>0</v>
      </c>
      <c r="Q61" s="195">
        <v>21573</v>
      </c>
      <c r="R61" s="174">
        <v>-47</v>
      </c>
      <c r="S61" s="174">
        <v>21526</v>
      </c>
      <c r="T61" s="195">
        <v>0</v>
      </c>
      <c r="U61" s="195">
        <v>0</v>
      </c>
      <c r="V61" s="195">
        <v>0</v>
      </c>
      <c r="W61" s="174">
        <v>0</v>
      </c>
      <c r="X61" s="174">
        <v>0</v>
      </c>
      <c r="Y61" s="174">
        <v>0</v>
      </c>
      <c r="Z61" s="174">
        <v>0</v>
      </c>
      <c r="AA61" s="174">
        <v>0</v>
      </c>
      <c r="AB61" s="174">
        <v>0</v>
      </c>
      <c r="AC61" s="174">
        <v>0</v>
      </c>
      <c r="AD61" s="174">
        <v>0</v>
      </c>
      <c r="AE61" s="174">
        <v>0</v>
      </c>
      <c r="AF61" s="174">
        <v>0</v>
      </c>
      <c r="AG61" s="174">
        <v>0</v>
      </c>
      <c r="AH61" s="174">
        <v>0</v>
      </c>
      <c r="AI61" s="174">
        <v>0</v>
      </c>
      <c r="AK61" s="15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x14ac:dyDescent="0.2">
      <c r="A62" s="17" t="s">
        <v>148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95">
        <v>0</v>
      </c>
      <c r="H62" s="195">
        <v>21</v>
      </c>
      <c r="I62" s="195">
        <v>21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5">
        <v>0</v>
      </c>
      <c r="W62" s="195">
        <v>0</v>
      </c>
      <c r="X62" s="195">
        <v>0</v>
      </c>
      <c r="Y62" s="195">
        <v>0</v>
      </c>
      <c r="Z62" s="195">
        <v>0</v>
      </c>
      <c r="AA62" s="195">
        <v>-27</v>
      </c>
      <c r="AB62" s="195">
        <v>0</v>
      </c>
      <c r="AC62" s="195">
        <v>-27</v>
      </c>
      <c r="AD62" s="195">
        <v>0</v>
      </c>
      <c r="AE62" s="195">
        <v>0</v>
      </c>
      <c r="AF62" s="195">
        <v>0</v>
      </c>
      <c r="AG62" s="195">
        <v>0</v>
      </c>
      <c r="AH62" s="174">
        <v>0</v>
      </c>
      <c r="AI62" s="174">
        <v>0</v>
      </c>
      <c r="AK62" s="15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x14ac:dyDescent="0.2">
      <c r="A63" s="17" t="s">
        <v>208</v>
      </c>
      <c r="B63" s="174"/>
      <c r="C63" s="174"/>
      <c r="D63" s="174">
        <v>0</v>
      </c>
      <c r="E63" s="174"/>
      <c r="F63" s="174"/>
      <c r="G63" s="195"/>
      <c r="H63" s="195"/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4">
        <v>0</v>
      </c>
      <c r="O63" s="174">
        <v>0</v>
      </c>
      <c r="P63" s="174">
        <v>0</v>
      </c>
      <c r="Q63" s="174">
        <v>0</v>
      </c>
      <c r="R63" s="174">
        <v>0</v>
      </c>
      <c r="S63" s="174">
        <v>0</v>
      </c>
      <c r="T63" s="174">
        <v>0</v>
      </c>
      <c r="U63" s="174">
        <v>0</v>
      </c>
      <c r="V63" s="174">
        <v>0</v>
      </c>
      <c r="W63" s="174">
        <v>0</v>
      </c>
      <c r="X63" s="174">
        <v>0</v>
      </c>
      <c r="Y63" s="174">
        <v>0</v>
      </c>
      <c r="Z63" s="174">
        <v>0</v>
      </c>
      <c r="AA63" s="174">
        <v>0</v>
      </c>
      <c r="AB63" s="174">
        <v>0</v>
      </c>
      <c r="AC63" s="174">
        <v>0</v>
      </c>
      <c r="AD63" s="174">
        <v>0</v>
      </c>
      <c r="AE63" s="174">
        <v>0</v>
      </c>
      <c r="AF63" s="174">
        <v>0</v>
      </c>
      <c r="AG63" s="174">
        <v>50000</v>
      </c>
      <c r="AH63" s="195">
        <v>50000</v>
      </c>
      <c r="AI63" s="195">
        <v>25000</v>
      </c>
      <c r="AK63" s="15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x14ac:dyDescent="0.2">
      <c r="A64" s="17" t="s">
        <v>51</v>
      </c>
      <c r="B64" s="174">
        <v>-21.056999999999999</v>
      </c>
      <c r="C64" s="174">
        <v>-280.41699999999997</v>
      </c>
      <c r="D64" s="174">
        <v>-586.76400000000001</v>
      </c>
      <c r="E64" s="174">
        <v>-45</v>
      </c>
      <c r="F64" s="174">
        <v>-28</v>
      </c>
      <c r="G64" s="195">
        <v>0</v>
      </c>
      <c r="H64" s="195">
        <v>0</v>
      </c>
      <c r="I64" s="195">
        <v>-73</v>
      </c>
      <c r="J64" s="195">
        <v>0</v>
      </c>
      <c r="K64" s="195">
        <v>-93</v>
      </c>
      <c r="L64" s="195">
        <v>0</v>
      </c>
      <c r="M64" s="195">
        <v>0</v>
      </c>
      <c r="N64" s="195">
        <v>-93</v>
      </c>
      <c r="O64" s="195">
        <v>-34</v>
      </c>
      <c r="P64" s="195">
        <v>-1609.1011299999998</v>
      </c>
      <c r="Q64" s="195">
        <v>19</v>
      </c>
      <c r="R64" s="195">
        <v>0</v>
      </c>
      <c r="S64" s="195">
        <v>-1624</v>
      </c>
      <c r="T64" s="195">
        <v>-182</v>
      </c>
      <c r="U64" s="195">
        <v>-149</v>
      </c>
      <c r="V64" s="195">
        <v>0</v>
      </c>
      <c r="W64" s="195">
        <v>0</v>
      </c>
      <c r="X64" s="195">
        <v>-331</v>
      </c>
      <c r="Y64" s="195">
        <v>-389</v>
      </c>
      <c r="Z64" s="195">
        <v>0</v>
      </c>
      <c r="AA64" s="195">
        <v>0</v>
      </c>
      <c r="AB64" s="195">
        <v>-21229</v>
      </c>
      <c r="AC64" s="195">
        <v>-21618</v>
      </c>
      <c r="AD64" s="195">
        <v>-459</v>
      </c>
      <c r="AE64" s="195">
        <v>0</v>
      </c>
      <c r="AF64" s="195">
        <v>-2863</v>
      </c>
      <c r="AG64" s="195">
        <v>0</v>
      </c>
      <c r="AH64" s="195">
        <v>-3322</v>
      </c>
      <c r="AI64" s="195">
        <v>-397</v>
      </c>
      <c r="AK64" s="150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x14ac:dyDescent="0.2">
      <c r="A65" s="59" t="s">
        <v>93</v>
      </c>
      <c r="B65" s="194">
        <v>52890.478000000003</v>
      </c>
      <c r="C65" s="194">
        <v>1960.3030000000003</v>
      </c>
      <c r="D65" s="194">
        <v>-240.71699999999998</v>
      </c>
      <c r="E65" s="194">
        <v>-72</v>
      </c>
      <c r="F65" s="194">
        <v>123</v>
      </c>
      <c r="G65" s="193">
        <v>-11</v>
      </c>
      <c r="H65" s="193">
        <v>429.89153464973208</v>
      </c>
      <c r="I65" s="193">
        <v>469.89153464973208</v>
      </c>
      <c r="J65" s="193">
        <v>224.85157340234525</v>
      </c>
      <c r="K65" s="193">
        <v>386</v>
      </c>
      <c r="L65" s="193">
        <v>792.14842659765475</v>
      </c>
      <c r="M65" s="193">
        <v>1547</v>
      </c>
      <c r="N65" s="193">
        <v>2950</v>
      </c>
      <c r="O65" s="193">
        <v>510</v>
      </c>
      <c r="P65" s="193">
        <v>30664.124764302389</v>
      </c>
      <c r="Q65" s="193">
        <v>-7173</v>
      </c>
      <c r="R65" s="193">
        <v>865</v>
      </c>
      <c r="S65" s="193">
        <v>24866</v>
      </c>
      <c r="T65" s="193">
        <v>2275</v>
      </c>
      <c r="U65" s="193">
        <v>3802</v>
      </c>
      <c r="V65" s="193">
        <v>1201</v>
      </c>
      <c r="W65" s="193">
        <v>2627</v>
      </c>
      <c r="X65" s="193">
        <v>9905</v>
      </c>
      <c r="Y65" s="193">
        <v>555</v>
      </c>
      <c r="Z65" s="193">
        <v>725</v>
      </c>
      <c r="AA65" s="193">
        <v>1698</v>
      </c>
      <c r="AB65" s="193">
        <f t="shared" ref="AB65:AI65" si="7">SUM(AB51:AB64)</f>
        <v>-18692</v>
      </c>
      <c r="AC65" s="193">
        <f t="shared" si="7"/>
        <v>-15714</v>
      </c>
      <c r="AD65" s="193">
        <f t="shared" si="7"/>
        <v>926</v>
      </c>
      <c r="AE65" s="193">
        <f t="shared" si="7"/>
        <v>864</v>
      </c>
      <c r="AF65" s="193">
        <f t="shared" si="7"/>
        <v>-949</v>
      </c>
      <c r="AG65" s="193">
        <f t="shared" si="7"/>
        <v>52105</v>
      </c>
      <c r="AH65" s="193">
        <f t="shared" si="7"/>
        <v>52946</v>
      </c>
      <c r="AI65" s="193">
        <f t="shared" si="7"/>
        <v>31213</v>
      </c>
      <c r="AK65" s="150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x14ac:dyDescent="0.2">
      <c r="A66" s="60" t="s">
        <v>94</v>
      </c>
      <c r="B66" s="192">
        <v>-8.8030000000000008</v>
      </c>
      <c r="C66" s="192">
        <v>0</v>
      </c>
      <c r="D66" s="192">
        <v>0</v>
      </c>
      <c r="E66" s="192">
        <v>0</v>
      </c>
      <c r="F66" s="192">
        <v>0</v>
      </c>
      <c r="G66" s="191">
        <v>0</v>
      </c>
      <c r="H66" s="191">
        <v>0</v>
      </c>
      <c r="I66" s="191">
        <v>0</v>
      </c>
      <c r="J66" s="191">
        <v>0</v>
      </c>
      <c r="K66" s="191">
        <v>0</v>
      </c>
      <c r="L66" s="191">
        <v>0</v>
      </c>
      <c r="M66" s="191">
        <v>0</v>
      </c>
      <c r="N66" s="191">
        <v>0</v>
      </c>
      <c r="O66" s="191">
        <v>0</v>
      </c>
      <c r="P66" s="191">
        <v>0</v>
      </c>
      <c r="Q66" s="191">
        <v>0</v>
      </c>
      <c r="R66" s="191">
        <v>0</v>
      </c>
      <c r="S66" s="191">
        <v>0</v>
      </c>
      <c r="T66" s="191">
        <v>0</v>
      </c>
      <c r="U66" s="191">
        <v>0</v>
      </c>
      <c r="V66" s="191">
        <v>0</v>
      </c>
      <c r="W66" s="191">
        <v>0</v>
      </c>
      <c r="X66" s="191">
        <v>0</v>
      </c>
      <c r="Y66" s="191">
        <v>0</v>
      </c>
      <c r="Z66" s="191">
        <v>0</v>
      </c>
      <c r="AA66" s="191">
        <v>0</v>
      </c>
      <c r="AB66" s="191">
        <v>0</v>
      </c>
      <c r="AC66" s="191">
        <v>0</v>
      </c>
      <c r="AD66" s="191">
        <v>0</v>
      </c>
      <c r="AE66" s="191">
        <v>0</v>
      </c>
      <c r="AF66" s="191">
        <v>0</v>
      </c>
      <c r="AG66" s="191">
        <v>0</v>
      </c>
      <c r="AH66" s="191">
        <v>0</v>
      </c>
      <c r="AI66" s="191">
        <v>0</v>
      </c>
      <c r="AK66" s="150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x14ac:dyDescent="0.2">
      <c r="A67" s="19" t="s">
        <v>22</v>
      </c>
      <c r="B67" s="187"/>
      <c r="C67" s="187"/>
      <c r="D67" s="187"/>
      <c r="E67" s="187"/>
      <c r="F67" s="187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K67" s="150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x14ac:dyDescent="0.2">
      <c r="A68" s="58" t="s">
        <v>89</v>
      </c>
      <c r="B68" s="168">
        <v>52881.675000000003</v>
      </c>
      <c r="C68" s="168">
        <v>1960.3030000000003</v>
      </c>
      <c r="D68" s="168">
        <v>-240.71699999999998</v>
      </c>
      <c r="E68" s="168">
        <v>-72</v>
      </c>
      <c r="F68" s="168">
        <v>123</v>
      </c>
      <c r="G68" s="189">
        <v>-11</v>
      </c>
      <c r="H68" s="189">
        <v>429.89153464973208</v>
      </c>
      <c r="I68" s="189">
        <v>469.89153464973208</v>
      </c>
      <c r="J68" s="189">
        <v>224.85157340234525</v>
      </c>
      <c r="K68" s="189">
        <v>386</v>
      </c>
      <c r="L68" s="189">
        <v>792.14842659765475</v>
      </c>
      <c r="M68" s="189">
        <v>1547</v>
      </c>
      <c r="N68" s="189">
        <v>2950</v>
      </c>
      <c r="O68" s="189">
        <v>510</v>
      </c>
      <c r="P68" s="189">
        <v>30664.124764302389</v>
      </c>
      <c r="Q68" s="189">
        <v>-7173</v>
      </c>
      <c r="R68" s="189">
        <v>865</v>
      </c>
      <c r="S68" s="189">
        <v>24866</v>
      </c>
      <c r="T68" s="189">
        <v>2275</v>
      </c>
      <c r="U68" s="189">
        <v>3802</v>
      </c>
      <c r="V68" s="189">
        <v>1201</v>
      </c>
      <c r="W68" s="189">
        <v>2627</v>
      </c>
      <c r="X68" s="189">
        <v>9905</v>
      </c>
      <c r="Y68" s="189">
        <v>555</v>
      </c>
      <c r="Z68" s="189">
        <f t="shared" ref="Z68:AC68" si="8">SUM(Z65:Z66)</f>
        <v>725</v>
      </c>
      <c r="AA68" s="189">
        <f t="shared" si="8"/>
        <v>1698</v>
      </c>
      <c r="AB68" s="189">
        <f t="shared" si="8"/>
        <v>-18692</v>
      </c>
      <c r="AC68" s="189">
        <f t="shared" si="8"/>
        <v>-15714</v>
      </c>
      <c r="AD68" s="189">
        <f t="shared" ref="AD68:AH68" si="9">SUM(AD65:AD66)</f>
        <v>926</v>
      </c>
      <c r="AE68" s="189">
        <f t="shared" si="9"/>
        <v>864</v>
      </c>
      <c r="AF68" s="189">
        <f t="shared" si="9"/>
        <v>-949</v>
      </c>
      <c r="AG68" s="189">
        <f t="shared" si="9"/>
        <v>52105</v>
      </c>
      <c r="AH68" s="189">
        <f t="shared" si="9"/>
        <v>52946</v>
      </c>
      <c r="AI68" s="189">
        <f t="shared" ref="AI68" si="10">SUM(AI65:AI66)</f>
        <v>31213</v>
      </c>
      <c r="AK68" s="150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x14ac:dyDescent="0.2">
      <c r="A69" s="18"/>
      <c r="B69" s="169"/>
      <c r="C69" s="169"/>
      <c r="D69" s="169"/>
      <c r="E69" s="169"/>
      <c r="F69" s="169"/>
      <c r="G69" s="188"/>
      <c r="H69" s="188"/>
      <c r="I69" s="188"/>
      <c r="J69" s="188"/>
      <c r="U69" s="150"/>
      <c r="V69" s="150"/>
      <c r="AK69" s="150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x14ac:dyDescent="0.2">
      <c r="A70" s="18" t="s">
        <v>66</v>
      </c>
      <c r="B70" s="169">
        <v>457.14400000000001</v>
      </c>
      <c r="C70" s="169">
        <v>423.22699999999998</v>
      </c>
      <c r="D70" s="169">
        <v>-8177.6779999999999</v>
      </c>
      <c r="E70" s="169">
        <v>-702</v>
      </c>
      <c r="F70" s="169">
        <v>1351</v>
      </c>
      <c r="G70" s="188">
        <v>294</v>
      </c>
      <c r="H70" s="188">
        <v>264</v>
      </c>
      <c r="I70" s="188">
        <v>1207</v>
      </c>
      <c r="J70" s="188">
        <v>315.09252903438556</v>
      </c>
      <c r="K70" s="188">
        <v>-642.23783056525224</v>
      </c>
      <c r="L70" s="188">
        <v>880.14530153086662</v>
      </c>
      <c r="M70" s="188">
        <v>-70</v>
      </c>
      <c r="N70" s="188">
        <v>483</v>
      </c>
      <c r="O70" s="188">
        <v>329</v>
      </c>
      <c r="P70" s="188">
        <v>63.285898493904483</v>
      </c>
      <c r="Q70" s="188">
        <v>-2468</v>
      </c>
      <c r="R70" s="188">
        <v>-2062</v>
      </c>
      <c r="S70" s="188">
        <v>-4138</v>
      </c>
      <c r="T70" s="188">
        <v>1679.6</v>
      </c>
      <c r="U70" s="188">
        <v>-2912.6</v>
      </c>
      <c r="V70" s="188">
        <v>2781</v>
      </c>
      <c r="W70" s="188">
        <v>-1757</v>
      </c>
      <c r="X70" s="188">
        <v>-209</v>
      </c>
      <c r="Y70" s="188">
        <v>-63</v>
      </c>
      <c r="Z70" s="188">
        <v>-3737</v>
      </c>
      <c r="AA70" s="188">
        <v>-458</v>
      </c>
      <c r="AB70" s="188">
        <v>-257</v>
      </c>
      <c r="AC70" s="188">
        <v>-4515</v>
      </c>
      <c r="AD70" s="188">
        <v>1420</v>
      </c>
      <c r="AE70" s="188">
        <v>-46</v>
      </c>
      <c r="AF70" s="188">
        <v>-2536</v>
      </c>
      <c r="AG70" s="249">
        <v>-1747</v>
      </c>
      <c r="AH70" s="188">
        <v>-2909</v>
      </c>
      <c r="AI70" s="188">
        <v>-350</v>
      </c>
      <c r="AK70" s="150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x14ac:dyDescent="0.2">
      <c r="A71" s="19" t="s">
        <v>22</v>
      </c>
      <c r="B71" s="169"/>
      <c r="C71" s="169"/>
      <c r="D71" s="169"/>
      <c r="E71" s="169"/>
      <c r="F71" s="169"/>
      <c r="G71" s="169"/>
      <c r="H71" s="169"/>
      <c r="I71" s="169"/>
      <c r="J71" s="169"/>
      <c r="AK71" s="150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x14ac:dyDescent="0.2">
      <c r="A72" s="15" t="s">
        <v>141</v>
      </c>
      <c r="B72" s="187">
        <v>61125.470999999998</v>
      </c>
      <c r="C72" s="187">
        <v>16843.631000000001</v>
      </c>
      <c r="D72" s="187">
        <v>9964.32</v>
      </c>
      <c r="E72" s="187">
        <v>-5579</v>
      </c>
      <c r="F72" s="187">
        <v>7696</v>
      </c>
      <c r="G72" s="187">
        <v>3219</v>
      </c>
      <c r="H72" s="187">
        <v>14705.095539584428</v>
      </c>
      <c r="I72" s="187">
        <v>20041.095539584428</v>
      </c>
      <c r="J72" s="187">
        <v>-32975.373856960621</v>
      </c>
      <c r="K72" s="187">
        <v>-10402.023650565254</v>
      </c>
      <c r="L72" s="187">
        <v>13770.397507525884</v>
      </c>
      <c r="M72" s="187">
        <v>8573.9999999999982</v>
      </c>
      <c r="N72" s="187">
        <v>-21033</v>
      </c>
      <c r="O72" s="187">
        <v>1361</v>
      </c>
      <c r="P72" s="187">
        <v>-33188.409568695068</v>
      </c>
      <c r="Q72" s="187">
        <v>-6479</v>
      </c>
      <c r="R72" s="187">
        <v>9517</v>
      </c>
      <c r="S72" s="187">
        <v>-28789</v>
      </c>
      <c r="T72" s="187">
        <v>-121.40000000000009</v>
      </c>
      <c r="U72" s="187">
        <v>12248.4</v>
      </c>
      <c r="V72" s="187">
        <v>24059</v>
      </c>
      <c r="W72" s="187">
        <v>-15542</v>
      </c>
      <c r="X72" s="187">
        <v>20644</v>
      </c>
      <c r="Y72" s="187">
        <v>-730</v>
      </c>
      <c r="Z72" s="187">
        <f>Z68+Z48+Z36+Z70</f>
        <v>12262</v>
      </c>
      <c r="AA72" s="187">
        <f>AA68+AA48+AA36+AA70</f>
        <v>17824</v>
      </c>
      <c r="AB72" s="187">
        <f>AB68+AB48+AB36+AB70</f>
        <v>15672</v>
      </c>
      <c r="AC72" s="187">
        <f>AC68+AC48+AC36+AC70</f>
        <v>45028</v>
      </c>
      <c r="AD72" s="187">
        <v>-4373</v>
      </c>
      <c r="AE72" s="187">
        <v>17244</v>
      </c>
      <c r="AF72" s="187">
        <v>491</v>
      </c>
      <c r="AG72" s="187">
        <v>15072</v>
      </c>
      <c r="AH72" s="187">
        <f>AH68+AH48+AH36+AH70</f>
        <v>28434</v>
      </c>
      <c r="AI72" s="187">
        <f>AI68+AI48+AI36+AI70</f>
        <v>-25180.181858416716</v>
      </c>
      <c r="AK72" s="150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x14ac:dyDescent="0.2">
      <c r="A73" s="41" t="s">
        <v>142</v>
      </c>
      <c r="B73" s="174">
        <v>24240.632000000001</v>
      </c>
      <c r="C73" s="174">
        <v>85366.103000000003</v>
      </c>
      <c r="D73" s="174">
        <v>102209.734</v>
      </c>
      <c r="E73" s="174">
        <v>112174</v>
      </c>
      <c r="F73" s="174">
        <v>106595</v>
      </c>
      <c r="G73" s="174">
        <v>114291</v>
      </c>
      <c r="H73" s="174">
        <v>117510</v>
      </c>
      <c r="I73" s="174">
        <v>112174.05391000003</v>
      </c>
      <c r="J73" s="174">
        <v>132215.14944958445</v>
      </c>
      <c r="K73" s="174">
        <v>99239.775592623831</v>
      </c>
      <c r="L73" s="174">
        <v>88837.751942058574</v>
      </c>
      <c r="M73" s="174">
        <v>102608.14944958445</v>
      </c>
      <c r="N73" s="174">
        <v>132215.14944958445</v>
      </c>
      <c r="O73" s="174">
        <v>111182</v>
      </c>
      <c r="P73" s="174">
        <v>112543</v>
      </c>
      <c r="Q73" s="174">
        <v>79354.59043130494</v>
      </c>
      <c r="R73" s="174">
        <v>72875.59043130494</v>
      </c>
      <c r="S73" s="174">
        <v>111182.14944958445</v>
      </c>
      <c r="T73" s="174">
        <v>82393</v>
      </c>
      <c r="U73" s="174">
        <v>82271.600000000006</v>
      </c>
      <c r="V73" s="174">
        <v>94520</v>
      </c>
      <c r="W73" s="174">
        <v>118579</v>
      </c>
      <c r="X73" s="174">
        <v>82393.149449584453</v>
      </c>
      <c r="Y73" s="174">
        <v>103037.14944958445</v>
      </c>
      <c r="Z73" s="174">
        <v>102307.14944958445</v>
      </c>
      <c r="AA73" s="174">
        <v>114569.14944958445</v>
      </c>
      <c r="AB73" s="174">
        <f>AA74</f>
        <v>132393.14944958445</v>
      </c>
      <c r="AC73" s="174">
        <f>X74</f>
        <v>103037.14944958445</v>
      </c>
      <c r="AD73" s="174">
        <v>148065.14944958445</v>
      </c>
      <c r="AE73" s="174">
        <v>143692.14944958445</v>
      </c>
      <c r="AF73" s="174">
        <v>160936.14944958445</v>
      </c>
      <c r="AG73" s="174">
        <v>161427.14944958445</v>
      </c>
      <c r="AH73" s="174">
        <f>AC74</f>
        <v>148065.14944958445</v>
      </c>
      <c r="AI73" s="174">
        <f>ROUND($AH$74,0)</f>
        <v>176499</v>
      </c>
      <c r="AK73" s="150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x14ac:dyDescent="0.2">
      <c r="A74" s="41" t="s">
        <v>52</v>
      </c>
      <c r="B74" s="174">
        <v>85366.103000000003</v>
      </c>
      <c r="C74" s="174">
        <v>102209.734</v>
      </c>
      <c r="D74" s="174">
        <v>112174.054</v>
      </c>
      <c r="E74" s="174">
        <v>106595</v>
      </c>
      <c r="F74" s="174">
        <v>114291</v>
      </c>
      <c r="G74" s="174">
        <v>117510</v>
      </c>
      <c r="H74" s="174">
        <v>132215.09553958444</v>
      </c>
      <c r="I74" s="174">
        <v>132215.14944958445</v>
      </c>
      <c r="J74" s="174">
        <v>99239.775592623831</v>
      </c>
      <c r="K74" s="174">
        <v>88837.751942058574</v>
      </c>
      <c r="L74" s="174">
        <v>102608.14944958445</v>
      </c>
      <c r="M74" s="174">
        <v>111182.14944958445</v>
      </c>
      <c r="N74" s="174">
        <v>111182.14944958445</v>
      </c>
      <c r="O74" s="174">
        <v>112543</v>
      </c>
      <c r="P74" s="174">
        <v>79354.59043130494</v>
      </c>
      <c r="Q74" s="174">
        <v>72875.59043130494</v>
      </c>
      <c r="R74" s="174">
        <v>82392.59043130494</v>
      </c>
      <c r="S74" s="174">
        <v>82393.149449584453</v>
      </c>
      <c r="T74" s="174">
        <v>82271.600000000006</v>
      </c>
      <c r="U74" s="174">
        <v>94520</v>
      </c>
      <c r="V74" s="174">
        <v>118579</v>
      </c>
      <c r="W74" s="174">
        <v>103037</v>
      </c>
      <c r="X74" s="174">
        <v>103037.14944958445</v>
      </c>
      <c r="Y74" s="174">
        <v>102307.14944958445</v>
      </c>
      <c r="Z74" s="174">
        <v>114569.14944958445</v>
      </c>
      <c r="AA74" s="174">
        <v>132393.14944958445</v>
      </c>
      <c r="AB74" s="174">
        <f t="shared" ref="AB74:AC74" si="11">SUM(AB72:AB73)</f>
        <v>148065.14944958445</v>
      </c>
      <c r="AC74" s="174">
        <f t="shared" si="11"/>
        <v>148065.14944958445</v>
      </c>
      <c r="AD74" s="174">
        <v>143692.14944958445</v>
      </c>
      <c r="AE74" s="174">
        <v>160936.14944958445</v>
      </c>
      <c r="AF74" s="174">
        <v>161427.14944958445</v>
      </c>
      <c r="AG74" s="174">
        <v>176499.14944958445</v>
      </c>
      <c r="AH74" s="174">
        <f t="shared" ref="AH74" si="12">SUM(AH72:AH73)</f>
        <v>176499.14944958445</v>
      </c>
      <c r="AI74" s="174">
        <f>SUM(AI72:AI73)</f>
        <v>151318.8181415833</v>
      </c>
      <c r="AK74" s="150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x14ac:dyDescent="0.2">
      <c r="A75" s="18" t="s">
        <v>143</v>
      </c>
      <c r="B75" s="174">
        <v>-619.71</v>
      </c>
      <c r="C75" s="174">
        <v>-803.84500000000003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4">
        <v>0</v>
      </c>
      <c r="O75" s="174">
        <v>0</v>
      </c>
      <c r="P75" s="174">
        <v>0</v>
      </c>
      <c r="Q75" s="174">
        <v>0</v>
      </c>
      <c r="R75" s="174">
        <v>0</v>
      </c>
      <c r="S75" s="174">
        <v>0</v>
      </c>
      <c r="T75" s="174">
        <v>0</v>
      </c>
      <c r="U75" s="174">
        <v>0</v>
      </c>
      <c r="V75" s="174">
        <v>0</v>
      </c>
      <c r="W75" s="174">
        <v>0</v>
      </c>
      <c r="X75" s="174">
        <v>0</v>
      </c>
      <c r="Y75" s="174">
        <v>0</v>
      </c>
      <c r="Z75" s="174">
        <v>0</v>
      </c>
      <c r="AA75" s="174">
        <v>0</v>
      </c>
      <c r="AB75" s="174">
        <v>0</v>
      </c>
      <c r="AC75" s="174">
        <v>0</v>
      </c>
      <c r="AD75" s="174">
        <v>0</v>
      </c>
      <c r="AE75" s="174">
        <v>0</v>
      </c>
      <c r="AF75" s="174">
        <v>0</v>
      </c>
      <c r="AG75" s="174">
        <v>0</v>
      </c>
      <c r="AH75" s="174">
        <v>0</v>
      </c>
      <c r="AI75" s="174">
        <v>0</v>
      </c>
      <c r="AK75" s="150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x14ac:dyDescent="0.2">
      <c r="A76" s="58" t="s">
        <v>90</v>
      </c>
      <c r="B76" s="168">
        <v>84746.392999999996</v>
      </c>
      <c r="C76" s="168">
        <v>101405.889</v>
      </c>
      <c r="D76" s="168">
        <v>112174.054</v>
      </c>
      <c r="E76" s="168">
        <v>106595</v>
      </c>
      <c r="F76" s="168">
        <v>114291</v>
      </c>
      <c r="G76" s="168">
        <v>117510</v>
      </c>
      <c r="H76" s="168">
        <v>132215.09553958444</v>
      </c>
      <c r="I76" s="168">
        <v>132215.14944958445</v>
      </c>
      <c r="J76" s="168">
        <v>99239.775592623831</v>
      </c>
      <c r="K76" s="168">
        <v>88837.751942058574</v>
      </c>
      <c r="L76" s="168">
        <v>102608.14944958445</v>
      </c>
      <c r="M76" s="168">
        <v>111182.14944958445</v>
      </c>
      <c r="N76" s="168">
        <v>111182.14944958445</v>
      </c>
      <c r="O76" s="168">
        <v>112543</v>
      </c>
      <c r="P76" s="168">
        <v>79354.59043130494</v>
      </c>
      <c r="Q76" s="168">
        <v>72875.59043130494</v>
      </c>
      <c r="R76" s="168">
        <v>82392.59043130494</v>
      </c>
      <c r="S76" s="168">
        <v>82393.149449584453</v>
      </c>
      <c r="T76" s="168">
        <v>82271.600000000006</v>
      </c>
      <c r="U76" s="168">
        <v>94520</v>
      </c>
      <c r="V76" s="168">
        <v>118579</v>
      </c>
      <c r="W76" s="168">
        <v>103037</v>
      </c>
      <c r="X76" s="168">
        <v>103037.14944958445</v>
      </c>
      <c r="Y76" s="168">
        <v>102307.14944958445</v>
      </c>
      <c r="Z76" s="168">
        <v>114569.14944958445</v>
      </c>
      <c r="AA76" s="168">
        <v>132393.14944958445</v>
      </c>
      <c r="AB76" s="168">
        <f t="shared" ref="AB76:AH76" si="13">SUM(AB74:AB75)</f>
        <v>148065.14944958445</v>
      </c>
      <c r="AC76" s="168">
        <f t="shared" si="13"/>
        <v>148065.14944958445</v>
      </c>
      <c r="AD76" s="168">
        <f t="shared" si="13"/>
        <v>143692.14944958445</v>
      </c>
      <c r="AE76" s="168">
        <f t="shared" si="13"/>
        <v>160936.14944958445</v>
      </c>
      <c r="AF76" s="168">
        <f t="shared" si="13"/>
        <v>161427.14944958445</v>
      </c>
      <c r="AG76" s="168">
        <f t="shared" si="13"/>
        <v>176499.14944958445</v>
      </c>
      <c r="AH76" s="168">
        <f t="shared" si="13"/>
        <v>176499.14944958445</v>
      </c>
      <c r="AI76" s="168">
        <f t="shared" ref="AI76" si="14">SUM(AI74:AI75)</f>
        <v>151318.8181415833</v>
      </c>
      <c r="AK76" s="150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hidden="1" x14ac:dyDescent="0.2">
      <c r="A77" s="18"/>
      <c r="B77" s="167"/>
      <c r="C77" s="167"/>
      <c r="D77" s="167"/>
      <c r="E77" s="167"/>
      <c r="F77" s="167"/>
      <c r="G77" s="63"/>
      <c r="H77" s="63"/>
      <c r="I77" s="63"/>
      <c r="J77" s="63"/>
      <c r="Y77" s="150"/>
      <c r="Z77" s="150">
        <v>0.1494495844526682</v>
      </c>
      <c r="AA77" s="150">
        <v>0.1494495844526682</v>
      </c>
      <c r="AB77" s="150">
        <v>0.1494495844526682</v>
      </c>
      <c r="AC77" s="150">
        <v>0.1494495844526682</v>
      </c>
      <c r="AD77" s="150"/>
      <c r="AE77" s="150"/>
      <c r="AF77" s="150"/>
      <c r="AG77" s="150"/>
      <c r="AH77" s="150"/>
      <c r="AI77" s="150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x14ac:dyDescent="0.2">
      <c r="E78" s="39"/>
      <c r="J78" s="150"/>
      <c r="V78" s="150"/>
      <c r="AA78" s="150"/>
      <c r="AB78" s="150"/>
      <c r="AD78" s="150"/>
      <c r="AE78" s="150"/>
      <c r="AF78" s="150"/>
      <c r="AG78" s="150"/>
      <c r="AH78" s="150"/>
      <c r="AI78" s="150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80" spans="1:77" x14ac:dyDescent="0.2">
      <c r="V80" s="150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</sheetData>
  <phoneticPr fontId="22" type="noConversion"/>
  <pageMargins left="0.38" right="0.36" top="0.39" bottom="0.46" header="0.3" footer="0.3"/>
  <pageSetup paperSize="5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82"/>
  <sheetViews>
    <sheetView showGridLines="0" tabSelected="1" view="pageBreakPreview" zoomScale="85" zoomScaleNormal="85" zoomScaleSheetLayoutView="85" workbookViewId="0">
      <pane xSplit="2" ySplit="4" topLeftCell="Y35" activePane="bottomRight" state="frozen"/>
      <selection activeCell="I106" sqref="I106"/>
      <selection pane="topRight" activeCell="I106" sqref="I106"/>
      <selection pane="bottomLeft" activeCell="I106" sqref="I106"/>
      <selection pane="bottomRight" activeCell="AJ34" sqref="AJ34"/>
    </sheetView>
  </sheetViews>
  <sheetFormatPr defaultRowHeight="12.75" outlineLevelCol="2" x14ac:dyDescent="0.2"/>
  <cols>
    <col min="1" max="1" width="2.42578125" style="8" customWidth="1"/>
    <col min="2" max="2" width="44.140625" style="2" customWidth="1"/>
    <col min="3" max="3" width="9" style="2" hidden="1" customWidth="1" outlineLevel="2"/>
    <col min="4" max="4" width="11.140625" style="2" hidden="1" customWidth="1" outlineLevel="1" collapsed="1"/>
    <col min="5" max="5" width="12.140625" style="2" hidden="1" customWidth="1" outlineLevel="1"/>
    <col min="6" max="9" width="8.85546875" style="2" hidden="1" customWidth="1" outlineLevel="2"/>
    <col min="10" max="10" width="12.140625" style="2" bestFit="1" customWidth="1" collapsed="1"/>
    <col min="11" max="11" width="8.85546875" style="2" hidden="1" customWidth="1" outlineLevel="1"/>
    <col min="12" max="13" width="9" style="2" hidden="1" customWidth="1" outlineLevel="1"/>
    <col min="14" max="14" width="9" style="26" hidden="1" customWidth="1" outlineLevel="1"/>
    <col min="15" max="15" width="12.140625" style="26" bestFit="1" customWidth="1" collapsed="1"/>
    <col min="16" max="18" width="8.85546875" style="2" hidden="1" customWidth="1" outlineLevel="1"/>
    <col min="19" max="19" width="8.85546875" style="26" hidden="1" customWidth="1" outlineLevel="1"/>
    <col min="20" max="20" width="10.5703125" style="26" customWidth="1" collapsed="1"/>
    <col min="21" max="22" width="9.140625" style="61" hidden="1" customWidth="1" outlineLevel="1"/>
    <col min="23" max="23" width="10" style="61" hidden="1" customWidth="1" outlineLevel="1"/>
    <col min="24" max="24" width="10" style="26" hidden="1" customWidth="1" outlineLevel="1"/>
    <col min="25" max="25" width="10.5703125" style="26" customWidth="1" collapsed="1"/>
    <col min="26" max="27" width="10.5703125" style="61" hidden="1" customWidth="1" outlineLevel="1"/>
    <col min="28" max="28" width="10.7109375" style="61" hidden="1" customWidth="1" outlineLevel="1"/>
    <col min="29" max="29" width="10" style="26" hidden="1" customWidth="1" outlineLevel="1"/>
    <col min="30" max="30" width="10.5703125" style="26" customWidth="1" collapsed="1"/>
    <col min="31" max="34" width="10" style="26" customWidth="1" outlineLevel="1"/>
    <col min="35" max="35" width="10.5703125" style="26" customWidth="1"/>
    <col min="36" max="39" width="10" style="26" customWidth="1" outlineLevel="1"/>
    <col min="40" max="40" width="10.5703125" style="26" customWidth="1"/>
    <col min="41" max="41" width="10" style="26" customWidth="1" outlineLevel="1"/>
    <col min="42" max="42" width="12.42578125" style="2" bestFit="1" customWidth="1"/>
    <col min="43" max="16384" width="9.140625" style="2"/>
  </cols>
  <sheetData>
    <row r="2" spans="1:256" x14ac:dyDescent="0.2">
      <c r="Z2" s="26"/>
      <c r="AA2" s="26"/>
      <c r="AB2" s="26"/>
      <c r="AP2" s="26"/>
      <c r="AQ2" s="26"/>
      <c r="AR2" s="26"/>
      <c r="AS2" s="26"/>
      <c r="AT2" s="26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ht="23.25" customHeight="1" x14ac:dyDescent="0.2">
      <c r="A3" s="62"/>
      <c r="B3" s="61"/>
      <c r="C3" s="7">
        <v>2005</v>
      </c>
      <c r="D3" s="7">
        <v>2006</v>
      </c>
      <c r="E3" s="7">
        <v>2007</v>
      </c>
      <c r="G3" s="7"/>
      <c r="H3" s="7"/>
      <c r="I3" s="7"/>
      <c r="J3" s="7">
        <v>2008</v>
      </c>
      <c r="K3" s="278">
        <v>2009</v>
      </c>
      <c r="L3" s="278"/>
      <c r="M3" s="278"/>
      <c r="N3" s="278"/>
      <c r="O3" s="278"/>
      <c r="P3" s="278">
        <v>2010</v>
      </c>
      <c r="Q3" s="278"/>
      <c r="R3" s="278"/>
      <c r="S3" s="278"/>
      <c r="T3" s="278"/>
      <c r="U3" s="278">
        <v>2011</v>
      </c>
      <c r="V3" s="278"/>
      <c r="W3" s="278"/>
      <c r="X3" s="278"/>
      <c r="Y3" s="278"/>
      <c r="Z3" s="279">
        <v>2012</v>
      </c>
      <c r="AA3" s="279"/>
      <c r="AB3" s="280"/>
      <c r="AD3" s="239">
        <v>2012</v>
      </c>
      <c r="AI3" s="239">
        <v>2013</v>
      </c>
      <c r="AN3" s="244">
        <v>2014</v>
      </c>
      <c r="AO3" s="257">
        <v>2015</v>
      </c>
      <c r="AP3" s="26"/>
      <c r="AQ3" s="26"/>
      <c r="AR3" s="26"/>
      <c r="AS3" s="26"/>
      <c r="AT3" s="26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x14ac:dyDescent="0.2">
      <c r="A4" s="62"/>
      <c r="B4" s="61"/>
      <c r="C4" s="7" t="s">
        <v>14</v>
      </c>
      <c r="D4" s="7" t="s">
        <v>14</v>
      </c>
      <c r="E4" s="7" t="s">
        <v>14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10</v>
      </c>
      <c r="L4" s="7" t="s">
        <v>11</v>
      </c>
      <c r="M4" s="7" t="s">
        <v>12</v>
      </c>
      <c r="N4" s="135" t="s">
        <v>13</v>
      </c>
      <c r="O4" s="135" t="s">
        <v>14</v>
      </c>
      <c r="P4" s="7" t="s">
        <v>10</v>
      </c>
      <c r="Q4" s="7" t="s">
        <v>11</v>
      </c>
      <c r="R4" s="7" t="s">
        <v>12</v>
      </c>
      <c r="S4" s="135" t="s">
        <v>13</v>
      </c>
      <c r="T4" s="135" t="s">
        <v>14</v>
      </c>
      <c r="U4" s="7" t="s">
        <v>10</v>
      </c>
      <c r="V4" s="7" t="s">
        <v>11</v>
      </c>
      <c r="W4" s="7" t="s">
        <v>12</v>
      </c>
      <c r="X4" s="135" t="s">
        <v>13</v>
      </c>
      <c r="Y4" s="135" t="s">
        <v>14</v>
      </c>
      <c r="Z4" s="7" t="s">
        <v>10</v>
      </c>
      <c r="AA4" s="7" t="s">
        <v>11</v>
      </c>
      <c r="AB4" s="7" t="s">
        <v>12</v>
      </c>
      <c r="AC4" s="135" t="s">
        <v>13</v>
      </c>
      <c r="AD4" s="135" t="s">
        <v>14</v>
      </c>
      <c r="AE4" s="135" t="s">
        <v>10</v>
      </c>
      <c r="AF4" s="135" t="s">
        <v>11</v>
      </c>
      <c r="AG4" s="135" t="s">
        <v>12</v>
      </c>
      <c r="AH4" s="135" t="s">
        <v>13</v>
      </c>
      <c r="AI4" s="135" t="s">
        <v>14</v>
      </c>
      <c r="AJ4" s="135" t="s">
        <v>10</v>
      </c>
      <c r="AK4" s="135" t="s">
        <v>11</v>
      </c>
      <c r="AL4" s="135" t="s">
        <v>12</v>
      </c>
      <c r="AM4" s="135" t="s">
        <v>13</v>
      </c>
      <c r="AN4" s="135" t="s">
        <v>14</v>
      </c>
      <c r="AO4" s="135" t="s">
        <v>10</v>
      </c>
      <c r="AP4" s="26"/>
      <c r="AQ4" s="26"/>
      <c r="AR4" s="26"/>
      <c r="AS4" s="26"/>
      <c r="AT4" s="26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x14ac:dyDescent="0.2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36"/>
      <c r="O5" s="136"/>
      <c r="P5" s="61"/>
      <c r="Q5" s="61"/>
      <c r="R5" s="61"/>
      <c r="S5" s="136"/>
      <c r="T5" s="136"/>
      <c r="X5" s="136"/>
      <c r="Y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26"/>
      <c r="AQ5" s="26"/>
      <c r="AR5" s="26"/>
      <c r="AS5" s="26"/>
      <c r="AT5" s="26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pans="1:256" s="92" customFormat="1" x14ac:dyDescent="0.2">
      <c r="A6" s="118"/>
      <c r="B6" s="92" t="s">
        <v>0</v>
      </c>
      <c r="C6" s="111">
        <v>4293</v>
      </c>
      <c r="D6" s="111">
        <v>6782</v>
      </c>
      <c r="E6" s="93">
        <v>8482</v>
      </c>
      <c r="F6" s="93">
        <v>8967</v>
      </c>
      <c r="G6" s="93">
        <v>8979</v>
      </c>
      <c r="H6" s="93">
        <v>9105</v>
      </c>
      <c r="I6" s="93">
        <v>9531</v>
      </c>
      <c r="J6" s="119">
        <f>I6</f>
        <v>9531</v>
      </c>
      <c r="K6" s="119">
        <v>9563</v>
      </c>
      <c r="L6" s="93">
        <v>9432</v>
      </c>
      <c r="M6" s="93">
        <v>10493</v>
      </c>
      <c r="N6" s="111">
        <v>10736</v>
      </c>
      <c r="O6" s="111">
        <f>N6</f>
        <v>10736</v>
      </c>
      <c r="P6" s="119">
        <v>11769</v>
      </c>
      <c r="Q6" s="93">
        <v>12224</v>
      </c>
      <c r="R6" s="93">
        <v>12205</v>
      </c>
      <c r="S6" s="111">
        <v>12686</v>
      </c>
      <c r="T6" s="111">
        <f>S6</f>
        <v>12686</v>
      </c>
      <c r="U6" s="111">
        <v>13030</v>
      </c>
      <c r="V6" s="111">
        <v>17388</v>
      </c>
      <c r="W6" s="111">
        <v>17853</v>
      </c>
      <c r="X6" s="111">
        <v>18884</v>
      </c>
      <c r="Y6" s="111">
        <v>18884</v>
      </c>
      <c r="Z6" s="111">
        <v>19164</v>
      </c>
      <c r="AA6" s="111">
        <v>19468</v>
      </c>
      <c r="AB6" s="111">
        <v>20095</v>
      </c>
      <c r="AC6" s="111">
        <v>21049</v>
      </c>
      <c r="AD6" s="111">
        <v>21049</v>
      </c>
      <c r="AE6" s="111">
        <v>21356</v>
      </c>
      <c r="AF6" s="111">
        <v>21556</v>
      </c>
      <c r="AG6" s="111">
        <v>21372</v>
      </c>
      <c r="AH6" s="111">
        <v>22208</v>
      </c>
      <c r="AI6" s="111">
        <f>AH6</f>
        <v>22208</v>
      </c>
      <c r="AJ6" s="111">
        <v>22803</v>
      </c>
      <c r="AK6" s="111">
        <v>23071</v>
      </c>
      <c r="AL6" s="111">
        <v>23050</v>
      </c>
      <c r="AM6" s="111">
        <v>22822</v>
      </c>
      <c r="AN6" s="111">
        <f>AM6</f>
        <v>22822</v>
      </c>
      <c r="AO6" s="111">
        <f>22553+65</f>
        <v>22618</v>
      </c>
      <c r="AP6" s="26"/>
      <c r="AQ6" s="250"/>
      <c r="AR6" s="26"/>
      <c r="AS6" s="26"/>
      <c r="AT6" s="26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spans="1:256" s="9" customFormat="1" x14ac:dyDescent="0.2">
      <c r="A7" s="7"/>
      <c r="B7" s="1"/>
      <c r="C7" s="1"/>
      <c r="D7" s="1"/>
      <c r="E7" s="64"/>
      <c r="F7" s="64"/>
      <c r="G7" s="64"/>
      <c r="H7" s="64"/>
      <c r="I7" s="64"/>
      <c r="J7" s="1"/>
      <c r="K7" s="64"/>
      <c r="L7" s="64"/>
      <c r="M7" s="64"/>
      <c r="N7" s="137"/>
      <c r="O7" s="137"/>
      <c r="P7" s="64"/>
      <c r="Q7" s="64"/>
      <c r="R7" s="64"/>
      <c r="S7" s="137"/>
      <c r="T7" s="137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6"/>
      <c r="AQ7" s="250"/>
      <c r="AR7" s="26"/>
      <c r="AS7" s="26"/>
      <c r="AT7" s="26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s="94" customFormat="1" x14ac:dyDescent="0.2">
      <c r="A8" s="118"/>
      <c r="B8" s="92" t="s">
        <v>95</v>
      </c>
      <c r="C8" s="93">
        <v>3311</v>
      </c>
      <c r="D8" s="93">
        <v>4562</v>
      </c>
      <c r="E8" s="93">
        <v>6365</v>
      </c>
      <c r="F8" s="93">
        <v>6405</v>
      </c>
      <c r="G8" s="93">
        <v>7374</v>
      </c>
      <c r="H8" s="93">
        <v>7384</v>
      </c>
      <c r="I8" s="93">
        <v>7693</v>
      </c>
      <c r="J8" s="93">
        <v>7693</v>
      </c>
      <c r="K8" s="93">
        <v>7552</v>
      </c>
      <c r="L8" s="93">
        <v>8060</v>
      </c>
      <c r="M8" s="111">
        <v>8384</v>
      </c>
      <c r="N8" s="111">
        <v>8483</v>
      </c>
      <c r="O8" s="111">
        <f>N8</f>
        <v>8483</v>
      </c>
      <c r="P8" s="111">
        <v>9259</v>
      </c>
      <c r="Q8" s="93">
        <v>9279</v>
      </c>
      <c r="R8" s="111">
        <v>9378</v>
      </c>
      <c r="S8" s="111">
        <v>10407</v>
      </c>
      <c r="T8" s="111">
        <v>10407</v>
      </c>
      <c r="U8" s="166">
        <v>10580</v>
      </c>
      <c r="V8" s="166">
        <v>15343</v>
      </c>
      <c r="W8" s="166">
        <v>16085</v>
      </c>
      <c r="X8" s="111">
        <v>17688</v>
      </c>
      <c r="Y8" s="111">
        <v>17688</v>
      </c>
      <c r="Z8" s="166">
        <v>18287</v>
      </c>
      <c r="AA8" s="166">
        <v>18753</v>
      </c>
      <c r="AB8" s="166">
        <f>18712</f>
        <v>18712</v>
      </c>
      <c r="AC8" s="111">
        <v>18757</v>
      </c>
      <c r="AD8" s="111">
        <f>AC8</f>
        <v>18757</v>
      </c>
      <c r="AE8" s="111">
        <v>19030</v>
      </c>
      <c r="AF8" s="111">
        <v>19399</v>
      </c>
      <c r="AG8" s="111">
        <v>19219</v>
      </c>
      <c r="AH8" s="111">
        <v>19665</v>
      </c>
      <c r="AI8" s="111">
        <f>AH8</f>
        <v>19665</v>
      </c>
      <c r="AJ8" s="111">
        <v>19757</v>
      </c>
      <c r="AK8" s="111">
        <v>20192</v>
      </c>
      <c r="AL8" s="111">
        <f>19691+1300</f>
        <v>20991</v>
      </c>
      <c r="AM8" s="111">
        <v>19749</v>
      </c>
      <c r="AN8" s="111">
        <f>AM8</f>
        <v>19749</v>
      </c>
      <c r="AO8" s="111">
        <v>19846</v>
      </c>
      <c r="AP8" s="26"/>
      <c r="AQ8" s="250"/>
      <c r="AR8" s="26"/>
      <c r="AS8" s="26"/>
      <c r="AT8" s="26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spans="1:256" x14ac:dyDescent="0.2">
      <c r="A9" s="7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136"/>
      <c r="O9" s="136"/>
      <c r="P9" s="61"/>
      <c r="Q9" s="61"/>
      <c r="R9" s="61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26"/>
      <c r="AQ9" s="250"/>
      <c r="AR9" s="26"/>
      <c r="AS9" s="26"/>
      <c r="AT9" s="26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s="94" customFormat="1" x14ac:dyDescent="0.2">
      <c r="A10" s="118"/>
      <c r="B10" s="92" t="s">
        <v>109</v>
      </c>
      <c r="C10" s="105">
        <f>C6/C8</f>
        <v>1.2965871337964361</v>
      </c>
      <c r="D10" s="105">
        <f t="shared" ref="D10:AG10" si="0">D6/D8</f>
        <v>1.4866286716352477</v>
      </c>
      <c r="E10" s="105">
        <v>1.332600157109191</v>
      </c>
      <c r="F10" s="105">
        <f t="shared" si="0"/>
        <v>1.4</v>
      </c>
      <c r="G10" s="105">
        <f t="shared" si="0"/>
        <v>1.2176566314076485</v>
      </c>
      <c r="H10" s="105">
        <f t="shared" si="0"/>
        <v>1.23307150595883</v>
      </c>
      <c r="I10" s="105">
        <f t="shared" si="0"/>
        <v>1.2389184973352398</v>
      </c>
      <c r="J10" s="105">
        <f t="shared" si="0"/>
        <v>1.2389184973352398</v>
      </c>
      <c r="K10" s="105">
        <f t="shared" si="0"/>
        <v>1.2662870762711864</v>
      </c>
      <c r="L10" s="105">
        <f t="shared" si="0"/>
        <v>1.1702233250620346</v>
      </c>
      <c r="M10" s="105">
        <f t="shared" si="0"/>
        <v>1.2515505725190839</v>
      </c>
      <c r="N10" s="138">
        <f t="shared" si="0"/>
        <v>1.2655900035364847</v>
      </c>
      <c r="O10" s="138">
        <f>N10</f>
        <v>1.2655900035364847</v>
      </c>
      <c r="P10" s="138">
        <f t="shared" si="0"/>
        <v>1.2710875904525327</v>
      </c>
      <c r="Q10" s="138">
        <f t="shared" si="0"/>
        <v>1.317383338721845</v>
      </c>
      <c r="R10" s="138">
        <f t="shared" si="0"/>
        <v>1.301450202601834</v>
      </c>
      <c r="S10" s="138">
        <f t="shared" si="0"/>
        <v>1.2189872201402903</v>
      </c>
      <c r="T10" s="138">
        <f t="shared" si="0"/>
        <v>1.2189872201402903</v>
      </c>
      <c r="U10" s="138">
        <f t="shared" si="0"/>
        <v>1.2315689981096409</v>
      </c>
      <c r="V10" s="138">
        <f t="shared" si="0"/>
        <v>1.133285537378609</v>
      </c>
      <c r="W10" s="138">
        <f t="shared" si="0"/>
        <v>1.1099160708734845</v>
      </c>
      <c r="X10" s="138">
        <f t="shared" si="0"/>
        <v>1.0676164631388512</v>
      </c>
      <c r="Y10" s="138">
        <f t="shared" si="0"/>
        <v>1.0676164631388512</v>
      </c>
      <c r="Z10" s="138">
        <f t="shared" si="0"/>
        <v>1.047957565483677</v>
      </c>
      <c r="AA10" s="138">
        <f t="shared" si="0"/>
        <v>1.0381272329760571</v>
      </c>
      <c r="AB10" s="138">
        <f t="shared" si="0"/>
        <v>1.0739097905087645</v>
      </c>
      <c r="AC10" s="138">
        <f t="shared" si="0"/>
        <v>1.1221943807645145</v>
      </c>
      <c r="AD10" s="138">
        <f t="shared" si="0"/>
        <v>1.1221943807645145</v>
      </c>
      <c r="AE10" s="138">
        <f t="shared" si="0"/>
        <v>1.1222280609563846</v>
      </c>
      <c r="AF10" s="138">
        <f t="shared" si="0"/>
        <v>1.1111912985205423</v>
      </c>
      <c r="AG10" s="138">
        <f t="shared" si="0"/>
        <v>1.1120245590301265</v>
      </c>
      <c r="AH10" s="138">
        <f t="shared" ref="AH10:AN10" si="1">AH6/AH8</f>
        <v>1.1293160437325198</v>
      </c>
      <c r="AI10" s="138">
        <f t="shared" si="1"/>
        <v>1.1293160437325198</v>
      </c>
      <c r="AJ10" s="138">
        <f t="shared" si="1"/>
        <v>1.1541732044338715</v>
      </c>
      <c r="AK10" s="138">
        <f t="shared" si="1"/>
        <v>1.1425812202852614</v>
      </c>
      <c r="AL10" s="138">
        <f t="shared" si="1"/>
        <v>1.0980896574722501</v>
      </c>
      <c r="AM10" s="138">
        <f t="shared" si="1"/>
        <v>1.1556028153324218</v>
      </c>
      <c r="AN10" s="138">
        <f t="shared" si="1"/>
        <v>1.1556028153324218</v>
      </c>
      <c r="AO10" s="138">
        <f t="shared" ref="AO10" si="2">AO6/AO8</f>
        <v>1.1396755013604756</v>
      </c>
      <c r="AP10" s="26"/>
      <c r="AQ10" s="250"/>
      <c r="AR10" s="26"/>
      <c r="AS10" s="26"/>
      <c r="AT10" s="26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pans="1:256" x14ac:dyDescent="0.2">
      <c r="A11" s="7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36"/>
      <c r="O11" s="136"/>
      <c r="P11" s="61"/>
      <c r="Q11" s="61"/>
      <c r="R11" s="61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26"/>
      <c r="AQ11" s="250"/>
      <c r="AR11" s="26"/>
      <c r="AS11" s="26"/>
      <c r="AT11" s="26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s="94" customFormat="1" x14ac:dyDescent="0.2">
      <c r="A12" s="118"/>
      <c r="B12" s="92" t="s">
        <v>54</v>
      </c>
      <c r="N12" s="139"/>
      <c r="O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26"/>
      <c r="AQ12" s="250"/>
      <c r="AR12" s="26"/>
      <c r="AS12" s="26"/>
      <c r="AT12" s="26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spans="1:256" x14ac:dyDescent="0.2">
      <c r="A13" s="7"/>
      <c r="B13" s="112" t="s">
        <v>58</v>
      </c>
      <c r="C13" s="106">
        <v>0.30526093876768073</v>
      </c>
      <c r="D13" s="106">
        <v>0.19387246170772707</v>
      </c>
      <c r="E13" s="12">
        <v>0.29179412374458347</v>
      </c>
      <c r="F13" s="12">
        <v>0.26910617299171491</v>
      </c>
      <c r="G13" s="12">
        <v>0.255</v>
      </c>
      <c r="H13" s="12">
        <v>0.22600000000000001</v>
      </c>
      <c r="I13" s="12">
        <v>0.18200000154843751</v>
      </c>
      <c r="J13" s="113">
        <v>0.23347721024918319</v>
      </c>
      <c r="K13" s="106">
        <v>0.2123382898547542</v>
      </c>
      <c r="L13" s="106">
        <v>0.23492100827893417</v>
      </c>
      <c r="M13" s="106">
        <v>0.2190262731913834</v>
      </c>
      <c r="N13" s="140">
        <v>0.16750659273683122</v>
      </c>
      <c r="O13" s="140">
        <v>0.20508604327948882</v>
      </c>
      <c r="P13" s="106">
        <v>0.17515286115146356</v>
      </c>
      <c r="Q13" s="106">
        <v>0.15597032229704996</v>
      </c>
      <c r="R13" s="106">
        <v>0.14319042118710082</v>
      </c>
      <c r="S13" s="140">
        <v>0.14046831544536756</v>
      </c>
      <c r="T13" s="140">
        <v>0.15239278787178401</v>
      </c>
      <c r="U13" s="140">
        <v>0.13800000000000001</v>
      </c>
      <c r="V13" s="140">
        <v>0.12255303022280956</v>
      </c>
      <c r="W13" s="140">
        <v>0.107</v>
      </c>
      <c r="X13" s="140">
        <v>0.105</v>
      </c>
      <c r="Y13" s="140">
        <v>0.11600000000000001</v>
      </c>
      <c r="Z13" s="140">
        <v>0.10529882761688629</v>
      </c>
      <c r="AA13" s="140">
        <v>0.10275288462516233</v>
      </c>
      <c r="AB13" s="140">
        <v>9.939142688183919E-2</v>
      </c>
      <c r="AC13" s="140">
        <v>9.6099237807525356E-2</v>
      </c>
      <c r="AD13" s="140">
        <v>0.10073190982587604</v>
      </c>
      <c r="AE13" s="140">
        <v>9.7665557413388823E-2</v>
      </c>
      <c r="AF13" s="140">
        <v>9.9007510989791173E-2</v>
      </c>
      <c r="AG13" s="140">
        <v>9.5749099376866875E-2</v>
      </c>
      <c r="AH13" s="140">
        <v>9.386907849607537E-2</v>
      </c>
      <c r="AI13" s="140">
        <v>9.6516094368932173E-2</v>
      </c>
      <c r="AJ13" s="140">
        <v>7.9262713905952242E-2</v>
      </c>
      <c r="AK13" s="140">
        <v>8.42861418769697E-2</v>
      </c>
      <c r="AL13" s="140">
        <v>8.1916043788328521E-2</v>
      </c>
      <c r="AM13" s="140">
        <v>7.5119245547637076E-2</v>
      </c>
      <c r="AN13" s="140">
        <v>7.9995487448346364E-2</v>
      </c>
      <c r="AO13" s="254">
        <v>7.8174137020200915E-2</v>
      </c>
      <c r="AP13" s="26"/>
      <c r="AQ13" s="250"/>
      <c r="AR13" s="26"/>
      <c r="AS13" s="26"/>
      <c r="AT13" s="26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spans="1:256" x14ac:dyDescent="0.2">
      <c r="A14" s="7"/>
      <c r="B14" s="112" t="s">
        <v>55</v>
      </c>
      <c r="C14" s="106">
        <v>0.55293903111972609</v>
      </c>
      <c r="D14" s="106">
        <v>0.46533585218941292</v>
      </c>
      <c r="E14" s="12">
        <v>0.48964872959501959</v>
      </c>
      <c r="F14" s="12">
        <v>0.45198873105594234</v>
      </c>
      <c r="G14" s="12">
        <v>0.44400000000000001</v>
      </c>
      <c r="H14" s="12">
        <v>0.441</v>
      </c>
      <c r="I14" s="12">
        <v>0.39672395507396879</v>
      </c>
      <c r="J14" s="113">
        <v>0.43112864909999954</v>
      </c>
      <c r="K14" s="106">
        <v>0.4575491406959834</v>
      </c>
      <c r="L14" s="106">
        <v>0.4668412306626249</v>
      </c>
      <c r="M14" s="106">
        <v>0.45477939650520899</v>
      </c>
      <c r="N14" s="140">
        <v>0.41276487203223761</v>
      </c>
      <c r="O14" s="140">
        <v>0.42569375307946256</v>
      </c>
      <c r="P14" s="106">
        <v>0.43554439290005009</v>
      </c>
      <c r="Q14" s="106">
        <v>0.43457603950254309</v>
      </c>
      <c r="R14" s="106">
        <v>0.40102379218707296</v>
      </c>
      <c r="S14" s="140">
        <v>0.41131240836417982</v>
      </c>
      <c r="T14" s="140">
        <v>0.41209159907785831</v>
      </c>
      <c r="U14" s="140">
        <v>0.38200000000000001</v>
      </c>
      <c r="V14" s="140">
        <v>0.34827354049891757</v>
      </c>
      <c r="W14" s="140">
        <v>0.29199999999999998</v>
      </c>
      <c r="X14" s="140">
        <v>0.27200000000000002</v>
      </c>
      <c r="Y14" s="140">
        <v>0.318</v>
      </c>
      <c r="Z14" s="140">
        <v>0.26758996115919959</v>
      </c>
      <c r="AA14" s="140">
        <v>0.2614956076304456</v>
      </c>
      <c r="AB14" s="140">
        <v>0.25802457232808851</v>
      </c>
      <c r="AC14" s="140">
        <v>0.2543309578572987</v>
      </c>
      <c r="AD14" s="140">
        <v>0.260124330832047</v>
      </c>
      <c r="AE14" s="140">
        <v>0.26204191182840425</v>
      </c>
      <c r="AF14" s="140">
        <v>0.25588882455438289</v>
      </c>
      <c r="AG14" s="140">
        <v>0.23879619278021408</v>
      </c>
      <c r="AH14" s="140">
        <v>0.24380341658138133</v>
      </c>
      <c r="AI14" s="140">
        <v>0.24790585696965925</v>
      </c>
      <c r="AJ14" s="140">
        <v>0.2199163843795123</v>
      </c>
      <c r="AK14" s="140">
        <v>0.22465499560211194</v>
      </c>
      <c r="AL14" s="140">
        <v>0.22742855060405023</v>
      </c>
      <c r="AM14" s="140">
        <v>0.21346063397268888</v>
      </c>
      <c r="AN14" s="140">
        <v>0.21676495258084177</v>
      </c>
      <c r="AO14" s="254">
        <v>0.20059087490066094</v>
      </c>
      <c r="AP14" s="26"/>
      <c r="AQ14" s="250"/>
      <c r="AR14" s="26"/>
      <c r="AS14" s="26"/>
      <c r="AT14" s="26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</row>
    <row r="15" spans="1:256" x14ac:dyDescent="0.2">
      <c r="A15" s="7"/>
      <c r="B15" s="112" t="s">
        <v>56</v>
      </c>
      <c r="C15" s="106">
        <v>0.72608064955002249</v>
      </c>
      <c r="D15" s="106">
        <v>0.61047898704307102</v>
      </c>
      <c r="E15" s="12">
        <v>0.59391173239329065</v>
      </c>
      <c r="F15" s="12">
        <v>0.58333361538391604</v>
      </c>
      <c r="G15" s="12">
        <v>0.56899999999999995</v>
      </c>
      <c r="H15" s="12">
        <v>0.56999999999999995</v>
      </c>
      <c r="I15" s="12">
        <v>0.55208090828602363</v>
      </c>
      <c r="J15" s="113">
        <v>0.55997262390623714</v>
      </c>
      <c r="K15" s="106">
        <v>0.61984953790769381</v>
      </c>
      <c r="L15" s="106">
        <v>0.59814628101897793</v>
      </c>
      <c r="M15" s="106">
        <v>0.59967625451375917</v>
      </c>
      <c r="N15" s="140">
        <v>0.58941897812061783</v>
      </c>
      <c r="O15" s="140">
        <v>0.57501100206652367</v>
      </c>
      <c r="P15" s="106">
        <v>0.59982930909116738</v>
      </c>
      <c r="Q15" s="106">
        <v>0.6027063796831591</v>
      </c>
      <c r="R15" s="106">
        <v>0.58049985749452371</v>
      </c>
      <c r="S15" s="140">
        <v>0.56618202582416066</v>
      </c>
      <c r="T15" s="140">
        <v>0.58602725429778468</v>
      </c>
      <c r="U15" s="140">
        <v>0.53400000000000003</v>
      </c>
      <c r="V15" s="140">
        <v>0.48690110335351494</v>
      </c>
      <c r="W15" s="140">
        <v>0.41199999999999998</v>
      </c>
      <c r="X15" s="140">
        <v>0.4</v>
      </c>
      <c r="Y15" s="140">
        <v>0.44800000000000001</v>
      </c>
      <c r="Z15" s="140">
        <v>0.41121396722301468</v>
      </c>
      <c r="AA15" s="215">
        <v>0.38712541625298463</v>
      </c>
      <c r="AB15" s="215">
        <v>0.39109760552810385</v>
      </c>
      <c r="AC15" s="140">
        <v>0.37943201041689689</v>
      </c>
      <c r="AD15" s="140">
        <v>0.39178123102269413</v>
      </c>
      <c r="AE15" s="140">
        <v>0.39048821847888981</v>
      </c>
      <c r="AF15" s="140">
        <v>0.38011653211271956</v>
      </c>
      <c r="AG15" s="140">
        <v>0.35633656781568396</v>
      </c>
      <c r="AH15" s="140">
        <v>0.35949018882372918</v>
      </c>
      <c r="AI15" s="140">
        <v>0.36813495878242447</v>
      </c>
      <c r="AJ15" s="140">
        <v>0.34520144389300644</v>
      </c>
      <c r="AK15" s="140">
        <v>0.33274969799218845</v>
      </c>
      <c r="AL15" s="140">
        <v>0.33447794521502189</v>
      </c>
      <c r="AM15" s="140">
        <v>0.31598070452018995</v>
      </c>
      <c r="AN15" s="140">
        <v>0.32408412290113536</v>
      </c>
      <c r="AO15" s="254">
        <v>0.30212021544493917</v>
      </c>
      <c r="AP15" s="26"/>
      <c r="AQ15" s="250"/>
      <c r="AR15" s="26"/>
      <c r="AS15" s="26"/>
      <c r="AT15" s="26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spans="1:256" x14ac:dyDescent="0.2">
      <c r="A16" s="7"/>
      <c r="B16" s="112" t="s">
        <v>57</v>
      </c>
      <c r="C16" s="106">
        <v>0.88941341356901782</v>
      </c>
      <c r="D16" s="106">
        <v>0.81115557303339347</v>
      </c>
      <c r="E16" s="12">
        <v>0.78</v>
      </c>
      <c r="F16" s="12">
        <v>0.80483524859984035</v>
      </c>
      <c r="G16" s="12">
        <v>0.77900000000000003</v>
      </c>
      <c r="H16" s="12">
        <v>0.78299999999999992</v>
      </c>
      <c r="I16" s="12">
        <v>0.76366949325124123</v>
      </c>
      <c r="J16" s="113">
        <v>0.77486921778995987</v>
      </c>
      <c r="K16" s="106">
        <v>0.83236982376349244</v>
      </c>
      <c r="L16" s="106">
        <v>0.79265258329072164</v>
      </c>
      <c r="M16" s="106">
        <v>0.77015998119933315</v>
      </c>
      <c r="N16" s="140">
        <v>0.80446477526311844</v>
      </c>
      <c r="O16" s="140">
        <v>0.77484987038980402</v>
      </c>
      <c r="P16" s="106">
        <v>0.79449125267784204</v>
      </c>
      <c r="Q16" s="106">
        <v>0.77785503653473898</v>
      </c>
      <c r="R16" s="106">
        <v>0.74703327519234608</v>
      </c>
      <c r="S16" s="140">
        <v>0.74005211300693119</v>
      </c>
      <c r="T16" s="140">
        <v>0.76160386654623446</v>
      </c>
      <c r="U16" s="140">
        <v>0.71699999999999997</v>
      </c>
      <c r="V16" s="140">
        <v>0.65188717320523126</v>
      </c>
      <c r="W16" s="140">
        <v>0.60799999999999987</v>
      </c>
      <c r="X16" s="140">
        <v>0.60899999999999999</v>
      </c>
      <c r="Y16" s="140">
        <v>0.621</v>
      </c>
      <c r="Z16" s="140">
        <v>0.60262631139091294</v>
      </c>
      <c r="AA16" s="215">
        <v>0.58218414512326355</v>
      </c>
      <c r="AB16" s="215">
        <v>0.60752270333372516</v>
      </c>
      <c r="AC16" s="140">
        <v>0.58093232953402163</v>
      </c>
      <c r="AD16" s="140">
        <v>0.59084420431203921</v>
      </c>
      <c r="AE16" s="140">
        <v>0.59662091129913764</v>
      </c>
      <c r="AF16" s="140">
        <v>0.59585758594958227</v>
      </c>
      <c r="AG16" s="140">
        <v>0.57086110206396534</v>
      </c>
      <c r="AH16" s="140">
        <v>0.55489326771110437</v>
      </c>
      <c r="AI16" s="140">
        <v>0.57902518981562567</v>
      </c>
      <c r="AJ16" s="140">
        <v>0.54174845631480673</v>
      </c>
      <c r="AK16" s="140">
        <v>0.52526131143221344</v>
      </c>
      <c r="AL16" s="140">
        <v>0.52211356916658758</v>
      </c>
      <c r="AM16" s="140">
        <v>0.49293161687346426</v>
      </c>
      <c r="AN16" s="140">
        <v>0.50443429887522284</v>
      </c>
      <c r="AO16" s="254">
        <v>0.45918218596666616</v>
      </c>
      <c r="AP16" s="26"/>
      <c r="AQ16" s="250"/>
      <c r="AR16" s="26"/>
      <c r="AS16" s="26"/>
      <c r="AT16" s="26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</row>
    <row r="17" spans="1:256" x14ac:dyDescent="0.2">
      <c r="A17" s="7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36"/>
      <c r="O17" s="136"/>
      <c r="P17" s="61"/>
      <c r="Q17" s="61"/>
      <c r="R17" s="61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26"/>
      <c r="AQ17" s="250"/>
      <c r="AR17" s="26"/>
      <c r="AS17" s="26"/>
      <c r="AT17" s="26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s="94" customFormat="1" x14ac:dyDescent="0.2">
      <c r="A18" s="118"/>
      <c r="B18" s="120" t="s">
        <v>177</v>
      </c>
      <c r="C18" s="95">
        <v>0.64400000000000002</v>
      </c>
      <c r="D18" s="95">
        <v>0.42099999999999999</v>
      </c>
      <c r="E18" s="95">
        <v>0.41012281354670638</v>
      </c>
      <c r="F18" s="95">
        <v>0.34336208710288241</v>
      </c>
      <c r="G18" s="95">
        <v>0.30696817763225215</v>
      </c>
      <c r="H18" s="95">
        <v>0.37289060480611819</v>
      </c>
      <c r="I18" s="95">
        <v>0.33828655292606863</v>
      </c>
      <c r="J18" s="95">
        <v>0.34023437499999998</v>
      </c>
      <c r="K18" s="96">
        <v>0.20964816829887559</v>
      </c>
      <c r="L18" s="96">
        <v>0.22032085561497325</v>
      </c>
      <c r="M18" s="96">
        <v>0.22033014769765422</v>
      </c>
      <c r="N18" s="141">
        <v>0.27297779218674018</v>
      </c>
      <c r="O18" s="141">
        <v>0.22582826233941852</v>
      </c>
      <c r="P18" s="96">
        <v>0.32700000000000001</v>
      </c>
      <c r="Q18" s="96">
        <v>0.34597088078420069</v>
      </c>
      <c r="R18" s="96">
        <v>0.32800000000000001</v>
      </c>
      <c r="S18" s="141">
        <v>0.35499999999999998</v>
      </c>
      <c r="T18" s="141">
        <v>0.34399999999999997</v>
      </c>
      <c r="U18" s="141">
        <v>0.32400000000000001</v>
      </c>
      <c r="V18" s="141">
        <v>0.32900000000000001</v>
      </c>
      <c r="W18" s="141">
        <v>0.3</v>
      </c>
      <c r="X18" s="141">
        <v>0.27800000000000002</v>
      </c>
      <c r="Y18" s="141">
        <v>0.312</v>
      </c>
      <c r="Z18" s="141">
        <v>0.29699999999999999</v>
      </c>
      <c r="AA18" s="141">
        <v>0.28399999999999997</v>
      </c>
      <c r="AB18" s="141">
        <v>0.28499999999999998</v>
      </c>
      <c r="AC18" s="141">
        <v>0.30399999999999999</v>
      </c>
      <c r="AD18" s="141">
        <v>0.29299999999999998</v>
      </c>
      <c r="AE18" s="141">
        <v>0.23599999999999999</v>
      </c>
      <c r="AF18" s="141">
        <v>0.26800000000000002</v>
      </c>
      <c r="AG18" s="141">
        <v>0.254</v>
      </c>
      <c r="AH18" s="141">
        <v>0.25</v>
      </c>
      <c r="AI18" s="141">
        <v>0.25800000000000001</v>
      </c>
      <c r="AJ18" s="141">
        <v>0.28799999999999998</v>
      </c>
      <c r="AK18" s="141">
        <v>0.34100000000000003</v>
      </c>
      <c r="AL18" s="141">
        <v>0.38</v>
      </c>
      <c r="AM18" s="141">
        <v>0.33500000000000002</v>
      </c>
      <c r="AN18" s="141">
        <v>0.32300000000000001</v>
      </c>
      <c r="AO18" s="141">
        <v>0.33600000000000002</v>
      </c>
      <c r="AP18" s="26"/>
      <c r="AQ18" s="250"/>
      <c r="AR18" s="26"/>
      <c r="AS18" s="26"/>
      <c r="AT18" s="26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s="42" customFormat="1" x14ac:dyDescent="0.2">
      <c r="A19" s="114"/>
      <c r="B19" s="115"/>
      <c r="E19" s="66"/>
      <c r="F19" s="66"/>
      <c r="G19" s="66"/>
      <c r="H19" s="66"/>
      <c r="I19" s="66"/>
      <c r="K19" s="116"/>
      <c r="N19" s="142"/>
      <c r="O19" s="142"/>
      <c r="P19" s="116"/>
      <c r="S19" s="142"/>
      <c r="T19" s="142"/>
      <c r="U19" s="142"/>
      <c r="V19" s="142"/>
      <c r="W19" s="142"/>
      <c r="X19" s="142"/>
      <c r="Y19" s="142"/>
      <c r="Z19" s="142"/>
      <c r="AA19" s="142"/>
      <c r="AB19" s="221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26"/>
      <c r="AQ19" s="250"/>
      <c r="AR19" s="26"/>
      <c r="AS19" s="26"/>
      <c r="AT19" s="26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pans="1:256" x14ac:dyDescent="0.2">
      <c r="A20" s="1" t="s">
        <v>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36"/>
      <c r="O20" s="136"/>
      <c r="P20" s="61"/>
      <c r="Q20" s="61"/>
      <c r="R20" s="61"/>
      <c r="S20" s="136"/>
      <c r="T20" s="136"/>
      <c r="U20" s="136"/>
      <c r="V20" s="136"/>
      <c r="W20" s="136"/>
      <c r="X20" s="136"/>
      <c r="Y20" s="136"/>
      <c r="Z20" s="136"/>
      <c r="AA20" s="136"/>
      <c r="AB20" s="220"/>
      <c r="AC20" s="136"/>
      <c r="AD20" s="136"/>
      <c r="AE20" s="136"/>
      <c r="AF20" s="145"/>
      <c r="AG20" s="145"/>
      <c r="AH20" s="136"/>
      <c r="AI20" s="136"/>
      <c r="AJ20" s="136"/>
      <c r="AK20" s="136"/>
      <c r="AL20" s="136"/>
      <c r="AM20" s="136"/>
      <c r="AN20" s="136"/>
      <c r="AO20" s="136"/>
      <c r="AP20" s="26"/>
      <c r="AQ20" s="250"/>
      <c r="AR20" s="26"/>
      <c r="AS20" s="26"/>
      <c r="AT20" s="26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</row>
    <row r="21" spans="1:256" s="98" customFormat="1" x14ac:dyDescent="0.2">
      <c r="A21" s="121"/>
      <c r="B21" s="92" t="s">
        <v>211</v>
      </c>
      <c r="C21" s="94"/>
      <c r="D21" s="97">
        <v>75466.42</v>
      </c>
      <c r="E21" s="97">
        <v>120906.31776000001</v>
      </c>
      <c r="F21" s="97">
        <v>34917.373112721631</v>
      </c>
      <c r="G21" s="97">
        <v>36143.749579565978</v>
      </c>
      <c r="H21" s="97">
        <v>34536.771000000001</v>
      </c>
      <c r="I21" s="97">
        <v>33171.807999999997</v>
      </c>
      <c r="J21" s="97">
        <f>SUM(F21:I21)</f>
        <v>138769.70169228761</v>
      </c>
      <c r="K21" s="97">
        <v>33392.761379999996</v>
      </c>
      <c r="L21" s="97">
        <v>34506.796577618261</v>
      </c>
      <c r="M21" s="97">
        <v>37673.24280486397</v>
      </c>
      <c r="N21" s="143">
        <f>O21-M21-L21-K21</f>
        <v>47065.628712381716</v>
      </c>
      <c r="O21" s="143">
        <v>152638.42947486395</v>
      </c>
      <c r="P21" s="97">
        <v>41590</v>
      </c>
      <c r="Q21" s="97">
        <v>46560</v>
      </c>
      <c r="R21" s="97">
        <v>50467.861823389401</v>
      </c>
      <c r="S21" s="143">
        <f>T21-SUM(R21,Q21,P21)</f>
        <v>53477.138176610606</v>
      </c>
      <c r="T21" s="143">
        <v>192095</v>
      </c>
      <c r="U21" s="143">
        <v>56841</v>
      </c>
      <c r="V21" s="143">
        <v>68733</v>
      </c>
      <c r="W21" s="143">
        <v>83176</v>
      </c>
      <c r="X21" s="143">
        <f>Y21-SUM(U21:W21)</f>
        <v>85611</v>
      </c>
      <c r="Y21" s="143">
        <v>294361</v>
      </c>
      <c r="Z21" s="143">
        <v>89734</v>
      </c>
      <c r="AA21" s="143">
        <v>88922</v>
      </c>
      <c r="AB21" s="143">
        <v>91984</v>
      </c>
      <c r="AC21" s="143">
        <f>AD21-Z21-AA21-AB21</f>
        <v>96127</v>
      </c>
      <c r="AD21" s="143">
        <v>366767</v>
      </c>
      <c r="AE21" s="143">
        <v>97571.820999999996</v>
      </c>
      <c r="AF21" s="143">
        <v>97328.466</v>
      </c>
      <c r="AG21" s="143">
        <v>99672.421000000002</v>
      </c>
      <c r="AH21" s="143">
        <f>AI21-AE21-AF21-AG21</f>
        <v>100414.29199999999</v>
      </c>
      <c r="AI21" s="143">
        <v>394987</v>
      </c>
      <c r="AJ21" s="143">
        <v>100091</v>
      </c>
      <c r="AK21" s="143">
        <v>94314</v>
      </c>
      <c r="AL21" s="143">
        <v>91155</v>
      </c>
      <c r="AM21" s="143">
        <f>AN21-AJ21-AK21-AL21</f>
        <v>103105</v>
      </c>
      <c r="AN21" s="143">
        <v>388665</v>
      </c>
      <c r="AO21" s="143">
        <v>110660.72236000001</v>
      </c>
      <c r="AP21" s="77"/>
      <c r="AQ21" s="250"/>
      <c r="AR21" s="26"/>
      <c r="AS21" s="26"/>
      <c r="AT21" s="26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pans="1:256" x14ac:dyDescent="0.2">
      <c r="A22" s="62"/>
      <c r="B22" s="112" t="s">
        <v>189</v>
      </c>
      <c r="C22" s="106"/>
      <c r="D22" s="108"/>
      <c r="E22" s="108"/>
      <c r="F22" s="108"/>
      <c r="G22" s="108"/>
      <c r="H22" s="108"/>
      <c r="I22" s="108"/>
      <c r="J22" s="108"/>
      <c r="K22" s="108">
        <f>K21/F21-1</f>
        <v>-4.3663414421234448E-2</v>
      </c>
      <c r="L22" s="108">
        <f t="shared" ref="L22:AA22" si="3">L21/G21-1</f>
        <v>-4.5290071478172655E-2</v>
      </c>
      <c r="M22" s="108">
        <f t="shared" si="3"/>
        <v>9.0815432770595894E-2</v>
      </c>
      <c r="N22" s="108">
        <f t="shared" si="3"/>
        <v>0.41884424003604859</v>
      </c>
      <c r="O22" s="108">
        <f t="shared" si="3"/>
        <v>9.9940603845422249E-2</v>
      </c>
      <c r="P22" s="108">
        <f t="shared" si="3"/>
        <v>0.24547950757105075</v>
      </c>
      <c r="Q22" s="108">
        <f t="shared" si="3"/>
        <v>0.34929940237337664</v>
      </c>
      <c r="R22" s="108">
        <f t="shared" si="3"/>
        <v>0.33962085729645564</v>
      </c>
      <c r="S22" s="108">
        <f t="shared" si="3"/>
        <v>0.13622487661664207</v>
      </c>
      <c r="T22" s="108">
        <f t="shared" si="3"/>
        <v>0.25849696345069928</v>
      </c>
      <c r="U22" s="108">
        <f t="shared" si="3"/>
        <v>0.36669872565520567</v>
      </c>
      <c r="V22" s="108">
        <f t="shared" si="3"/>
        <v>0.47622422680412368</v>
      </c>
      <c r="W22" s="108">
        <f t="shared" si="3"/>
        <v>0.64809835397964033</v>
      </c>
      <c r="X22" s="108">
        <f t="shared" si="3"/>
        <v>0.60088970575175327</v>
      </c>
      <c r="Y22" s="108">
        <f t="shared" si="3"/>
        <v>0.53237200343579993</v>
      </c>
      <c r="Z22" s="108">
        <f t="shared" si="3"/>
        <v>0.57868440034482149</v>
      </c>
      <c r="AA22" s="108">
        <f t="shared" si="3"/>
        <v>0.29373081343750451</v>
      </c>
      <c r="AB22" s="108">
        <f t="shared" ref="AB22:AK22" si="4">AB21/W21-1</f>
        <v>0.10589593151870735</v>
      </c>
      <c r="AC22" s="108">
        <f t="shared" si="4"/>
        <v>0.12283468245902984</v>
      </c>
      <c r="AD22" s="108">
        <f t="shared" si="4"/>
        <v>0.24597687873053831</v>
      </c>
      <c r="AE22" s="108">
        <f t="shared" si="4"/>
        <v>8.7345053157108721E-2</v>
      </c>
      <c r="AF22" s="108">
        <f t="shared" si="4"/>
        <v>9.4537527271091548E-2</v>
      </c>
      <c r="AG22" s="108">
        <f t="shared" si="4"/>
        <v>8.3584329883457986E-2</v>
      </c>
      <c r="AH22" s="108">
        <f t="shared" si="4"/>
        <v>4.4600289200744658E-2</v>
      </c>
      <c r="AI22" s="108">
        <f t="shared" si="4"/>
        <v>7.6942582075268495E-2</v>
      </c>
      <c r="AJ22" s="108">
        <f t="shared" si="4"/>
        <v>2.5818714606136162E-2</v>
      </c>
      <c r="AK22" s="108">
        <f t="shared" si="4"/>
        <v>-3.0972089912523648E-2</v>
      </c>
      <c r="AL22" s="108">
        <f>AL21/AG21-1</f>
        <v>-8.5454139816670049E-2</v>
      </c>
      <c r="AM22" s="108">
        <f>AM21/AH21-1</f>
        <v>2.6796066042073186E-2</v>
      </c>
      <c r="AN22" s="108">
        <f>AN21/AI21-1</f>
        <v>-1.6005590057394325E-2</v>
      </c>
      <c r="AO22" s="108">
        <f t="shared" ref="AO22" si="5">AO21/AJ21-1</f>
        <v>0.10560112657481713</v>
      </c>
      <c r="AP22" s="26"/>
      <c r="AQ22" s="250"/>
      <c r="AR22" s="26"/>
      <c r="AS22" s="26"/>
      <c r="AT22" s="26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pans="1:256" x14ac:dyDescent="0.2">
      <c r="A23" s="62"/>
      <c r="B23" s="112" t="s">
        <v>190</v>
      </c>
      <c r="C23" s="106"/>
      <c r="D23" s="108"/>
      <c r="E23" s="108"/>
      <c r="F23" s="108"/>
      <c r="G23" s="108"/>
      <c r="H23" s="108"/>
      <c r="I23" s="108"/>
      <c r="J23" s="108"/>
      <c r="K23" s="108">
        <v>7.6620548133491381E-2</v>
      </c>
      <c r="L23" s="108">
        <v>3.494510151117116E-2</v>
      </c>
      <c r="M23" s="145">
        <v>0.15162019069078489</v>
      </c>
      <c r="N23" s="145">
        <v>0.37965433516260916</v>
      </c>
      <c r="O23" s="145">
        <v>0.15686945721658335</v>
      </c>
      <c r="P23" s="145">
        <v>0.21253823663264845</v>
      </c>
      <c r="Q23" s="145">
        <v>0.33191152347681258</v>
      </c>
      <c r="R23" s="145">
        <v>0.32634883814509535</v>
      </c>
      <c r="S23" s="145">
        <v>0.11922733463353588</v>
      </c>
      <c r="T23" s="145">
        <v>0.23884267317582436</v>
      </c>
      <c r="U23" s="145">
        <v>0.35948545323395048</v>
      </c>
      <c r="V23" s="145">
        <v>0.45259879725085911</v>
      </c>
      <c r="W23" s="145">
        <v>0.64809835397964033</v>
      </c>
      <c r="X23" s="145">
        <v>0.66259831830131788</v>
      </c>
      <c r="Y23" s="145">
        <v>0.54226294281475307</v>
      </c>
      <c r="Z23" s="145">
        <v>0.61914815010291868</v>
      </c>
      <c r="AA23" s="145">
        <v>0.36356626365792299</v>
      </c>
      <c r="AB23" s="145">
        <v>0.16360488602481485</v>
      </c>
      <c r="AC23" s="227">
        <v>0.14099999999999999</v>
      </c>
      <c r="AD23" s="227">
        <v>0.29099999999999998</v>
      </c>
      <c r="AE23" s="145">
        <v>0.11409076827066666</v>
      </c>
      <c r="AF23" s="145">
        <v>0.1057833382065181</v>
      </c>
      <c r="AG23" s="145">
        <v>0.128</v>
      </c>
      <c r="AH23" s="227">
        <v>8.5999999999999993E-2</v>
      </c>
      <c r="AI23" s="227">
        <v>0.108</v>
      </c>
      <c r="AJ23" s="145">
        <v>6.3603207078810398E-2</v>
      </c>
      <c r="AK23" s="145">
        <v>-1.4E-2</v>
      </c>
      <c r="AL23" s="145">
        <v>-9.4E-2</v>
      </c>
      <c r="AM23" s="145">
        <v>2.9000000000000001E-2</v>
      </c>
      <c r="AN23" s="145">
        <v>-4.0000000000000001E-3</v>
      </c>
      <c r="AO23" s="145">
        <v>0.11</v>
      </c>
      <c r="AP23" s="26"/>
      <c r="AQ23" s="250"/>
      <c r="AR23" s="26"/>
      <c r="AS23" s="26"/>
      <c r="AT23" s="26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</row>
    <row r="24" spans="1:256" x14ac:dyDescent="0.2">
      <c r="A24" s="62"/>
      <c r="B24" s="112" t="s">
        <v>67</v>
      </c>
      <c r="C24" s="106"/>
      <c r="D24" s="107">
        <v>26837.554</v>
      </c>
      <c r="E24" s="107">
        <v>42687.722705748376</v>
      </c>
      <c r="F24" s="107">
        <v>12312.483056964104</v>
      </c>
      <c r="G24" s="107">
        <v>12872</v>
      </c>
      <c r="H24" s="107">
        <v>13903.384</v>
      </c>
      <c r="I24" s="107">
        <v>14485.347000000002</v>
      </c>
      <c r="J24" s="107">
        <f>SUM(F24:I24)</f>
        <v>53573.214056964105</v>
      </c>
      <c r="K24" s="107">
        <v>15132.343187038603</v>
      </c>
      <c r="L24" s="107">
        <v>14449</v>
      </c>
      <c r="M24" s="107">
        <v>15442.91941761845</v>
      </c>
      <c r="N24" s="144">
        <f>O24-M24-L24-K24</f>
        <v>24549.670578991288</v>
      </c>
      <c r="O24" s="144">
        <v>69573.933183648347</v>
      </c>
      <c r="P24" s="107">
        <v>18011</v>
      </c>
      <c r="Q24" s="107">
        <v>17959</v>
      </c>
      <c r="R24" s="107">
        <f>R21-29606</f>
        <v>20861.861823389401</v>
      </c>
      <c r="S24" s="144">
        <f>T24-SUM(R24,Q24,P24)</f>
        <v>21802.138176610599</v>
      </c>
      <c r="T24" s="144">
        <v>78634</v>
      </c>
      <c r="U24" s="144">
        <v>22606</v>
      </c>
      <c r="V24" s="144">
        <v>27395</v>
      </c>
      <c r="W24" s="144">
        <v>32215</v>
      </c>
      <c r="X24" s="144">
        <f>Y24-SUM(U24:W24)</f>
        <v>33844</v>
      </c>
      <c r="Y24" s="144">
        <v>116060</v>
      </c>
      <c r="Z24" s="144">
        <v>33256</v>
      </c>
      <c r="AA24" s="144">
        <v>34421</v>
      </c>
      <c r="AB24" s="144">
        <v>36326</v>
      </c>
      <c r="AC24" s="144">
        <f>AD24-Z24-AA24-AB24</f>
        <v>39904</v>
      </c>
      <c r="AD24" s="144">
        <v>143907</v>
      </c>
      <c r="AE24" s="144">
        <v>38096</v>
      </c>
      <c r="AF24" s="144">
        <v>37845</v>
      </c>
      <c r="AG24" s="144">
        <v>43141</v>
      </c>
      <c r="AH24" s="144">
        <f>AI24-AG24-AF24-AE24</f>
        <v>43619</v>
      </c>
      <c r="AI24" s="144">
        <v>162701</v>
      </c>
      <c r="AJ24" s="144">
        <v>41192</v>
      </c>
      <c r="AK24" s="144">
        <v>31820.255322666671</v>
      </c>
      <c r="AL24" s="144">
        <v>28285.214909999988</v>
      </c>
      <c r="AM24" s="144">
        <f>AN24-AJ24-AK24-AL24</f>
        <v>33767.529767333341</v>
      </c>
      <c r="AN24" s="144">
        <v>135065</v>
      </c>
      <c r="AO24" s="144">
        <v>40195.031770000045</v>
      </c>
      <c r="AP24" s="251"/>
      <c r="AQ24" s="250"/>
      <c r="AR24" s="26"/>
      <c r="AS24" s="26"/>
      <c r="AT24" s="26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spans="1:256" x14ac:dyDescent="0.2">
      <c r="A25" s="62"/>
      <c r="B25" s="112" t="s">
        <v>69</v>
      </c>
      <c r="C25" s="106"/>
      <c r="D25" s="108">
        <f>D24/D21</f>
        <v>0.355622460956807</v>
      </c>
      <c r="E25" s="108">
        <v>0.35306445102797557</v>
      </c>
      <c r="F25" s="108">
        <f t="shared" ref="F25:U25" si="6">F24/F21</f>
        <v>0.35261767880465877</v>
      </c>
      <c r="G25" s="108">
        <f t="shared" si="6"/>
        <v>0.35613349886856344</v>
      </c>
      <c r="H25" s="108">
        <f t="shared" si="6"/>
        <v>0.40256757066258453</v>
      </c>
      <c r="I25" s="108">
        <f t="shared" si="6"/>
        <v>0.43667643922212507</v>
      </c>
      <c r="J25" s="108">
        <f t="shared" si="6"/>
        <v>0.38605843641401688</v>
      </c>
      <c r="K25" s="108">
        <f t="shared" si="6"/>
        <v>0.45316237896102396</v>
      </c>
      <c r="L25" s="108">
        <f t="shared" si="6"/>
        <v>0.41872910362742527</v>
      </c>
      <c r="M25" s="145">
        <f t="shared" si="6"/>
        <v>0.40991744452709084</v>
      </c>
      <c r="N25" s="145">
        <f t="shared" si="6"/>
        <v>0.52160507042229143</v>
      </c>
      <c r="O25" s="145">
        <f t="shared" si="6"/>
        <v>0.45580875945205906</v>
      </c>
      <c r="P25" s="145">
        <f t="shared" si="6"/>
        <v>0.43306083193075257</v>
      </c>
      <c r="Q25" s="145">
        <f t="shared" si="6"/>
        <v>0.38571735395189005</v>
      </c>
      <c r="R25" s="145">
        <f t="shared" si="6"/>
        <v>0.41336924271519154</v>
      </c>
      <c r="S25" s="145">
        <f t="shared" si="6"/>
        <v>0.40769081742198088</v>
      </c>
      <c r="T25" s="145">
        <f t="shared" si="6"/>
        <v>0.40934954059189466</v>
      </c>
      <c r="U25" s="145">
        <f t="shared" si="6"/>
        <v>0.39770588131806267</v>
      </c>
      <c r="V25" s="145">
        <f t="shared" ref="V25:AA25" si="7">V24/V21</f>
        <v>0.39857128308090728</v>
      </c>
      <c r="W25" s="145">
        <f t="shared" si="7"/>
        <v>0.38731124362796959</v>
      </c>
      <c r="X25" s="145">
        <f t="shared" si="7"/>
        <v>0.39532303091892396</v>
      </c>
      <c r="Y25" s="145">
        <f t="shared" si="7"/>
        <v>0.39427777456932134</v>
      </c>
      <c r="Z25" s="145">
        <f t="shared" si="7"/>
        <v>0.3706064590901999</v>
      </c>
      <c r="AA25" s="145">
        <f t="shared" si="7"/>
        <v>0.38709205820831738</v>
      </c>
      <c r="AB25" s="145">
        <f t="shared" ref="AB25:AJ25" si="8">AB24/AB21</f>
        <v>0.39491650721864674</v>
      </c>
      <c r="AC25" s="145">
        <f t="shared" si="8"/>
        <v>0.41511750080622511</v>
      </c>
      <c r="AD25" s="145">
        <f t="shared" si="8"/>
        <v>0.39236627068411278</v>
      </c>
      <c r="AE25" s="145">
        <f t="shared" si="8"/>
        <v>0.3904405965734718</v>
      </c>
      <c r="AF25" s="145">
        <f t="shared" si="8"/>
        <v>0.38883793771084402</v>
      </c>
      <c r="AG25" s="145">
        <f t="shared" si="8"/>
        <v>0.43282785315308031</v>
      </c>
      <c r="AH25" s="145">
        <f t="shared" si="8"/>
        <v>0.43439035550835736</v>
      </c>
      <c r="AI25" s="145">
        <f t="shared" si="8"/>
        <v>0.41191482251314598</v>
      </c>
      <c r="AJ25" s="145">
        <f t="shared" si="8"/>
        <v>0.41154549360082326</v>
      </c>
      <c r="AK25" s="145">
        <f t="shared" ref="AK25" si="9">AK24/AK21</f>
        <v>0.33738634055036021</v>
      </c>
      <c r="AL25" s="145">
        <f>AL24/AL21</f>
        <v>0.31029800789863404</v>
      </c>
      <c r="AM25" s="145">
        <f>AM24/AM21</f>
        <v>0.3275062292549667</v>
      </c>
      <c r="AN25" s="145">
        <f>AN24/AN21</f>
        <v>0.34751006650971916</v>
      </c>
      <c r="AO25" s="145">
        <f t="shared" ref="AO25" si="10">AO24/AO21</f>
        <v>0.36322762867242175</v>
      </c>
      <c r="AP25" s="26"/>
      <c r="AQ25" s="250"/>
      <c r="AR25" s="26"/>
      <c r="AS25" s="26"/>
      <c r="AT25" s="26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</row>
    <row r="26" spans="1:256" x14ac:dyDescent="0.2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36"/>
      <c r="O26" s="136"/>
      <c r="P26" s="61"/>
      <c r="Q26" s="61"/>
      <c r="R26" s="61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26"/>
      <c r="AQ26" s="250"/>
      <c r="AR26" s="26"/>
      <c r="AS26" s="26"/>
      <c r="AT26" s="26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</row>
    <row r="27" spans="1:256" s="98" customFormat="1" x14ac:dyDescent="0.2">
      <c r="A27" s="121"/>
      <c r="B27" s="92" t="s">
        <v>212</v>
      </c>
      <c r="C27" s="94"/>
      <c r="D27" s="97">
        <v>23212.916000000001</v>
      </c>
      <c r="E27" s="97">
        <v>31126.212739999999</v>
      </c>
      <c r="F27" s="97">
        <v>9513.9005400000005</v>
      </c>
      <c r="G27" s="97">
        <v>10871.470050000002</v>
      </c>
      <c r="H27" s="97">
        <v>12036.130999999999</v>
      </c>
      <c r="I27" s="97">
        <v>10522.565999999999</v>
      </c>
      <c r="J27" s="97">
        <f>SUM(F27:I27)</f>
        <v>42944.067589999999</v>
      </c>
      <c r="K27" s="97">
        <v>7592.917559999999</v>
      </c>
      <c r="L27" s="97">
        <f>L32-L21</f>
        <v>7878.4851423817381</v>
      </c>
      <c r="M27" s="97">
        <v>10512.540870000003</v>
      </c>
      <c r="N27" s="143">
        <f>O27-M27-L27-K27</f>
        <v>12372.562197618263</v>
      </c>
      <c r="O27" s="143">
        <v>38356.505770000003</v>
      </c>
      <c r="P27" s="97">
        <v>12899</v>
      </c>
      <c r="Q27" s="97">
        <v>14079</v>
      </c>
      <c r="R27" s="97">
        <v>17116.990624046299</v>
      </c>
      <c r="S27" s="143">
        <f>T27-SUM(R27,Q27,P27)</f>
        <v>16563.009375953698</v>
      </c>
      <c r="T27" s="143">
        <v>60658</v>
      </c>
      <c r="U27" s="143">
        <v>16066</v>
      </c>
      <c r="V27" s="143">
        <v>16295</v>
      </c>
      <c r="W27" s="143">
        <v>16850</v>
      </c>
      <c r="X27" s="143">
        <f>Y27-SUM(U27:W27)</f>
        <v>16969</v>
      </c>
      <c r="Y27" s="143">
        <v>66180</v>
      </c>
      <c r="Z27" s="143">
        <v>14874</v>
      </c>
      <c r="AA27" s="143">
        <v>19108</v>
      </c>
      <c r="AB27" s="143">
        <v>20655</v>
      </c>
      <c r="AC27" s="143">
        <v>21526</v>
      </c>
      <c r="AD27" s="143">
        <v>76163</v>
      </c>
      <c r="AE27" s="143">
        <v>18434.248</v>
      </c>
      <c r="AF27" s="143">
        <v>18679.600999999999</v>
      </c>
      <c r="AG27" s="143">
        <v>22643.087</v>
      </c>
      <c r="AH27" s="143">
        <f>AI27-AE27-AF27-AG27</f>
        <v>23708.063999999998</v>
      </c>
      <c r="AI27" s="143">
        <v>83465</v>
      </c>
      <c r="AJ27" s="143">
        <v>21706</v>
      </c>
      <c r="AK27" s="143">
        <v>25424</v>
      </c>
      <c r="AL27" s="143">
        <v>31302</v>
      </c>
      <c r="AM27" s="143">
        <f>AN27-AJ27-AK27-AL27</f>
        <v>32181</v>
      </c>
      <c r="AN27" s="143">
        <v>110613</v>
      </c>
      <c r="AO27" s="143">
        <v>32849.397590000008</v>
      </c>
      <c r="AP27" s="26"/>
      <c r="AQ27" s="250"/>
      <c r="AR27" s="26"/>
      <c r="AS27" s="26"/>
      <c r="AT27" s="26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</row>
    <row r="28" spans="1:256" x14ac:dyDescent="0.2">
      <c r="A28" s="62"/>
      <c r="B28" s="112" t="s">
        <v>189</v>
      </c>
      <c r="C28" s="106"/>
      <c r="D28" s="108"/>
      <c r="E28" s="108"/>
      <c r="F28" s="108"/>
      <c r="G28" s="108"/>
      <c r="H28" s="108"/>
      <c r="I28" s="108"/>
      <c r="J28" s="108"/>
      <c r="K28" s="108">
        <f>K27/F27-1</f>
        <v>-0.20191329223208399</v>
      </c>
      <c r="L28" s="108">
        <f t="shared" ref="L28:AA28" si="11">L27/G27-1</f>
        <v>-0.27530636554697252</v>
      </c>
      <c r="M28" s="108">
        <f t="shared" si="11"/>
        <v>-0.12658470815912493</v>
      </c>
      <c r="N28" s="108">
        <f t="shared" si="11"/>
        <v>0.17581226837809938</v>
      </c>
      <c r="O28" s="108">
        <f t="shared" si="11"/>
        <v>-0.10682643907416589</v>
      </c>
      <c r="P28" s="108">
        <f t="shared" si="11"/>
        <v>0.69881997243757787</v>
      </c>
      <c r="Q28" s="108">
        <f t="shared" si="11"/>
        <v>0.78701866482720684</v>
      </c>
      <c r="R28" s="108">
        <f t="shared" si="11"/>
        <v>0.62824485875661518</v>
      </c>
      <c r="S28" s="108">
        <f t="shared" si="11"/>
        <v>0.3386887138980883</v>
      </c>
      <c r="T28" s="108">
        <f t="shared" si="11"/>
        <v>0.58142663890522561</v>
      </c>
      <c r="U28" s="108">
        <f t="shared" si="11"/>
        <v>0.24552290875261651</v>
      </c>
      <c r="V28" s="108">
        <f t="shared" si="11"/>
        <v>0.15739754243909365</v>
      </c>
      <c r="W28" s="108">
        <f t="shared" si="11"/>
        <v>-1.5597988566472987E-2</v>
      </c>
      <c r="X28" s="108">
        <f t="shared" si="11"/>
        <v>2.4511887594275139E-2</v>
      </c>
      <c r="Y28" s="108">
        <f t="shared" si="11"/>
        <v>9.1034983019552262E-2</v>
      </c>
      <c r="Z28" s="108">
        <f t="shared" si="11"/>
        <v>-7.4193949956429694E-2</v>
      </c>
      <c r="AA28" s="108">
        <f t="shared" si="11"/>
        <v>0.17262964099416989</v>
      </c>
      <c r="AB28" s="108">
        <f t="shared" ref="AB28:AG28" si="12">AB27/W27-1</f>
        <v>0.22581602373887244</v>
      </c>
      <c r="AC28" s="108">
        <f t="shared" si="12"/>
        <v>0.26854852967175447</v>
      </c>
      <c r="AD28" s="108">
        <f t="shared" si="12"/>
        <v>0.15084617709277737</v>
      </c>
      <c r="AE28" s="108">
        <f t="shared" si="12"/>
        <v>0.23936049482318134</v>
      </c>
      <c r="AF28" s="108">
        <f t="shared" si="12"/>
        <v>-2.2419876491521995E-2</v>
      </c>
      <c r="AG28" s="108">
        <f t="shared" si="12"/>
        <v>9.6252093923989257E-2</v>
      </c>
      <c r="AH28" s="108">
        <f t="shared" ref="AH28:AO28" si="13">AH27/AC27-1</f>
        <v>0.10136876335594147</v>
      </c>
      <c r="AI28" s="108">
        <f t="shared" si="13"/>
        <v>9.5873324317581998E-2</v>
      </c>
      <c r="AJ28" s="108">
        <f t="shared" si="13"/>
        <v>0.17748226019309277</v>
      </c>
      <c r="AK28" s="108">
        <f t="shared" si="13"/>
        <v>0.36105690908494248</v>
      </c>
      <c r="AL28" s="108">
        <f t="shared" si="13"/>
        <v>0.38240867952324709</v>
      </c>
      <c r="AM28" s="108">
        <f t="shared" si="13"/>
        <v>0.35738624629999327</v>
      </c>
      <c r="AN28" s="108">
        <f t="shared" si="13"/>
        <v>0.32526208590427119</v>
      </c>
      <c r="AO28" s="108">
        <f t="shared" si="13"/>
        <v>0.51337867824564665</v>
      </c>
      <c r="AP28" s="26"/>
      <c r="AQ28" s="250"/>
      <c r="AR28" s="26"/>
      <c r="AS28" s="26"/>
      <c r="AT28" s="26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</row>
    <row r="29" spans="1:256" x14ac:dyDescent="0.2">
      <c r="A29" s="62"/>
      <c r="B29" s="112" t="s">
        <v>67</v>
      </c>
      <c r="C29" s="106"/>
      <c r="D29" s="107">
        <v>9223.0059999999994</v>
      </c>
      <c r="E29" s="107">
        <v>9232.8216642516254</v>
      </c>
      <c r="F29" s="107">
        <v>3484.8840442378801</v>
      </c>
      <c r="G29" s="107">
        <v>3921.3859026647287</v>
      </c>
      <c r="H29" s="107">
        <v>4623.2660000000005</v>
      </c>
      <c r="I29" s="107">
        <v>3675.2690000000002</v>
      </c>
      <c r="J29" s="107">
        <f>SUM(F29:I29)</f>
        <v>15704.804946902608</v>
      </c>
      <c r="K29" s="107">
        <v>1497.7151029613931</v>
      </c>
      <c r="L29" s="107">
        <v>2109</v>
      </c>
      <c r="M29" s="107">
        <v>3939.8811122637294</v>
      </c>
      <c r="N29" s="144">
        <f>O29-M29-L29-K29</f>
        <v>4485.096132224463</v>
      </c>
      <c r="O29" s="144">
        <v>12031.692347449585</v>
      </c>
      <c r="P29" s="107">
        <v>4993</v>
      </c>
      <c r="Q29" s="107">
        <v>5233</v>
      </c>
      <c r="R29" s="107">
        <f>R27-10978</f>
        <v>6138.9906240462988</v>
      </c>
      <c r="S29" s="144">
        <f>T29-SUM(R29,Q29,P29)</f>
        <v>6469.0093759537012</v>
      </c>
      <c r="T29" s="144">
        <v>22834</v>
      </c>
      <c r="U29" s="144">
        <v>6082</v>
      </c>
      <c r="V29" s="144">
        <v>5635</v>
      </c>
      <c r="W29" s="144">
        <v>6056</v>
      </c>
      <c r="X29" s="144">
        <f>Y29-SUM(U29:W29)</f>
        <v>6721</v>
      </c>
      <c r="Y29" s="144">
        <v>24494</v>
      </c>
      <c r="Z29" s="144">
        <v>4680</v>
      </c>
      <c r="AA29" s="144">
        <v>7564</v>
      </c>
      <c r="AB29" s="144">
        <v>7663</v>
      </c>
      <c r="AC29" s="144">
        <f>AD29-Z29-AA29-AB29</f>
        <v>7240</v>
      </c>
      <c r="AD29" s="144">
        <v>27147</v>
      </c>
      <c r="AE29" s="144">
        <v>4997</v>
      </c>
      <c r="AF29" s="144">
        <v>4233</v>
      </c>
      <c r="AG29" s="144">
        <v>7125</v>
      </c>
      <c r="AH29" s="144">
        <f>AI29-AE29-AF29-AG29</f>
        <v>8454</v>
      </c>
      <c r="AI29" s="144">
        <v>24809</v>
      </c>
      <c r="AJ29" s="144">
        <v>5683</v>
      </c>
      <c r="AK29" s="144">
        <v>6658.5886973333327</v>
      </c>
      <c r="AL29" s="144">
        <v>9189.2205499999982</v>
      </c>
      <c r="AM29" s="144">
        <f>AN29-AJ29-AK29-AL29</f>
        <v>10147.190752666669</v>
      </c>
      <c r="AN29" s="144">
        <v>31678</v>
      </c>
      <c r="AO29" s="144">
        <v>10190.49856</v>
      </c>
      <c r="AP29" s="26"/>
      <c r="AQ29" s="250"/>
      <c r="AR29" s="26"/>
      <c r="AS29" s="26"/>
      <c r="AT29" s="26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</row>
    <row r="30" spans="1:256" x14ac:dyDescent="0.2">
      <c r="A30" s="62"/>
      <c r="B30" s="112" t="s">
        <v>69</v>
      </c>
      <c r="C30" s="106"/>
      <c r="D30" s="108">
        <f>D29/D27</f>
        <v>0.39732216323016029</v>
      </c>
      <c r="E30" s="108">
        <v>0.29662528304918429</v>
      </c>
      <c r="F30" s="108">
        <f t="shared" ref="F30:AL30" si="14">F29/F27</f>
        <v>0.3662939327130994</v>
      </c>
      <c r="G30" s="108">
        <f t="shared" si="14"/>
        <v>0.36070429156586126</v>
      </c>
      <c r="H30" s="108">
        <f t="shared" si="14"/>
        <v>0.384115626524836</v>
      </c>
      <c r="I30" s="108">
        <f t="shared" si="14"/>
        <v>0.34927497722513695</v>
      </c>
      <c r="J30" s="108">
        <f t="shared" si="14"/>
        <v>0.36570371248576478</v>
      </c>
      <c r="K30" s="108">
        <f t="shared" si="14"/>
        <v>0.19725159546726242</v>
      </c>
      <c r="L30" s="108">
        <f t="shared" si="14"/>
        <v>0.26769105505508767</v>
      </c>
      <c r="M30" s="145">
        <f t="shared" si="14"/>
        <v>0.37477914816075558</v>
      </c>
      <c r="N30" s="145">
        <f t="shared" si="14"/>
        <v>0.3625034217316645</v>
      </c>
      <c r="O30" s="145">
        <f t="shared" si="14"/>
        <v>0.3136806157369007</v>
      </c>
      <c r="P30" s="145">
        <f t="shared" si="14"/>
        <v>0.38708427009845725</v>
      </c>
      <c r="Q30" s="145">
        <f t="shared" si="14"/>
        <v>0.37168833013708358</v>
      </c>
      <c r="R30" s="145">
        <f t="shared" si="14"/>
        <v>0.35864894471707653</v>
      </c>
      <c r="S30" s="145">
        <f t="shared" si="14"/>
        <v>0.3905696862881366</v>
      </c>
      <c r="T30" s="145">
        <f t="shared" si="14"/>
        <v>0.37643839229780079</v>
      </c>
      <c r="U30" s="145">
        <f t="shared" si="14"/>
        <v>0.37856342586829328</v>
      </c>
      <c r="V30" s="145">
        <f t="shared" si="14"/>
        <v>0.34581159864989258</v>
      </c>
      <c r="W30" s="145">
        <f t="shared" si="14"/>
        <v>0.35940652818991098</v>
      </c>
      <c r="X30" s="145">
        <f t="shared" si="14"/>
        <v>0.39607519594554774</v>
      </c>
      <c r="Y30" s="145">
        <f t="shared" si="14"/>
        <v>0.37011181625868844</v>
      </c>
      <c r="Z30" s="145">
        <f t="shared" si="14"/>
        <v>0.31464300121016536</v>
      </c>
      <c r="AA30" s="145">
        <f t="shared" si="14"/>
        <v>0.39585513920870841</v>
      </c>
      <c r="AB30" s="145">
        <f t="shared" si="14"/>
        <v>0.37099975792786249</v>
      </c>
      <c r="AC30" s="145">
        <f t="shared" si="14"/>
        <v>0.33633745238316454</v>
      </c>
      <c r="AD30" s="145">
        <f t="shared" si="14"/>
        <v>0.35643291361947405</v>
      </c>
      <c r="AE30" s="145">
        <f t="shared" si="14"/>
        <v>0.27107154031995229</v>
      </c>
      <c r="AF30" s="145">
        <f t="shared" si="14"/>
        <v>0.2266108360665734</v>
      </c>
      <c r="AG30" s="145">
        <f t="shared" si="14"/>
        <v>0.31466557541381174</v>
      </c>
      <c r="AH30" s="145">
        <f t="shared" si="14"/>
        <v>0.3565875307237234</v>
      </c>
      <c r="AI30" s="145">
        <f t="shared" si="14"/>
        <v>0.29723836338585036</v>
      </c>
      <c r="AJ30" s="145">
        <f t="shared" si="14"/>
        <v>0.26181700912190176</v>
      </c>
      <c r="AK30" s="145">
        <f t="shared" si="14"/>
        <v>0.26190169514369621</v>
      </c>
      <c r="AL30" s="145">
        <f t="shared" si="14"/>
        <v>0.29356656283943511</v>
      </c>
      <c r="AM30" s="145">
        <f>AM29/AM27</f>
        <v>0.31531620374340974</v>
      </c>
      <c r="AN30" s="145">
        <f>AN29/AN27</f>
        <v>0.28638586784555159</v>
      </c>
      <c r="AO30" s="145">
        <f t="shared" ref="AO30" si="15">AO29/AO27</f>
        <v>0.31021873482094492</v>
      </c>
      <c r="AP30" s="26"/>
      <c r="AQ30" s="250"/>
      <c r="AR30" s="26"/>
      <c r="AS30" s="26"/>
      <c r="AT30" s="26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pans="1:256" x14ac:dyDescent="0.2">
      <c r="A31" s="62"/>
      <c r="B31" s="112"/>
      <c r="C31" s="106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45"/>
      <c r="O31" s="145"/>
      <c r="P31" s="108"/>
      <c r="Q31" s="108"/>
      <c r="R31" s="108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220"/>
      <c r="AG31" s="220"/>
      <c r="AH31" s="145"/>
      <c r="AI31" s="145"/>
      <c r="AJ31" s="145"/>
      <c r="AK31" s="145"/>
      <c r="AL31" s="145"/>
      <c r="AM31" s="145"/>
      <c r="AN31" s="145"/>
      <c r="AO31" s="145"/>
      <c r="AP31" s="26"/>
      <c r="AQ31" s="250"/>
      <c r="AR31" s="26"/>
      <c r="AS31" s="26"/>
      <c r="AT31" s="26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pans="1:256" s="98" customFormat="1" x14ac:dyDescent="0.2">
      <c r="A32" s="121"/>
      <c r="B32" s="92" t="s">
        <v>97</v>
      </c>
      <c r="C32" s="94"/>
      <c r="D32" s="97">
        <f t="shared" ref="D32:U32" si="16">D21+D27</f>
        <v>98679.335999999996</v>
      </c>
      <c r="E32" s="97">
        <v>152032.53049999999</v>
      </c>
      <c r="F32" s="97">
        <f t="shared" si="16"/>
        <v>44431.273652721633</v>
      </c>
      <c r="G32" s="97">
        <f t="shared" si="16"/>
        <v>47015.219629565981</v>
      </c>
      <c r="H32" s="97">
        <f t="shared" si="16"/>
        <v>46572.902000000002</v>
      </c>
      <c r="I32" s="97">
        <f t="shared" si="16"/>
        <v>43694.373999999996</v>
      </c>
      <c r="J32" s="97">
        <f t="shared" si="16"/>
        <v>181713.7692822876</v>
      </c>
      <c r="K32" s="97">
        <f t="shared" si="16"/>
        <v>40985.678939999998</v>
      </c>
      <c r="L32" s="97">
        <v>42385.281719999999</v>
      </c>
      <c r="M32" s="97">
        <f t="shared" si="16"/>
        <v>48185.783674863975</v>
      </c>
      <c r="N32" s="143">
        <f t="shared" si="16"/>
        <v>59438.190909999976</v>
      </c>
      <c r="O32" s="143">
        <f t="shared" si="16"/>
        <v>190994.93524486397</v>
      </c>
      <c r="P32" s="143">
        <f t="shared" si="16"/>
        <v>54489</v>
      </c>
      <c r="Q32" s="143">
        <f t="shared" si="16"/>
        <v>60639</v>
      </c>
      <c r="R32" s="143">
        <f t="shared" si="16"/>
        <v>67584.852447435696</v>
      </c>
      <c r="S32" s="143">
        <f t="shared" si="16"/>
        <v>70040.147552564304</v>
      </c>
      <c r="T32" s="143">
        <f t="shared" si="16"/>
        <v>252753</v>
      </c>
      <c r="U32" s="143">
        <f t="shared" si="16"/>
        <v>72907</v>
      </c>
      <c r="V32" s="143">
        <f t="shared" ref="V32:AB32" si="17">V21+V27</f>
        <v>85028</v>
      </c>
      <c r="W32" s="143">
        <f t="shared" si="17"/>
        <v>100026</v>
      </c>
      <c r="X32" s="143">
        <f t="shared" si="17"/>
        <v>102580</v>
      </c>
      <c r="Y32" s="143">
        <f t="shared" si="17"/>
        <v>360541</v>
      </c>
      <c r="Z32" s="143">
        <f t="shared" si="17"/>
        <v>104608</v>
      </c>
      <c r="AA32" s="143">
        <f t="shared" si="17"/>
        <v>108030</v>
      </c>
      <c r="AB32" s="143">
        <f t="shared" si="17"/>
        <v>112639</v>
      </c>
      <c r="AC32" s="143">
        <f t="shared" ref="AC32:AJ32" si="18">AC21+AC27</f>
        <v>117653</v>
      </c>
      <c r="AD32" s="143">
        <f t="shared" si="18"/>
        <v>442930</v>
      </c>
      <c r="AE32" s="143">
        <f t="shared" si="18"/>
        <v>116006.06899999999</v>
      </c>
      <c r="AF32" s="143">
        <f t="shared" si="18"/>
        <v>116008.067</v>
      </c>
      <c r="AG32" s="143">
        <f t="shared" si="18"/>
        <v>122315.508</v>
      </c>
      <c r="AH32" s="143">
        <f t="shared" si="18"/>
        <v>124122.35599999999</v>
      </c>
      <c r="AI32" s="143">
        <f t="shared" si="18"/>
        <v>478452</v>
      </c>
      <c r="AJ32" s="143">
        <f t="shared" si="18"/>
        <v>121797</v>
      </c>
      <c r="AK32" s="143">
        <f t="shared" ref="AK32:AL32" si="19">AK21+AK27</f>
        <v>119738</v>
      </c>
      <c r="AL32" s="143">
        <f t="shared" si="19"/>
        <v>122457</v>
      </c>
      <c r="AM32" s="143">
        <f t="shared" ref="AM32:AO32" si="20">AM21+AM27</f>
        <v>135286</v>
      </c>
      <c r="AN32" s="143">
        <f t="shared" si="20"/>
        <v>499278</v>
      </c>
      <c r="AO32" s="143">
        <f t="shared" si="20"/>
        <v>143510.11995000002</v>
      </c>
      <c r="AP32" s="26"/>
      <c r="AQ32" s="250"/>
      <c r="AR32" s="26"/>
      <c r="AS32" s="26"/>
      <c r="AT32" s="26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spans="1:256" x14ac:dyDescent="0.2">
      <c r="A33" s="62"/>
      <c r="B33" s="112"/>
      <c r="C33" s="61"/>
      <c r="D33" s="61"/>
      <c r="E33" s="61"/>
      <c r="F33" s="108"/>
      <c r="G33" s="108"/>
      <c r="H33" s="108"/>
      <c r="I33" s="108"/>
      <c r="J33" s="108"/>
      <c r="K33" s="108"/>
      <c r="L33" s="61"/>
      <c r="M33" s="61"/>
      <c r="N33" s="136"/>
      <c r="O33" s="136"/>
      <c r="P33" s="108"/>
      <c r="Q33" s="61"/>
      <c r="R33" s="61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45"/>
      <c r="AF33" s="145"/>
      <c r="AG33" s="145"/>
      <c r="AH33" s="136"/>
      <c r="AI33" s="136"/>
      <c r="AJ33" s="145"/>
      <c r="AK33" s="145"/>
      <c r="AL33" s="145"/>
      <c r="AM33" s="145"/>
      <c r="AN33" s="136"/>
      <c r="AO33" s="145"/>
      <c r="AP33" s="26"/>
      <c r="AQ33" s="250"/>
      <c r="AR33" s="26"/>
      <c r="AS33" s="26"/>
      <c r="AT33" s="26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spans="1:256" s="98" customFormat="1" x14ac:dyDescent="0.2">
      <c r="A34" s="121"/>
      <c r="B34" s="92" t="s">
        <v>70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139"/>
      <c r="O34" s="139"/>
      <c r="P34" s="94"/>
      <c r="Q34" s="94"/>
      <c r="R34" s="94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26"/>
      <c r="AQ34" s="250"/>
      <c r="AR34" s="26"/>
      <c r="AS34" s="26"/>
      <c r="AT34" s="26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spans="1:256" s="225" customFormat="1" x14ac:dyDescent="0.2">
      <c r="A35" s="235"/>
      <c r="B35" s="237" t="s">
        <v>199</v>
      </c>
      <c r="C35" s="11">
        <v>0.45675946854208227</v>
      </c>
      <c r="D35" s="11">
        <v>0.34449870662677445</v>
      </c>
      <c r="E35" s="11">
        <v>0.34639936415174655</v>
      </c>
      <c r="F35" s="11">
        <v>0.37449566285330121</v>
      </c>
      <c r="G35" s="11">
        <v>0.40946620996836963</v>
      </c>
      <c r="H35" s="11">
        <v>0.46231619010860447</v>
      </c>
      <c r="I35" s="11">
        <v>0.53248614011342588</v>
      </c>
      <c r="J35" s="11">
        <v>0.44404187768450426</v>
      </c>
      <c r="K35" s="11">
        <v>0.55220995760627789</v>
      </c>
      <c r="L35" s="238">
        <v>0.53124301300837606</v>
      </c>
      <c r="M35" s="238">
        <v>0.50314008531712651</v>
      </c>
      <c r="N35" s="148">
        <v>0.58268287932921503</v>
      </c>
      <c r="O35" s="148">
        <v>0.54559999999999997</v>
      </c>
      <c r="P35" s="11">
        <v>0.53526938153244086</v>
      </c>
      <c r="Q35" s="238">
        <v>0.48829658845078577</v>
      </c>
      <c r="R35" s="238">
        <v>0.53581415994673376</v>
      </c>
      <c r="S35" s="148">
        <v>0.52805428446939229</v>
      </c>
      <c r="T35" s="148">
        <v>0.52200000000000002</v>
      </c>
      <c r="U35" s="148">
        <v>0.52118774891370123</v>
      </c>
      <c r="V35" s="148">
        <v>0.47597473135038881</v>
      </c>
      <c r="W35" s="148">
        <v>0.3893861348664297</v>
      </c>
      <c r="X35" s="148">
        <v>0.42230229782100209</v>
      </c>
      <c r="Y35" s="11">
        <v>0.44582360237133128</v>
      </c>
      <c r="Z35" s="148">
        <v>0.42132996472435724</v>
      </c>
      <c r="AA35" s="216">
        <v>0.43602539688927366</v>
      </c>
      <c r="AB35" s="148">
        <v>0.42601345167493321</v>
      </c>
      <c r="AC35" s="148">
        <v>0.42179459581386031</v>
      </c>
      <c r="AD35" s="11">
        <v>0.42622969682484546</v>
      </c>
      <c r="AE35" s="148">
        <v>0.43008097722799005</v>
      </c>
      <c r="AF35" s="148">
        <v>0.4287528025514834</v>
      </c>
      <c r="AG35" s="148">
        <v>0.42415057872673578</v>
      </c>
      <c r="AH35" s="148">
        <v>0.41709720368206121</v>
      </c>
      <c r="AI35" s="11">
        <v>0.42478525733275962</v>
      </c>
      <c r="AJ35" s="148">
        <v>0.41755671448857057</v>
      </c>
      <c r="AK35" s="148">
        <v>0.38989979931017249</v>
      </c>
      <c r="AL35" s="148">
        <v>0.35626268399919592</v>
      </c>
      <c r="AM35" s="148">
        <v>0.38964945422915387</v>
      </c>
      <c r="AN35" s="148">
        <v>0.3883286527139021</v>
      </c>
      <c r="AO35" s="148">
        <v>0.43734137312183535</v>
      </c>
      <c r="AP35" s="26"/>
      <c r="AQ35" s="250"/>
      <c r="AR35" s="26"/>
      <c r="AS35" s="26"/>
      <c r="AT35" s="26"/>
      <c r="AU35" s="136"/>
      <c r="AV35" s="136"/>
      <c r="AW35" s="1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  <c r="IK35" s="236"/>
      <c r="IL35" s="236"/>
      <c r="IM35" s="236"/>
      <c r="IN35" s="236"/>
      <c r="IO35" s="236"/>
      <c r="IP35" s="236"/>
      <c r="IQ35" s="236"/>
      <c r="IR35" s="236"/>
      <c r="IS35" s="236"/>
      <c r="IT35" s="236"/>
      <c r="IU35" s="236"/>
      <c r="IV35" s="236"/>
    </row>
    <row r="36" spans="1:256" s="225" customFormat="1" x14ac:dyDescent="0.2">
      <c r="A36" s="235"/>
      <c r="B36" s="237" t="s">
        <v>196</v>
      </c>
      <c r="C36" s="11"/>
      <c r="D36" s="11"/>
      <c r="E36" s="11"/>
      <c r="F36" s="11"/>
      <c r="G36" s="11"/>
      <c r="H36" s="11"/>
      <c r="I36" s="11"/>
      <c r="J36" s="11"/>
      <c r="K36" s="11"/>
      <c r="L36" s="238"/>
      <c r="M36" s="238"/>
      <c r="N36" s="148"/>
      <c r="O36" s="148"/>
      <c r="P36" s="11"/>
      <c r="Q36" s="238"/>
      <c r="R36" s="238"/>
      <c r="S36" s="148"/>
      <c r="T36" s="148"/>
      <c r="U36" s="148">
        <v>3.2758428355659765E-2</v>
      </c>
      <c r="V36" s="148">
        <v>3.2076372554210246E-2</v>
      </c>
      <c r="W36" s="148">
        <v>4.1101938234564282E-2</v>
      </c>
      <c r="X36" s="148">
        <v>4.6678010231249768E-2</v>
      </c>
      <c r="Y36" s="11">
        <v>3.8873006336138868E-2</v>
      </c>
      <c r="Z36" s="148">
        <v>4.6335341320055748E-2</v>
      </c>
      <c r="AA36" s="216">
        <v>5.5124891757208368E-2</v>
      </c>
      <c r="AB36" s="148">
        <v>6.4501795258803757E-2</v>
      </c>
      <c r="AC36" s="148">
        <v>8.739898040717671E-2</v>
      </c>
      <c r="AD36" s="11">
        <v>6.4006454790106512E-2</v>
      </c>
      <c r="AE36" s="148">
        <v>8.8857389694864938E-2</v>
      </c>
      <c r="AF36" s="148">
        <v>0.10265851731819466</v>
      </c>
      <c r="AG36" s="148">
        <v>0.12320843080116214</v>
      </c>
      <c r="AH36" s="148">
        <v>0.12651383640597186</v>
      </c>
      <c r="AI36" s="11">
        <v>0.11075449280774555</v>
      </c>
      <c r="AJ36" s="148">
        <v>0.12271232178736828</v>
      </c>
      <c r="AK36" s="148">
        <v>0.112280552059355</v>
      </c>
      <c r="AL36" s="148">
        <v>0.11790688290065854</v>
      </c>
      <c r="AM36" s="148">
        <v>0.13180407437725042</v>
      </c>
      <c r="AN36" s="148">
        <v>0.12149546348208833</v>
      </c>
      <c r="AO36" s="148">
        <v>0.13407479644867898</v>
      </c>
      <c r="AP36" s="26"/>
      <c r="AQ36" s="250"/>
      <c r="AR36" s="26"/>
      <c r="AS36" s="26"/>
      <c r="AT36" s="26"/>
      <c r="AU36" s="136"/>
      <c r="AV36" s="136"/>
      <c r="AW36" s="1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/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/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/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/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/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/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36"/>
      <c r="GS36" s="236"/>
      <c r="GT36" s="236"/>
      <c r="GU36" s="236"/>
      <c r="GV36" s="236"/>
      <c r="GW36" s="236"/>
      <c r="GX36" s="236"/>
      <c r="GY36" s="236"/>
      <c r="GZ36" s="236"/>
      <c r="HA36" s="236"/>
      <c r="HB36" s="236"/>
      <c r="HC36" s="236"/>
      <c r="HD36" s="236"/>
      <c r="HE36" s="236"/>
      <c r="HF36" s="236"/>
      <c r="HG36" s="236"/>
      <c r="HH36" s="236"/>
      <c r="HI36" s="236"/>
      <c r="HJ36" s="236"/>
      <c r="HK36" s="236"/>
      <c r="HL36" s="236"/>
      <c r="HM36" s="236"/>
      <c r="HN36" s="236"/>
      <c r="HO36" s="236"/>
      <c r="HP36" s="236"/>
      <c r="HQ36" s="236"/>
      <c r="HR36" s="236"/>
      <c r="HS36" s="236"/>
      <c r="HT36" s="236"/>
      <c r="HU36" s="236"/>
      <c r="HV36" s="236"/>
      <c r="HW36" s="236"/>
      <c r="HX36" s="236"/>
      <c r="HY36" s="236"/>
      <c r="HZ36" s="236"/>
      <c r="IA36" s="236"/>
      <c r="IB36" s="236"/>
      <c r="IC36" s="236"/>
      <c r="ID36" s="236"/>
      <c r="IE36" s="236"/>
      <c r="IF36" s="236"/>
      <c r="IG36" s="236"/>
      <c r="IH36" s="236"/>
      <c r="II36" s="236"/>
      <c r="IJ36" s="236"/>
      <c r="IK36" s="236"/>
      <c r="IL36" s="236"/>
      <c r="IM36" s="236"/>
      <c r="IN36" s="236"/>
      <c r="IO36" s="236"/>
      <c r="IP36" s="236"/>
      <c r="IQ36" s="236"/>
      <c r="IR36" s="236"/>
      <c r="IS36" s="236"/>
      <c r="IT36" s="236"/>
      <c r="IU36" s="236"/>
      <c r="IV36" s="236"/>
    </row>
    <row r="37" spans="1:256" x14ac:dyDescent="0.2">
      <c r="A37" s="62"/>
      <c r="B37" s="112" t="s">
        <v>102</v>
      </c>
      <c r="C37" s="11">
        <v>2.8937771465850137E-2</v>
      </c>
      <c r="D37" s="11">
        <v>0.19583359207128828</v>
      </c>
      <c r="E37" s="11">
        <v>0.29196092095130055</v>
      </c>
      <c r="F37" s="12">
        <v>0.26910617299171496</v>
      </c>
      <c r="G37" s="12">
        <v>0.255</v>
      </c>
      <c r="H37" s="12">
        <v>0.22608521010644195</v>
      </c>
      <c r="I37" s="12">
        <v>0.18555155288636394</v>
      </c>
      <c r="J37" s="11">
        <v>0.23433152230527116</v>
      </c>
      <c r="K37" s="12">
        <v>0.22751035318761451</v>
      </c>
      <c r="L37" s="109">
        <v>0.26126832911370168</v>
      </c>
      <c r="M37" s="109">
        <v>0.26807812176371032</v>
      </c>
      <c r="N37" s="148">
        <v>0.21979320994652241</v>
      </c>
      <c r="O37" s="148">
        <v>0.24283501120185744</v>
      </c>
      <c r="P37" s="12">
        <v>0.23424675234977838</v>
      </c>
      <c r="Q37" s="109">
        <v>0.21257662539303643</v>
      </c>
      <c r="R37" s="109">
        <v>0.19532440630317377</v>
      </c>
      <c r="S37" s="148">
        <v>0.19314636637290628</v>
      </c>
      <c r="T37" s="148">
        <v>0.20699999999999999</v>
      </c>
      <c r="U37" s="148">
        <v>0.18068471730721752</v>
      </c>
      <c r="V37" s="148">
        <v>0.16726126006542411</v>
      </c>
      <c r="W37" s="148">
        <v>0.14155319616899606</v>
      </c>
      <c r="X37" s="148">
        <v>0.12341587054006629</v>
      </c>
      <c r="Y37" s="11">
        <v>0.15036847404317399</v>
      </c>
      <c r="Z37" s="148">
        <v>0.12605033983691652</v>
      </c>
      <c r="AA37" s="216">
        <v>0.1212176934447724</v>
      </c>
      <c r="AB37" s="148">
        <v>0.12199538408870726</v>
      </c>
      <c r="AC37" s="148">
        <v>0.12190932899079493</v>
      </c>
      <c r="AD37" s="11">
        <v>0.12274079414958959</v>
      </c>
      <c r="AE37" s="148">
        <v>0.129787267504786</v>
      </c>
      <c r="AF37" s="148">
        <v>0.125180949700679</v>
      </c>
      <c r="AG37" s="148">
        <v>0.11217573389940888</v>
      </c>
      <c r="AH37" s="148">
        <v>0.11188075146065665</v>
      </c>
      <c r="AI37" s="11">
        <v>0.11955868965382262</v>
      </c>
      <c r="AJ37" s="148">
        <v>0.11352674655693672</v>
      </c>
      <c r="AK37" s="148">
        <v>0.12341094546871946</v>
      </c>
      <c r="AL37" s="148">
        <v>0.11632331743088761</v>
      </c>
      <c r="AM37" s="148">
        <v>0.11371460205605757</v>
      </c>
      <c r="AN37" s="148">
        <v>0.11663400883719612</v>
      </c>
      <c r="AO37" s="148">
        <v>9.9900008681257091E-2</v>
      </c>
      <c r="AP37" s="26"/>
      <c r="AQ37" s="250"/>
      <c r="AR37" s="26"/>
      <c r="AS37" s="26"/>
      <c r="AT37" s="26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  <row r="38" spans="1:256" x14ac:dyDescent="0.2">
      <c r="A38" s="62"/>
      <c r="B38" s="112" t="s">
        <v>103</v>
      </c>
      <c r="C38" s="11">
        <v>0.28726293877507103</v>
      </c>
      <c r="D38" s="11">
        <v>0.33924733634572996</v>
      </c>
      <c r="E38" s="11">
        <v>0.25050348074646717</v>
      </c>
      <c r="F38" s="12">
        <v>0.21763286496164452</v>
      </c>
      <c r="G38" s="12">
        <v>0.19847254545641166</v>
      </c>
      <c r="H38" s="12">
        <v>0.17661096688306616</v>
      </c>
      <c r="I38" s="12">
        <v>0.14742875833403205</v>
      </c>
      <c r="J38" s="11">
        <v>0.18528054415327813</v>
      </c>
      <c r="K38" s="12">
        <v>0.10344497552032583</v>
      </c>
      <c r="L38" s="109">
        <v>8.7865972909651507E-2</v>
      </c>
      <c r="M38" s="109">
        <v>8.5585391334349517E-2</v>
      </c>
      <c r="N38" s="148">
        <v>9.5377765811906393E-2</v>
      </c>
      <c r="O38" s="148">
        <v>9.2971439605658707E-2</v>
      </c>
      <c r="P38" s="12">
        <v>9.8329688073130528E-2</v>
      </c>
      <c r="Q38" s="109">
        <v>9.5523457070139317E-2</v>
      </c>
      <c r="R38" s="109">
        <v>8.6054597913738262E-2</v>
      </c>
      <c r="S38" s="148">
        <v>9.9742793870573873E-2</v>
      </c>
      <c r="T38" s="148">
        <v>9.4E-2</v>
      </c>
      <c r="U38" s="148">
        <v>7.0693770060077363E-2</v>
      </c>
      <c r="V38" s="148">
        <v>6.5597500529285993E-2</v>
      </c>
      <c r="W38" s="148">
        <v>5.7515046088017115E-2</v>
      </c>
      <c r="X38" s="148">
        <v>7.34353675180347E-2</v>
      </c>
      <c r="Y38" s="11">
        <v>6.6616556785497355E-2</v>
      </c>
      <c r="Z38" s="148">
        <v>5.9086694261488014E-2</v>
      </c>
      <c r="AA38" s="216">
        <v>7.0165170289839915E-2</v>
      </c>
      <c r="AB38" s="148">
        <v>7.2274756595723647E-2</v>
      </c>
      <c r="AC38" s="148">
        <v>9.6299368932315943E-2</v>
      </c>
      <c r="AD38" s="11">
        <v>7.5027291750940944E-2</v>
      </c>
      <c r="AE38" s="148">
        <v>7.5858100148191387E-2</v>
      </c>
      <c r="AF38" s="148">
        <v>7.5305107876678962E-2</v>
      </c>
      <c r="AG38" s="148">
        <v>7.7850281816420272E-2</v>
      </c>
      <c r="AH38" s="148">
        <v>9.2226635597494444E-2</v>
      </c>
      <c r="AI38" s="11">
        <v>7.9926041513707385E-2</v>
      </c>
      <c r="AJ38" s="148">
        <v>8.412730520299673E-2</v>
      </c>
      <c r="AK38" s="148">
        <v>9.9054732006632437E-2</v>
      </c>
      <c r="AL38" s="148">
        <v>0.12095546045940204</v>
      </c>
      <c r="AM38" s="148">
        <v>0.10430760405191181</v>
      </c>
      <c r="AN38" s="148">
        <v>0.10220812960255508</v>
      </c>
      <c r="AO38" s="148">
        <v>9.9388632878867941E-2</v>
      </c>
      <c r="AP38" s="26"/>
      <c r="AQ38" s="250"/>
      <c r="AR38" s="26"/>
      <c r="AS38" s="26"/>
      <c r="AT38" s="26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</row>
    <row r="39" spans="1:256" x14ac:dyDescent="0.2">
      <c r="A39" s="62"/>
      <c r="B39" s="112" t="s">
        <v>193</v>
      </c>
      <c r="C39" s="222">
        <v>0</v>
      </c>
      <c r="D39" s="222">
        <v>0</v>
      </c>
      <c r="E39" s="222">
        <v>4.428366771134706E-3</v>
      </c>
      <c r="F39" s="222">
        <v>1.0900048793157672E-2</v>
      </c>
      <c r="G39" s="222">
        <v>1.3970289736530514E-2</v>
      </c>
      <c r="H39" s="222">
        <v>2.1918619955087405E-2</v>
      </c>
      <c r="I39" s="222">
        <v>5.094140518483721E-2</v>
      </c>
      <c r="J39" s="222">
        <v>2.4146698308688194E-2</v>
      </c>
      <c r="K39" s="222">
        <v>7.1724304998427565E-2</v>
      </c>
      <c r="L39" s="222">
        <v>7.3040823981838018E-2</v>
      </c>
      <c r="M39" s="222">
        <v>9.8391679740888124E-2</v>
      </c>
      <c r="N39" s="222">
        <v>7.7391328726564082E-2</v>
      </c>
      <c r="O39" s="222">
        <v>8.0507885685301622E-2</v>
      </c>
      <c r="P39" s="222">
        <v>0.10494236533108126</v>
      </c>
      <c r="Q39" s="222">
        <v>0.15902710225209604</v>
      </c>
      <c r="R39" s="222">
        <v>0.14753273655396909</v>
      </c>
      <c r="S39" s="222">
        <v>0.14895742462807002</v>
      </c>
      <c r="T39" s="222">
        <v>0.14100000000000001</v>
      </c>
      <c r="U39" s="222">
        <v>0.14344498395193811</v>
      </c>
      <c r="V39" s="222">
        <v>0.13421442667124373</v>
      </c>
      <c r="W39" s="222">
        <v>0.11864915122068262</v>
      </c>
      <c r="X39" s="222">
        <v>0.1049619808929616</v>
      </c>
      <c r="Y39" s="222">
        <v>0.12343949786570736</v>
      </c>
      <c r="Z39" s="222">
        <v>0.10212314428012886</v>
      </c>
      <c r="AA39" s="222">
        <v>0.10052327827987029</v>
      </c>
      <c r="AB39" s="222">
        <v>9.6808809452650191E-2</v>
      </c>
      <c r="AC39" s="222">
        <v>8.7383861584928599E-2</v>
      </c>
      <c r="AD39" s="222">
        <v>9.6466573638898212E-2</v>
      </c>
      <c r="AE39" s="222">
        <v>0.11206310249164637</v>
      </c>
      <c r="AF39" s="222">
        <v>0.10857003590965791</v>
      </c>
      <c r="AG39" s="222">
        <v>9.9343870660839648E-2</v>
      </c>
      <c r="AH39" s="222">
        <v>0.10153840880942787</v>
      </c>
      <c r="AI39" s="222">
        <v>0.10515451524109552</v>
      </c>
      <c r="AJ39" s="222">
        <v>9.0366493634688405E-2</v>
      </c>
      <c r="AK39" s="222">
        <v>0.10482103914280051</v>
      </c>
      <c r="AL39" s="222">
        <v>0.10184127492126396</v>
      </c>
      <c r="AM39" s="222">
        <v>9.8913510861440901E-2</v>
      </c>
      <c r="AN39" s="222">
        <v>9.8963342339381671E-2</v>
      </c>
      <c r="AO39" s="222">
        <v>0.10079674233892533</v>
      </c>
      <c r="AP39" s="26"/>
      <c r="AQ39" s="250"/>
      <c r="AR39" s="26"/>
      <c r="AS39" s="26"/>
      <c r="AT39" s="26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</row>
    <row r="40" spans="1:256" x14ac:dyDescent="0.2">
      <c r="A40" s="62"/>
      <c r="B40" s="112" t="s">
        <v>104</v>
      </c>
      <c r="C40" s="11">
        <v>0.22703982121699656</v>
      </c>
      <c r="D40" s="11">
        <v>0.12042036495620743</v>
      </c>
      <c r="E40" s="11">
        <v>0.10670786737935115</v>
      </c>
      <c r="F40" s="12">
        <v>0.12786525040018187</v>
      </c>
      <c r="G40" s="12">
        <v>0.12311961213295775</v>
      </c>
      <c r="H40" s="12">
        <v>0.11306901294679987</v>
      </c>
      <c r="I40" s="12">
        <v>8.3592143481340933E-2</v>
      </c>
      <c r="J40" s="11">
        <v>0.11219935754825837</v>
      </c>
      <c r="K40" s="12">
        <v>4.5110408687354435E-2</v>
      </c>
      <c r="L40" s="109">
        <v>4.658186098643266E-2</v>
      </c>
      <c r="M40" s="109">
        <v>4.4804721843925366E-2</v>
      </c>
      <c r="N40" s="148">
        <v>2.4754816185792117E-2</v>
      </c>
      <c r="O40" s="148">
        <v>3.9025145508453152E-2</v>
      </c>
      <c r="P40" s="12">
        <v>2.721181271356889E-2</v>
      </c>
      <c r="Q40" s="109">
        <v>4.4576226833942474E-2</v>
      </c>
      <c r="R40" s="109">
        <v>3.5274099282385146E-2</v>
      </c>
      <c r="S40" s="148">
        <v>3.0097023973542757E-2</v>
      </c>
      <c r="T40" s="148">
        <v>3.5000000000000003E-2</v>
      </c>
      <c r="U40" s="148">
        <v>5.1230351411406472E-2</v>
      </c>
      <c r="V40" s="148">
        <v>0.12487570882944715</v>
      </c>
      <c r="W40" s="148">
        <v>0.25181452822266209</v>
      </c>
      <c r="X40" s="148">
        <v>0.22920647299668551</v>
      </c>
      <c r="Y40" s="11">
        <v>0.17487886259815111</v>
      </c>
      <c r="Z40" s="148">
        <v>0.2450649561701192</v>
      </c>
      <c r="AA40" s="216">
        <v>0.21694356933903505</v>
      </c>
      <c r="AB40" s="148">
        <v>0.21840580292918199</v>
      </c>
      <c r="AC40" s="148">
        <v>0.18521386427092384</v>
      </c>
      <c r="AD40" s="11">
        <v>0.21552918884561925</v>
      </c>
      <c r="AE40" s="148">
        <v>0.16378453441086777</v>
      </c>
      <c r="AF40" s="148">
        <v>0.15953200909726389</v>
      </c>
      <c r="AG40" s="148">
        <v>0.16327110409543286</v>
      </c>
      <c r="AH40" s="148">
        <v>0.15074316404438784</v>
      </c>
      <c r="AI40" s="11">
        <v>0.15982100345086936</v>
      </c>
      <c r="AJ40" s="148">
        <v>0.17171041832943937</v>
      </c>
      <c r="AK40" s="148">
        <v>0.17053293201232003</v>
      </c>
      <c r="AL40" s="148">
        <v>0.18671038028859202</v>
      </c>
      <c r="AM40" s="148">
        <v>0.16161075442418554</v>
      </c>
      <c r="AN40" s="148">
        <v>0.17237040302487683</v>
      </c>
      <c r="AO40" s="148">
        <v>0.12849844653043524</v>
      </c>
      <c r="AP40" s="26"/>
      <c r="AQ40" s="250"/>
      <c r="AR40" s="26"/>
      <c r="AS40" s="26"/>
      <c r="AT40" s="26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</row>
    <row r="41" spans="1:256" ht="1.5" customHeight="1" x14ac:dyDescent="0.2">
      <c r="A41" s="62"/>
      <c r="B41" s="112"/>
      <c r="C41" s="11"/>
      <c r="D41" s="11"/>
      <c r="E41" s="11"/>
      <c r="F41" s="12"/>
      <c r="G41" s="12"/>
      <c r="H41" s="12"/>
      <c r="I41" s="12"/>
      <c r="J41" s="11"/>
      <c r="K41" s="12"/>
      <c r="L41" s="61"/>
      <c r="M41" s="61"/>
      <c r="N41" s="136"/>
      <c r="O41" s="136"/>
      <c r="P41" s="12"/>
      <c r="Q41" s="61"/>
      <c r="R41" s="61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26"/>
      <c r="AQ41" s="250"/>
      <c r="AR41" s="26"/>
      <c r="AS41" s="26"/>
      <c r="AT41" s="26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</row>
    <row r="42" spans="1:256" s="98" customFormat="1" x14ac:dyDescent="0.2">
      <c r="A42" s="121"/>
      <c r="B42" s="92" t="s">
        <v>105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39"/>
      <c r="O42" s="139"/>
      <c r="P42" s="94"/>
      <c r="Q42" s="94"/>
      <c r="R42" s="94"/>
      <c r="S42" s="139"/>
      <c r="T42" s="139"/>
      <c r="U42" s="139"/>
      <c r="V42" s="139"/>
      <c r="W42" s="139"/>
      <c r="X42" s="139"/>
      <c r="Y42" s="139"/>
      <c r="Z42" s="139"/>
      <c r="AA42" s="139"/>
      <c r="AB42" s="21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26"/>
      <c r="AQ42" s="250"/>
      <c r="AR42" s="26"/>
      <c r="AS42" s="26"/>
      <c r="AT42" s="26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</row>
    <row r="43" spans="1:256" x14ac:dyDescent="0.2">
      <c r="A43" s="62"/>
      <c r="B43" s="112" t="s">
        <v>106</v>
      </c>
      <c r="C43" s="106">
        <v>0.65795753387147127</v>
      </c>
      <c r="D43" s="11">
        <v>0.61852335535039538</v>
      </c>
      <c r="E43" s="11">
        <v>0.53977430289347728</v>
      </c>
      <c r="F43" s="11">
        <v>0.53305124800252079</v>
      </c>
      <c r="G43" s="11">
        <v>0.53825198602180291</v>
      </c>
      <c r="H43" s="11">
        <v>0.56006108444777603</v>
      </c>
      <c r="I43" s="11">
        <v>0.62926429286226926</v>
      </c>
      <c r="J43" s="11">
        <v>0.56445467479532629</v>
      </c>
      <c r="K43" s="11">
        <v>0.65627287366417797</v>
      </c>
      <c r="L43" s="110">
        <v>0.64687979237937954</v>
      </c>
      <c r="M43" s="110">
        <v>0.64640993603717667</v>
      </c>
      <c r="N43" s="140">
        <v>0.61399999999999999</v>
      </c>
      <c r="O43" s="140">
        <v>0.63800000000000001</v>
      </c>
      <c r="P43" s="11">
        <v>0.70806581149807835</v>
      </c>
      <c r="Q43" s="110">
        <v>0.73051383510245915</v>
      </c>
      <c r="R43" s="110">
        <v>0.71</v>
      </c>
      <c r="S43" s="140">
        <v>0.72799999999999998</v>
      </c>
      <c r="T43" s="140">
        <v>0.72</v>
      </c>
      <c r="U43" s="140">
        <v>0.71899999999999997</v>
      </c>
      <c r="V43" s="140">
        <v>0.71811434074510638</v>
      </c>
      <c r="W43" s="140">
        <v>0.7148441405234639</v>
      </c>
      <c r="X43" s="140">
        <v>0.72</v>
      </c>
      <c r="Y43" s="140">
        <v>0.71782959496978149</v>
      </c>
      <c r="Z43" s="140">
        <v>0.72602477821963907</v>
      </c>
      <c r="AA43" s="140">
        <v>0.71799999999999997</v>
      </c>
      <c r="AB43" s="140">
        <v>0.7186587238878186</v>
      </c>
      <c r="AC43" s="140">
        <v>0.73</v>
      </c>
      <c r="AD43" s="140">
        <v>0.72301718104440882</v>
      </c>
      <c r="AE43" s="140">
        <v>0.71665258693515854</v>
      </c>
      <c r="AF43" s="140">
        <v>0.72958761464726574</v>
      </c>
      <c r="AG43" s="140">
        <v>0.75211543964354333</v>
      </c>
      <c r="AH43" s="140">
        <v>0.753</v>
      </c>
      <c r="AI43" s="140">
        <v>0.73836873918386803</v>
      </c>
      <c r="AJ43" s="254">
        <v>0.74232534463082012</v>
      </c>
      <c r="AK43" s="254">
        <v>0.73400257228281751</v>
      </c>
      <c r="AL43" s="254">
        <v>0.72953771527964917</v>
      </c>
      <c r="AM43" s="254">
        <v>0.74828141862424791</v>
      </c>
      <c r="AN43" s="254">
        <v>0.73880683707273298</v>
      </c>
      <c r="AO43" s="254">
        <v>0.7796549012915055</v>
      </c>
      <c r="AP43" s="26"/>
      <c r="AQ43" s="250"/>
      <c r="AR43" s="26"/>
      <c r="AS43" s="26"/>
      <c r="AT43" s="26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</row>
    <row r="44" spans="1:256" x14ac:dyDescent="0.2">
      <c r="A44" s="62"/>
      <c r="B44" s="112" t="s">
        <v>107</v>
      </c>
      <c r="C44" s="106">
        <v>0.34191326812550166</v>
      </c>
      <c r="D44" s="106">
        <v>0.37824902489908496</v>
      </c>
      <c r="E44" s="106">
        <v>0.45731503525510919</v>
      </c>
      <c r="F44" s="106">
        <v>0.46424793500033762</v>
      </c>
      <c r="G44" s="106">
        <v>0.45780850239153414</v>
      </c>
      <c r="H44" s="106">
        <v>0.43548630489034162</v>
      </c>
      <c r="I44" s="106">
        <v>0.35184043846840518</v>
      </c>
      <c r="J44" s="106">
        <v>0.42818094081294211</v>
      </c>
      <c r="K44" s="106">
        <v>0.34097008734689893</v>
      </c>
      <c r="L44" s="110">
        <v>0.34222012504423732</v>
      </c>
      <c r="M44" s="110">
        <v>0.32240813101927418</v>
      </c>
      <c r="N44" s="140">
        <v>0.34793610450379264</v>
      </c>
      <c r="O44" s="140">
        <v>0.33873533824523194</v>
      </c>
      <c r="P44" s="106">
        <v>0.26275746227488972</v>
      </c>
      <c r="Q44" s="110">
        <v>0.2325450947577479</v>
      </c>
      <c r="R44" s="110">
        <v>0.24</v>
      </c>
      <c r="S44" s="140">
        <v>0.23699999999999999</v>
      </c>
      <c r="T44" s="140">
        <v>0.24299999999999999</v>
      </c>
      <c r="U44" s="140">
        <v>0.253</v>
      </c>
      <c r="V44" s="140">
        <v>0.23136936707175082</v>
      </c>
      <c r="W44" s="140">
        <v>0.20977545838082098</v>
      </c>
      <c r="X44" s="140">
        <v>0.2</v>
      </c>
      <c r="Y44" s="140">
        <v>0.22027730549368865</v>
      </c>
      <c r="Z44" s="140">
        <v>0.19992734781278679</v>
      </c>
      <c r="AA44" s="140">
        <v>0.20399999999999999</v>
      </c>
      <c r="AB44" s="140">
        <v>0.20473370679782313</v>
      </c>
      <c r="AC44" s="140">
        <v>0.2</v>
      </c>
      <c r="AD44" s="140">
        <v>0.20202515070101371</v>
      </c>
      <c r="AE44" s="140">
        <v>0.20773063462234712</v>
      </c>
      <c r="AF44" s="140">
        <v>0.19902075718915938</v>
      </c>
      <c r="AG44" s="140">
        <v>0.18803907942607204</v>
      </c>
      <c r="AH44" s="140">
        <v>0.18099999999999999</v>
      </c>
      <c r="AI44" s="140">
        <v>0.19354292593614406</v>
      </c>
      <c r="AJ44" s="254">
        <v>0.19229537673341707</v>
      </c>
      <c r="AK44" s="254">
        <v>0.20656767275217558</v>
      </c>
      <c r="AL44" s="254">
        <v>0.2128093943180055</v>
      </c>
      <c r="AM44" s="254">
        <v>0.20382005529027394</v>
      </c>
      <c r="AN44" s="254">
        <v>0.20387239173366342</v>
      </c>
      <c r="AO44" s="254">
        <v>0.17989025288101249</v>
      </c>
      <c r="AP44" s="26"/>
      <c r="AQ44" s="250"/>
      <c r="AR44" s="26"/>
      <c r="AS44" s="26"/>
      <c r="AT44" s="26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</row>
    <row r="45" spans="1:256" x14ac:dyDescent="0.2">
      <c r="A45" s="62"/>
      <c r="B45" s="112" t="s">
        <v>179</v>
      </c>
      <c r="C45" s="106">
        <v>1.2919800302707229E-4</v>
      </c>
      <c r="D45" s="106">
        <v>3.2276197505196873E-3</v>
      </c>
      <c r="E45" s="106">
        <f>0.18107715332739%+0.109989031813949%</f>
        <v>2.91066185141339E-3</v>
      </c>
      <c r="F45" s="106">
        <v>1.395422115189845E-3</v>
      </c>
      <c r="G45" s="106">
        <v>2.7855235556809806E-3</v>
      </c>
      <c r="H45" s="106">
        <v>2.4633208383707762E-3</v>
      </c>
      <c r="I45" s="106">
        <v>6.6802927461907134E-3</v>
      </c>
      <c r="J45" s="106">
        <f>0.329957946003242%+0.406480493169909%</f>
        <v>7.3643843917315099E-3</v>
      </c>
      <c r="K45" s="106">
        <f>0.141511735714634%+0.13419216317767%</f>
        <v>2.7570389889230397E-3</v>
      </c>
      <c r="L45" s="110">
        <f>1.0215878258818%+0.0684204317565176%</f>
        <v>1.0900082576383177E-2</v>
      </c>
      <c r="M45" s="110">
        <f>3.10598708920724%+0.0122062051476854%</f>
        <v>3.1181932943549255E-2</v>
      </c>
      <c r="N45" s="140">
        <v>3.8100000000000002E-2</v>
      </c>
      <c r="O45" s="140">
        <v>2.3300000000000001E-2</v>
      </c>
      <c r="P45" s="106">
        <f>2.59123146274033%+0.326441159962862%</f>
        <v>2.9176726227031921E-2</v>
      </c>
      <c r="Q45" s="110">
        <f>2.70369357127979%+0.990413442699509%</f>
        <v>3.6941070139792989E-2</v>
      </c>
      <c r="R45" s="110">
        <v>0.05</v>
      </c>
      <c r="S45" s="140">
        <f>2.7%+0.8%</f>
        <v>3.5000000000000003E-2</v>
      </c>
      <c r="T45" s="140">
        <f>2.9%+0.8%</f>
        <v>3.6999999999999998E-2</v>
      </c>
      <c r="U45" s="140">
        <f>2.1%+0.7%</f>
        <v>2.8000000000000001E-2</v>
      </c>
      <c r="V45" s="140">
        <f>3.69634486929308%+1.35528434902119%</f>
        <v>5.05162921831427E-2</v>
      </c>
      <c r="W45" s="140">
        <v>7.5380401095715116E-2</v>
      </c>
      <c r="X45" s="140">
        <v>0.08</v>
      </c>
      <c r="Y45" s="140">
        <v>6.1893099536529828E-2</v>
      </c>
      <c r="Z45" s="140">
        <v>7.4047873967574188E-2</v>
      </c>
      <c r="AA45" s="140">
        <v>7.8000000000000069E-2</v>
      </c>
      <c r="AB45" s="140">
        <v>7.6607569314358262E-2</v>
      </c>
      <c r="AC45" s="140">
        <v>7.0000000000000007E-2</v>
      </c>
      <c r="AD45" s="140">
        <v>7.4957668254577475E-2</v>
      </c>
      <c r="AE45" s="140">
        <v>7.5616778442494356E-2</v>
      </c>
      <c r="AF45" s="140">
        <v>7.139162816357493E-2</v>
      </c>
      <c r="AG45" s="140">
        <v>5.9845480930384665E-2</v>
      </c>
      <c r="AH45" s="140">
        <v>6.7000000000000004E-2</v>
      </c>
      <c r="AI45" s="140">
        <v>6.8038420811899702E-2</v>
      </c>
      <c r="AJ45" s="254">
        <v>6.5379278635762789E-2</v>
      </c>
      <c r="AK45" s="254">
        <v>5.942975496500693E-2</v>
      </c>
      <c r="AL45" s="255">
        <v>5.7652890402345315E-2</v>
      </c>
      <c r="AM45" s="255">
        <v>4.789852608547817E-2</v>
      </c>
      <c r="AN45" s="254">
        <v>5.7320771193603563E-2</v>
      </c>
      <c r="AO45" s="140">
        <v>4.0454845827482017E-2</v>
      </c>
      <c r="AP45" s="26"/>
      <c r="AQ45" s="250"/>
      <c r="AR45" s="26"/>
      <c r="AS45" s="26"/>
      <c r="AT45" s="26"/>
    </row>
    <row r="46" spans="1:256" ht="5.25" customHeight="1" x14ac:dyDescent="0.2">
      <c r="A46" s="62"/>
      <c r="B46" s="61"/>
      <c r="C46" s="61"/>
      <c r="D46" s="61"/>
      <c r="E46" s="117"/>
      <c r="F46" s="61"/>
      <c r="G46" s="61"/>
      <c r="H46" s="61"/>
      <c r="I46" s="61"/>
      <c r="J46" s="61"/>
      <c r="K46" s="61"/>
      <c r="L46" s="61"/>
      <c r="M46" s="61"/>
      <c r="N46" s="136"/>
      <c r="O46" s="136"/>
      <c r="P46" s="61"/>
      <c r="Q46" s="61"/>
      <c r="R46" s="61"/>
      <c r="S46" s="136"/>
      <c r="T46" s="136"/>
      <c r="X46" s="136"/>
      <c r="Y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26"/>
      <c r="AQ46" s="250"/>
      <c r="AR46" s="26"/>
      <c r="AS46" s="26"/>
      <c r="AT46" s="26"/>
    </row>
    <row r="47" spans="1:256" s="92" customFormat="1" x14ac:dyDescent="0.2">
      <c r="B47" s="92" t="s">
        <v>206</v>
      </c>
      <c r="P47" s="143">
        <v>4782.6040000000003</v>
      </c>
      <c r="Q47" s="143">
        <v>6010.1167408274132</v>
      </c>
      <c r="R47" s="143">
        <v>5697.1686889971315</v>
      </c>
      <c r="S47" s="143">
        <v>7468.0905022610086</v>
      </c>
      <c r="T47" s="143">
        <v>24086.726022731396</v>
      </c>
      <c r="U47" s="143">
        <v>6436.1692313791955</v>
      </c>
      <c r="V47" s="143">
        <v>7121.9885854672184</v>
      </c>
      <c r="W47" s="143">
        <v>7151.3779414742676</v>
      </c>
      <c r="X47" s="143">
        <v>7170.6961309476465</v>
      </c>
      <c r="Y47" s="143">
        <v>27880.231889268329</v>
      </c>
      <c r="Z47" s="143">
        <v>7065.5021100000013</v>
      </c>
      <c r="AA47" s="143">
        <v>9229.0012200000001</v>
      </c>
      <c r="AB47" s="143">
        <v>9563.6102848344672</v>
      </c>
      <c r="AC47" s="143">
        <v>11187.714641629474</v>
      </c>
      <c r="AD47" s="143">
        <v>37045.828256463938</v>
      </c>
      <c r="AE47" s="143">
        <v>9726.828890472585</v>
      </c>
      <c r="AF47" s="143">
        <v>10220.808029094891</v>
      </c>
      <c r="AG47" s="143">
        <v>11711.896398257681</v>
      </c>
      <c r="AH47" s="143">
        <v>13876.733970445966</v>
      </c>
      <c r="AI47" s="143">
        <v>45536.267288271127</v>
      </c>
      <c r="AJ47" s="143">
        <v>13551.071539538196</v>
      </c>
      <c r="AK47" s="143">
        <v>15123.675227930646</v>
      </c>
      <c r="AL47" s="143">
        <v>17945.962192825427</v>
      </c>
      <c r="AM47" s="143">
        <v>18994</v>
      </c>
      <c r="AN47" s="143">
        <v>65615</v>
      </c>
      <c r="AO47" s="143">
        <v>19657.232147845272</v>
      </c>
      <c r="AQ47" s="250"/>
    </row>
    <row r="48" spans="1:256" s="98" customFormat="1" x14ac:dyDescent="0.2">
      <c r="A48" s="241"/>
      <c r="B48" s="112" t="s">
        <v>189</v>
      </c>
      <c r="C48" s="42"/>
      <c r="D48" s="242"/>
      <c r="E48" s="108"/>
      <c r="F48" s="242"/>
      <c r="G48" s="242"/>
      <c r="H48" s="242"/>
      <c r="I48" s="242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>
        <f t="shared" ref="U48:Y48" si="21">U47/P47-1</f>
        <v>0.34574579692970508</v>
      </c>
      <c r="V48" s="108">
        <f t="shared" si="21"/>
        <v>0.18500004119499569</v>
      </c>
      <c r="W48" s="108">
        <f t="shared" si="21"/>
        <v>0.25525121895822256</v>
      </c>
      <c r="X48" s="108">
        <f t="shared" si="21"/>
        <v>-3.9822009551614856E-2</v>
      </c>
      <c r="Y48" s="108">
        <f t="shared" si="21"/>
        <v>0.15749362794083699</v>
      </c>
      <c r="Z48" s="108">
        <f t="shared" ref="Z48" si="22">Z47/U47-1</f>
        <v>9.7780660513481665E-2</v>
      </c>
      <c r="AA48" s="108">
        <f t="shared" ref="AA48" si="23">AA47/V47-1</f>
        <v>0.29584611225469359</v>
      </c>
      <c r="AB48" s="108">
        <f t="shared" ref="AB48" si="24">AB47/W47-1</f>
        <v>0.33731014681387594</v>
      </c>
      <c r="AC48" s="108">
        <f t="shared" ref="AC48" si="25">AC47/X47-1</f>
        <v>0.5601992383061638</v>
      </c>
      <c r="AD48" s="108">
        <f t="shared" ref="AD48" si="26">AD47/Y47-1</f>
        <v>0.32874892876065465</v>
      </c>
      <c r="AE48" s="108">
        <f>AE47/Z47-1</f>
        <v>0.37666491907290411</v>
      </c>
      <c r="AF48" s="108">
        <f t="shared" ref="AF48" si="27">AF47/AA47-1</f>
        <v>0.10746632116003685</v>
      </c>
      <c r="AG48" s="108">
        <f t="shared" ref="AG48" si="28">AG47/AB47-1</f>
        <v>0.22463128979961322</v>
      </c>
      <c r="AH48" s="108">
        <f t="shared" ref="AH48" si="29">AH47/AC47-1</f>
        <v>0.2403546582079108</v>
      </c>
      <c r="AI48" s="108">
        <f t="shared" ref="AI48" si="30">AI47/AD47-1</f>
        <v>0.22918745325462475</v>
      </c>
      <c r="AJ48" s="108">
        <f t="shared" ref="AJ48" si="31">AJ47/AE47-1</f>
        <v>0.39316437989481345</v>
      </c>
      <c r="AK48" s="108">
        <f t="shared" ref="AK48" si="32">AK47/AF47-1</f>
        <v>0.47969467627990769</v>
      </c>
      <c r="AL48" s="108">
        <f>AL47/AG47-1</f>
        <v>0.53228491634327946</v>
      </c>
      <c r="AM48" s="108">
        <f>AM47/AH47-1</f>
        <v>0.36876588111096975</v>
      </c>
      <c r="AN48" s="108">
        <f>AN47/AI47-1</f>
        <v>0.4409393634444998</v>
      </c>
      <c r="AO48" s="108">
        <f t="shared" ref="AO48" si="33">AO47/AJ47-1</f>
        <v>0.45060352537369663</v>
      </c>
      <c r="AP48" s="26"/>
      <c r="AQ48" s="250"/>
      <c r="AR48" s="26"/>
      <c r="AS48" s="26"/>
      <c r="AT48" s="26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2:43" x14ac:dyDescent="0.2">
      <c r="E49" s="65"/>
      <c r="AQ49" s="250"/>
    </row>
    <row r="50" spans="2:43" x14ac:dyDescent="0.2">
      <c r="B50" s="211" t="s">
        <v>183</v>
      </c>
      <c r="E50" s="65"/>
      <c r="AQ50" s="250"/>
    </row>
    <row r="51" spans="2:43" x14ac:dyDescent="0.2">
      <c r="B51" s="206" t="s">
        <v>182</v>
      </c>
      <c r="E51" s="65"/>
      <c r="F51" s="206">
        <v>39.828330000000001</v>
      </c>
      <c r="G51" s="206">
        <v>41.99333</v>
      </c>
      <c r="H51" s="206">
        <v>44.5</v>
      </c>
      <c r="I51" s="206">
        <v>49.416670000000003</v>
      </c>
      <c r="J51" s="206">
        <f>AVERAGE(F51:I51)</f>
        <v>43.934582500000005</v>
      </c>
      <c r="K51" s="206">
        <v>50.243299999999998</v>
      </c>
      <c r="L51" s="207">
        <v>48.35333</v>
      </c>
      <c r="M51" s="207">
        <v>48.291670000000003</v>
      </c>
      <c r="N51" s="207">
        <v>46.666670000000003</v>
      </c>
      <c r="O51" s="206">
        <f>AVERAGE(K51:N51)</f>
        <v>48.388742500000006</v>
      </c>
      <c r="P51" s="208">
        <v>45.72</v>
      </c>
      <c r="Q51" s="208">
        <v>45.726669999999999</v>
      </c>
      <c r="R51" s="208">
        <v>46.136670000000002</v>
      </c>
      <c r="S51" s="208">
        <v>45.00667</v>
      </c>
      <c r="T51" s="206">
        <f>AVERAGE(P51:S51)</f>
        <v>45.647502500000002</v>
      </c>
      <c r="U51" s="208">
        <v>45.26</v>
      </c>
      <c r="V51" s="206">
        <v>44.66</v>
      </c>
      <c r="W51" s="206">
        <v>46.42</v>
      </c>
      <c r="X51" s="206">
        <v>51.34</v>
      </c>
      <c r="Y51" s="206">
        <f>AVERAGE(U51:X51)</f>
        <v>46.919999999999995</v>
      </c>
      <c r="Z51" s="206">
        <v>49.78</v>
      </c>
      <c r="AA51" s="206">
        <v>54.81</v>
      </c>
      <c r="AB51" s="206">
        <v>54.673333333333339</v>
      </c>
      <c r="AC51" s="206">
        <v>54.34</v>
      </c>
      <c r="AD51" s="206">
        <f>AVERAGE(Z51:AC51)</f>
        <v>53.400833333333338</v>
      </c>
      <c r="AE51" s="206">
        <v>53.95</v>
      </c>
      <c r="AF51" s="206">
        <f>AVERAGE(56.5,53.8,59.39)</f>
        <v>56.563333333333333</v>
      </c>
      <c r="AG51" s="206">
        <v>62.896700000000003</v>
      </c>
      <c r="AH51" s="206">
        <v>61.89</v>
      </c>
      <c r="AI51" s="206">
        <f>AVERAGE(AE51:AH51)</f>
        <v>58.825008333333329</v>
      </c>
      <c r="AJ51" s="206">
        <v>61.463333333333338</v>
      </c>
      <c r="AK51" s="206">
        <f>AVERAGE(60.17,59.11,60.32)</f>
        <v>59.866666666666667</v>
      </c>
      <c r="AL51" s="212">
        <f>AVERAGE(60.55,60.51,61.75)</f>
        <v>60.936666666666667</v>
      </c>
      <c r="AM51" s="212">
        <f>AVERAGE(61.36,62.2,63.3)</f>
        <v>62.286666666666669</v>
      </c>
      <c r="AN51" s="206">
        <f>AVERAGE(AJ51:AM51)</f>
        <v>61.138333333333335</v>
      </c>
      <c r="AO51" s="212">
        <f>AVERAGE(61.86,62.5,61.83)</f>
        <v>62.063333333333333</v>
      </c>
      <c r="AQ51" s="250"/>
    </row>
    <row r="52" spans="2:43" x14ac:dyDescent="0.2">
      <c r="B52" s="37" t="s">
        <v>184</v>
      </c>
      <c r="E52" s="65"/>
      <c r="F52" s="149"/>
      <c r="G52" s="149">
        <f>-(G51/F51-1)</f>
        <v>-5.4358292200551661E-2</v>
      </c>
      <c r="H52" s="149">
        <f>-(H51/G51-1)</f>
        <v>-5.969209872139225E-2</v>
      </c>
      <c r="I52" s="149">
        <f>-(I51/H51-1)</f>
        <v>-0.11048696629213484</v>
      </c>
      <c r="J52" s="149"/>
      <c r="K52" s="149">
        <f>-(K51/I51-1)</f>
        <v>-1.6727756038599884E-2</v>
      </c>
      <c r="L52" s="149">
        <f>-(L51/K51-1)</f>
        <v>3.7616358798088445E-2</v>
      </c>
      <c r="M52" s="149">
        <f>-(M51/L51-1)</f>
        <v>1.2751965583341907E-3</v>
      </c>
      <c r="N52" s="149">
        <f>-(N51/M51-1)</f>
        <v>3.3649695692859694E-2</v>
      </c>
      <c r="O52" s="149"/>
      <c r="P52" s="149">
        <f>-(P51/N51-1)</f>
        <v>2.0285784265301254E-2</v>
      </c>
      <c r="Q52" s="149">
        <f>-(Q51/P51-1)</f>
        <v>-1.4588801399817442E-4</v>
      </c>
      <c r="R52" s="149">
        <f>-(R51/Q51-1)</f>
        <v>-8.9663209676105193E-3</v>
      </c>
      <c r="S52" s="149">
        <f>-(S51/R51-1)</f>
        <v>2.4492448197930283E-2</v>
      </c>
      <c r="T52" s="149"/>
      <c r="U52" s="149">
        <f>-(U51/S51-1)</f>
        <v>-5.628721253982949E-3</v>
      </c>
      <c r="V52" s="149">
        <f>-(V51/U51-1)</f>
        <v>1.3256738842244875E-2</v>
      </c>
      <c r="W52" s="149">
        <f>-(W51/V51-1)</f>
        <v>-3.9408866995074066E-2</v>
      </c>
      <c r="X52" s="149">
        <f>-(X51/W51-1)</f>
        <v>-0.10598879793192584</v>
      </c>
      <c r="Y52" s="149"/>
      <c r="Z52" s="149">
        <f>-(Z51/X51-1)</f>
        <v>3.0385664199454654E-2</v>
      </c>
      <c r="AA52" s="149">
        <f>-(AA51/Z51-1)</f>
        <v>-0.1010445962233828</v>
      </c>
      <c r="AB52" s="149">
        <f>-(AB51/AA51-1)</f>
        <v>2.4934622635771619E-3</v>
      </c>
      <c r="AC52" s="149">
        <f>-(AC51/AB51-1)</f>
        <v>6.0968174612852089E-3</v>
      </c>
      <c r="AD52" s="149"/>
      <c r="AE52" s="149">
        <f>-(AE51/AC51-1)</f>
        <v>7.1770334928229484E-3</v>
      </c>
      <c r="AF52" s="149">
        <f>-(AF51/AE51-1)</f>
        <v>-4.8439913500154308E-2</v>
      </c>
      <c r="AG52" s="149">
        <f>-(AG51/AF51-1)</f>
        <v>-0.11196947374624311</v>
      </c>
      <c r="AH52" s="149">
        <f>-(AH51/AG51-1)</f>
        <v>1.6005609197302872E-2</v>
      </c>
      <c r="AI52" s="149"/>
      <c r="AJ52" s="149">
        <f>-(AJ51/AH51-1)</f>
        <v>6.8939516346204766E-3</v>
      </c>
      <c r="AK52" s="149">
        <f>-(AK51/AJ51-1)</f>
        <v>2.5977547589348782E-2</v>
      </c>
      <c r="AL52" s="149">
        <f>-(AL51/AK51-1)</f>
        <v>-1.7873051224944314E-2</v>
      </c>
      <c r="AM52" s="149">
        <f>-(AM51/AL51-1)</f>
        <v>-2.21541491165691E-2</v>
      </c>
      <c r="AN52" s="149"/>
      <c r="AO52" s="149">
        <f>-(AO51/AM51-1)</f>
        <v>3.5855720860538121E-3</v>
      </c>
      <c r="AQ52" s="250"/>
    </row>
    <row r="53" spans="2:43" x14ac:dyDescent="0.2">
      <c r="B53" s="37" t="s">
        <v>185</v>
      </c>
      <c r="E53" s="65"/>
      <c r="F53" s="149"/>
      <c r="G53" s="149"/>
      <c r="H53" s="149"/>
      <c r="I53" s="149"/>
      <c r="J53" s="149"/>
      <c r="K53" s="149">
        <f t="shared" ref="K53:AG53" si="34">-(K51/F51-1)</f>
        <v>-0.26149652772285448</v>
      </c>
      <c r="L53" s="149">
        <f t="shared" si="34"/>
        <v>-0.15145262354759681</v>
      </c>
      <c r="M53" s="149">
        <f t="shared" si="34"/>
        <v>-8.5206067415730447E-2</v>
      </c>
      <c r="N53" s="149">
        <f t="shared" si="34"/>
        <v>5.5649237392968787E-2</v>
      </c>
      <c r="O53" s="149">
        <f t="shared" si="34"/>
        <v>-0.10138163939534417</v>
      </c>
      <c r="P53" s="149">
        <f t="shared" si="34"/>
        <v>9.0027924121226066E-2</v>
      </c>
      <c r="Q53" s="149">
        <f t="shared" si="34"/>
        <v>5.4322215243500338E-2</v>
      </c>
      <c r="R53" s="149">
        <f t="shared" si="34"/>
        <v>4.4624673364992318E-2</v>
      </c>
      <c r="S53" s="149">
        <f t="shared" si="34"/>
        <v>3.5571426030612474E-2</v>
      </c>
      <c r="T53" s="149">
        <f t="shared" si="34"/>
        <v>5.6650366559949483E-2</v>
      </c>
      <c r="U53" s="149">
        <f t="shared" si="34"/>
        <v>1.0061242344706955E-2</v>
      </c>
      <c r="V53" s="149">
        <f t="shared" si="34"/>
        <v>2.3327086796392615E-2</v>
      </c>
      <c r="W53" s="149">
        <f t="shared" si="34"/>
        <v>-6.1411020778048275E-3</v>
      </c>
      <c r="X53" s="149">
        <f t="shared" si="34"/>
        <v>-0.14071980886388635</v>
      </c>
      <c r="Y53" s="149">
        <f t="shared" si="34"/>
        <v>-2.7876607268929821E-2</v>
      </c>
      <c r="Z53" s="149">
        <f t="shared" si="34"/>
        <v>-9.98674326115776E-2</v>
      </c>
      <c r="AA53" s="149">
        <f t="shared" si="34"/>
        <v>-0.22727272727272751</v>
      </c>
      <c r="AB53" s="149">
        <f t="shared" si="34"/>
        <v>-0.17779692661209268</v>
      </c>
      <c r="AC53" s="149">
        <f t="shared" si="34"/>
        <v>-5.843396961433589E-2</v>
      </c>
      <c r="AD53" s="149">
        <f t="shared" si="34"/>
        <v>-0.13812517760727494</v>
      </c>
      <c r="AE53" s="149">
        <f t="shared" si="34"/>
        <v>-8.3768581759742888E-2</v>
      </c>
      <c r="AF53" s="149">
        <f t="shared" si="34"/>
        <v>-3.1989296357112451E-2</v>
      </c>
      <c r="AG53" s="149">
        <f t="shared" si="34"/>
        <v>-0.15040909645165224</v>
      </c>
      <c r="AH53" s="149">
        <f t="shared" ref="AH53:AN53" si="35">-(AH51/AC51-1)</f>
        <v>-0.13894000736105983</v>
      </c>
      <c r="AI53" s="149">
        <f t="shared" si="35"/>
        <v>-0.10157472573773796</v>
      </c>
      <c r="AJ53" s="149">
        <f t="shared" si="35"/>
        <v>-0.13926475131294414</v>
      </c>
      <c r="AK53" s="149">
        <f t="shared" si="35"/>
        <v>-5.8400612882314906E-2</v>
      </c>
      <c r="AL53" s="149">
        <f t="shared" si="35"/>
        <v>3.1162737207728441E-2</v>
      </c>
      <c r="AM53" s="149">
        <f t="shared" si="35"/>
        <v>-6.4092206603112434E-3</v>
      </c>
      <c r="AN53" s="149">
        <f t="shared" si="35"/>
        <v>-3.9325536290475194E-2</v>
      </c>
      <c r="AO53" s="149">
        <f>-(AO51/AJ51-1)</f>
        <v>-9.7619176744940805E-3</v>
      </c>
      <c r="AQ53" s="250"/>
    </row>
    <row r="54" spans="2:43" x14ac:dyDescent="0.2">
      <c r="B54" s="37"/>
      <c r="E54" s="65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210"/>
      <c r="Q54" s="210"/>
      <c r="R54" s="210"/>
      <c r="S54" s="210"/>
      <c r="T54" s="46"/>
      <c r="U54" s="210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Q54" s="250"/>
    </row>
    <row r="55" spans="2:43" x14ac:dyDescent="0.2">
      <c r="B55" s="212" t="s">
        <v>180</v>
      </c>
      <c r="E55" s="65"/>
      <c r="F55" s="212">
        <v>1.9870839542970691</v>
      </c>
      <c r="G55" s="212">
        <v>1.9785916384717357</v>
      </c>
      <c r="H55" s="212">
        <v>1.8667861409796893</v>
      </c>
      <c r="I55" s="212">
        <v>1.5335071308081583</v>
      </c>
      <c r="J55" s="212">
        <v>1.821128735590319</v>
      </c>
      <c r="K55" s="212">
        <v>1.426655633863098</v>
      </c>
      <c r="L55" s="213">
        <v>1.5796041511997092</v>
      </c>
      <c r="M55" s="213">
        <v>1.6247481640345747</v>
      </c>
      <c r="N55" s="213">
        <v>1.6397205916111897</v>
      </c>
      <c r="O55" s="212">
        <v>1.5628968292730574</v>
      </c>
      <c r="P55" s="214">
        <v>1.5500511516880056</v>
      </c>
      <c r="Q55" s="214">
        <v>1.4926041464543189</v>
      </c>
      <c r="R55" s="214">
        <v>1.5598190609889253</v>
      </c>
      <c r="S55" s="214">
        <v>1.5631105900742477</v>
      </c>
      <c r="T55" s="212">
        <v>1.5408557913064918</v>
      </c>
      <c r="U55" s="214">
        <v>1.606580553948975</v>
      </c>
      <c r="V55" s="212">
        <v>1.6350555918901242</v>
      </c>
      <c r="W55" s="212">
        <v>1.6059871199832978</v>
      </c>
      <c r="X55" s="212">
        <v>1.5662688343827333</v>
      </c>
      <c r="Y55" s="212">
        <v>1.6030971837590224</v>
      </c>
      <c r="Z55" s="212">
        <v>1.5932700274042446</v>
      </c>
      <c r="AA55" s="212">
        <v>1.5792050281888099</v>
      </c>
      <c r="AB55" s="212">
        <v>1.5933333333333335</v>
      </c>
      <c r="AC55" s="212">
        <v>1.61</v>
      </c>
      <c r="AD55" s="212">
        <f>AVERAGE(Z55:AC55)</f>
        <v>1.593952097231597</v>
      </c>
      <c r="AE55" s="212">
        <f>AVERAGE(1.58,1.52,1.52)</f>
        <v>1.54</v>
      </c>
      <c r="AF55" s="212">
        <f>AVERAGE(1.55,1.52,1.52)</f>
        <v>1.53</v>
      </c>
      <c r="AG55" s="212">
        <v>1.56</v>
      </c>
      <c r="AH55" s="212">
        <v>1.63</v>
      </c>
      <c r="AI55" s="212">
        <f>AVERAGE(AE55:AH55)</f>
        <v>1.5650000000000002</v>
      </c>
      <c r="AJ55" s="212">
        <v>1.66</v>
      </c>
      <c r="AK55" s="212">
        <f>AVERAGE(1.68,1.67,1.7)</f>
        <v>1.6833333333333333</v>
      </c>
      <c r="AL55" s="212">
        <f>AVERAGE(1.69,1.66,1.62)</f>
        <v>1.6566666666666665</v>
      </c>
      <c r="AM55" s="212">
        <f>AVERAGE(1.6,1.56,1.56)</f>
        <v>1.5733333333333335</v>
      </c>
      <c r="AN55" s="212">
        <f>AVERAGE(AJ55:AM55)</f>
        <v>1.6433333333333333</v>
      </c>
      <c r="AO55" s="212">
        <f>AVERAGE(1.48,1.51,1.54)</f>
        <v>1.51</v>
      </c>
      <c r="AQ55" s="250"/>
    </row>
    <row r="56" spans="2:43" x14ac:dyDescent="0.2">
      <c r="B56" s="37" t="s">
        <v>184</v>
      </c>
      <c r="E56" s="65"/>
      <c r="F56" s="149"/>
      <c r="G56" s="149">
        <f>-(G55/F55-1)</f>
        <v>4.2737579390990099E-3</v>
      </c>
      <c r="H56" s="149">
        <f>-(H55/G55-1)</f>
        <v>5.650761648745517E-2</v>
      </c>
      <c r="I56" s="149">
        <f>-(I55/H55-1)</f>
        <v>0.17853090016868578</v>
      </c>
      <c r="J56" s="149"/>
      <c r="K56" s="149">
        <f>-(K55/I55-1)</f>
        <v>6.9677861157873777E-2</v>
      </c>
      <c r="L56" s="149">
        <f>-(L55/K55-1)</f>
        <v>-0.10720773374192416</v>
      </c>
      <c r="M56" s="149">
        <f>-(M55/L55-1)</f>
        <v>-2.8579320205368353E-2</v>
      </c>
      <c r="N56" s="149">
        <f>-(N55/M55-1)</f>
        <v>-9.2152297248548898E-3</v>
      </c>
      <c r="O56" s="149"/>
      <c r="P56" s="149">
        <f>-(P55/N55-1)</f>
        <v>5.4685804631553037E-2</v>
      </c>
      <c r="Q56" s="149">
        <f>-(Q55/P55-1)</f>
        <v>3.7061360956460621E-2</v>
      </c>
      <c r="R56" s="149">
        <f>-(R55/Q55-1)</f>
        <v>-4.5031976290750286E-2</v>
      </c>
      <c r="S56" s="149">
        <f>-(S55/R55-1)</f>
        <v>-2.1101992966001681E-3</v>
      </c>
      <c r="T56" s="149"/>
      <c r="U56" s="149">
        <f>-(U55/S55-1)</f>
        <v>-2.7809909388856857E-2</v>
      </c>
      <c r="V56" s="149">
        <f>-(V55/U55-1)</f>
        <v>-1.7724002616088974E-2</v>
      </c>
      <c r="W56" s="149">
        <f>-(W55/V55-1)</f>
        <v>1.7778277418215027E-2</v>
      </c>
      <c r="X56" s="149">
        <f>-(X55/W55-1)</f>
        <v>2.4731384894903452E-2</v>
      </c>
      <c r="Y56" s="149"/>
      <c r="Z56" s="149">
        <f>-(Z55/X55-1)</f>
        <v>-1.7239181696514061E-2</v>
      </c>
      <c r="AA56" s="149">
        <f>-(AA55/Z55-1)</f>
        <v>8.8277561075754685E-3</v>
      </c>
      <c r="AB56" s="149">
        <f>-(AB55/AA55-1)</f>
        <v>-8.9464666666667636E-3</v>
      </c>
      <c r="AC56" s="149">
        <f>-(AC55/AB55-1)</f>
        <v>-1.0460251046024993E-2</v>
      </c>
      <c r="AD56" s="149"/>
      <c r="AE56" s="149">
        <f>-(AE55/AC55-1)</f>
        <v>4.3478260869565299E-2</v>
      </c>
      <c r="AF56" s="149">
        <f>-(AF55/AE55-1)</f>
        <v>6.4935064935065512E-3</v>
      </c>
      <c r="AG56" s="149">
        <f>-(AG55/AF55-1)</f>
        <v>-1.9607843137254832E-2</v>
      </c>
      <c r="AH56" s="149">
        <f>-(AH55/AG55-1)</f>
        <v>-4.4871794871794712E-2</v>
      </c>
      <c r="AI56" s="149"/>
      <c r="AJ56" s="149">
        <f>-(AJ55/AH55-1)</f>
        <v>-1.8404907975460238E-2</v>
      </c>
      <c r="AK56" s="149">
        <f>-(AK55/AJ55-1)</f>
        <v>-1.4056224899598346E-2</v>
      </c>
      <c r="AL56" s="149">
        <f>-(AL55/AK55-1)</f>
        <v>1.5841584158415967E-2</v>
      </c>
      <c r="AM56" s="149">
        <f>-(AM55/AL55-1)</f>
        <v>5.0301810865190921E-2</v>
      </c>
      <c r="AN56" s="149"/>
      <c r="AO56" s="149">
        <f>-(AO55/AM55-1)</f>
        <v>4.0254237288135708E-2</v>
      </c>
      <c r="AQ56" s="250"/>
    </row>
    <row r="57" spans="2:43" x14ac:dyDescent="0.2">
      <c r="B57" s="37" t="s">
        <v>185</v>
      </c>
      <c r="E57" s="65"/>
      <c r="F57" s="149"/>
      <c r="G57" s="149"/>
      <c r="H57" s="149"/>
      <c r="I57" s="149"/>
      <c r="J57" s="149"/>
      <c r="K57" s="149">
        <f t="shared" ref="K57:AG57" si="36">-(K55/F55-1)</f>
        <v>0.28203555225839594</v>
      </c>
      <c r="L57" s="149">
        <f t="shared" si="36"/>
        <v>0.20165226594215491</v>
      </c>
      <c r="M57" s="149">
        <f t="shared" si="36"/>
        <v>0.12965490348995901</v>
      </c>
      <c r="N57" s="149">
        <f t="shared" si="36"/>
        <v>-6.9261797789656798E-2</v>
      </c>
      <c r="O57" s="149">
        <f t="shared" si="36"/>
        <v>0.14179772207787145</v>
      </c>
      <c r="P57" s="149">
        <f t="shared" si="36"/>
        <v>-8.6492854264190733E-2</v>
      </c>
      <c r="Q57" s="149">
        <f t="shared" si="36"/>
        <v>5.507709300416419E-2</v>
      </c>
      <c r="R57" s="149">
        <f t="shared" si="36"/>
        <v>3.9962564342536311E-2</v>
      </c>
      <c r="S57" s="149">
        <f t="shared" si="36"/>
        <v>4.6721375537319476E-2</v>
      </c>
      <c r="T57" s="149">
        <f t="shared" si="36"/>
        <v>1.4102682629932417E-2</v>
      </c>
      <c r="U57" s="149">
        <f t="shared" si="36"/>
        <v>-3.6469378574641942E-2</v>
      </c>
      <c r="V57" s="149">
        <f t="shared" si="36"/>
        <v>-9.5438194898626483E-2</v>
      </c>
      <c r="W57" s="149">
        <f t="shared" si="36"/>
        <v>-2.959834262129224E-2</v>
      </c>
      <c r="X57" s="149">
        <f t="shared" si="36"/>
        <v>-2.0204867963538042E-3</v>
      </c>
      <c r="Y57" s="149">
        <f t="shared" si="36"/>
        <v>-4.0394041287767912E-2</v>
      </c>
      <c r="Z57" s="149">
        <f t="shared" si="36"/>
        <v>8.2850041425019949E-3</v>
      </c>
      <c r="AA57" s="149">
        <f t="shared" si="36"/>
        <v>3.4158204759723754E-2</v>
      </c>
      <c r="AB57" s="149">
        <f t="shared" si="36"/>
        <v>7.8791333333332325E-3</v>
      </c>
      <c r="AC57" s="149">
        <f t="shared" si="36"/>
        <v>-2.7920600000000073E-2</v>
      </c>
      <c r="AD57" s="149">
        <f t="shared" si="36"/>
        <v>5.7046363876590567E-3</v>
      </c>
      <c r="AE57" s="149">
        <f t="shared" si="36"/>
        <v>3.3434400000000086E-2</v>
      </c>
      <c r="AF57" s="149">
        <f t="shared" si="36"/>
        <v>3.1158100000000077E-2</v>
      </c>
      <c r="AG57" s="149">
        <f t="shared" si="36"/>
        <v>2.0920502092050319E-2</v>
      </c>
      <c r="AH57" s="149">
        <f t="shared" ref="AH57:AO57" si="37">-(AH55/AC55-1)</f>
        <v>-1.2422360248447006E-2</v>
      </c>
      <c r="AI57" s="149">
        <f t="shared" si="37"/>
        <v>1.8163718521956418E-2</v>
      </c>
      <c r="AJ57" s="149">
        <f t="shared" si="37"/>
        <v>-7.7922077922077948E-2</v>
      </c>
      <c r="AK57" s="149">
        <f t="shared" si="37"/>
        <v>-0.10021786492374729</v>
      </c>
      <c r="AL57" s="149">
        <f t="shared" si="37"/>
        <v>-6.1965811965811746E-2</v>
      </c>
      <c r="AM57" s="149">
        <f t="shared" si="37"/>
        <v>3.4764826175868957E-2</v>
      </c>
      <c r="AN57" s="149">
        <f t="shared" si="37"/>
        <v>-5.0053248136315176E-2</v>
      </c>
      <c r="AO57" s="149">
        <f t="shared" si="37"/>
        <v>9.0361445783132432E-2</v>
      </c>
      <c r="AQ57" s="250"/>
    </row>
    <row r="58" spans="2:43" x14ac:dyDescent="0.2">
      <c r="B58" s="209"/>
      <c r="E58" s="65"/>
      <c r="F58" s="26"/>
      <c r="G58" s="26"/>
      <c r="H58" s="26"/>
      <c r="I58" s="26"/>
      <c r="J58" s="26"/>
      <c r="K58" s="26"/>
      <c r="L58" s="26"/>
      <c r="M58" s="26"/>
      <c r="S58" s="2"/>
      <c r="T58" s="46"/>
      <c r="U58" s="2"/>
      <c r="V58" s="26"/>
      <c r="W58" s="26"/>
      <c r="Z58" s="26"/>
      <c r="AA58" s="26"/>
      <c r="AB58" s="26"/>
      <c r="AQ58" s="250"/>
    </row>
    <row r="59" spans="2:43" x14ac:dyDescent="0.2">
      <c r="B59" s="206" t="s">
        <v>181</v>
      </c>
      <c r="E59" s="65"/>
      <c r="F59" s="206">
        <v>40.619999999999997</v>
      </c>
      <c r="G59" s="206">
        <v>43.466670000000001</v>
      </c>
      <c r="H59" s="206">
        <v>45.69</v>
      </c>
      <c r="I59" s="206">
        <v>48.34</v>
      </c>
      <c r="J59" s="212">
        <f>AVERAGE(F59:I59)</f>
        <v>44.5291675</v>
      </c>
      <c r="K59" s="206">
        <v>47.76</v>
      </c>
      <c r="L59" s="207">
        <v>47.906669999999998</v>
      </c>
      <c r="M59" s="207">
        <v>48.116669999999999</v>
      </c>
      <c r="N59" s="207">
        <v>47.09</v>
      </c>
      <c r="O59" s="212">
        <f>AVERAGE(K59:N59)</f>
        <v>47.718335000000003</v>
      </c>
      <c r="P59" s="208">
        <v>45.9</v>
      </c>
      <c r="Q59" s="208">
        <v>45.693330000000003</v>
      </c>
      <c r="R59" s="208">
        <v>44.93</v>
      </c>
      <c r="S59" s="208">
        <v>43.616669999999999</v>
      </c>
      <c r="T59" s="212">
        <f>AVERAGE(P59:S59)</f>
        <v>45.035000000000004</v>
      </c>
      <c r="U59" s="208">
        <v>43.74333</v>
      </c>
      <c r="V59" s="206">
        <v>43.126669999999997</v>
      </c>
      <c r="W59" s="206">
        <v>42.713329999999999</v>
      </c>
      <c r="X59" s="206">
        <v>43.366669999999999</v>
      </c>
      <c r="Y59" s="212">
        <f>AVERAGE(U59:X59)</f>
        <v>43.237499999999997</v>
      </c>
      <c r="Z59" s="206">
        <v>42.846670000000003</v>
      </c>
      <c r="AA59" s="206">
        <v>42.6</v>
      </c>
      <c r="AB59" s="206">
        <v>41.826666666666668</v>
      </c>
      <c r="AC59" s="206">
        <v>41.01</v>
      </c>
      <c r="AD59" s="212">
        <f>AVERAGE(Z59:AC59)</f>
        <v>42.070834166666671</v>
      </c>
      <c r="AE59" s="206">
        <f>AVERAGE(40.685,40.66,40.8)</f>
        <v>40.714999999999996</v>
      </c>
      <c r="AF59" s="206">
        <f>AVERAGE(41.16,42.26,43.2)</f>
        <v>42.206666666666663</v>
      </c>
      <c r="AG59" s="206">
        <v>43.854999999999997</v>
      </c>
      <c r="AH59" s="206">
        <v>43.79</v>
      </c>
      <c r="AI59" s="212">
        <f>AVERAGE(AE59:AH59)</f>
        <v>42.641666666666659</v>
      </c>
      <c r="AJ59" s="206">
        <v>44.92166666666666</v>
      </c>
      <c r="AK59" s="206">
        <v>44.00333333333333</v>
      </c>
      <c r="AL59" s="206">
        <f>AVERAGE(43.46,43.59,44.875)</f>
        <v>43.975000000000001</v>
      </c>
      <c r="AM59" s="206">
        <f>AVERAGE(44.88,44.89,44.72)</f>
        <v>44.830000000000005</v>
      </c>
      <c r="AN59" s="212">
        <f>AVERAGE(AJ59:AM59)</f>
        <v>44.432499999999997</v>
      </c>
      <c r="AO59" s="212">
        <f>AVERAGE(44.7,44.09,44.08)</f>
        <v>44.29</v>
      </c>
      <c r="AQ59" s="250"/>
    </row>
    <row r="60" spans="2:43" x14ac:dyDescent="0.2">
      <c r="B60" s="37" t="s">
        <v>184</v>
      </c>
      <c r="E60" s="65"/>
      <c r="F60" s="149"/>
      <c r="G60" s="149">
        <f>-(G59/F59-1)</f>
        <v>-7.0080502215657425E-2</v>
      </c>
      <c r="H60" s="149">
        <f>-(H59/G59-1)</f>
        <v>-5.115022613878617E-2</v>
      </c>
      <c r="I60" s="149">
        <f>-(I59/H59-1)</f>
        <v>-5.799956226745473E-2</v>
      </c>
      <c r="J60" s="149"/>
      <c r="K60" s="149">
        <f>-(K59/I59-1)</f>
        <v>1.1998345055854509E-2</v>
      </c>
      <c r="L60" s="149">
        <f>-(L59/K59-1)</f>
        <v>-3.0709798994974502E-3</v>
      </c>
      <c r="M60" s="149">
        <f>-(M59/L59-1)</f>
        <v>-4.3835232129472157E-3</v>
      </c>
      <c r="N60" s="149">
        <f>-(N59/M59-1)</f>
        <v>2.1337095854721322E-2</v>
      </c>
      <c r="O60" s="149"/>
      <c r="P60" s="149">
        <f>-(P59/N59-1)</f>
        <v>2.5270758122743819E-2</v>
      </c>
      <c r="Q60" s="149">
        <f>-(Q59/P59-1)</f>
        <v>4.502614379084835E-3</v>
      </c>
      <c r="R60" s="149">
        <f>-(R59/Q59-1)</f>
        <v>1.6705501656368749E-2</v>
      </c>
      <c r="S60" s="149">
        <f>-(S59/R59-1)</f>
        <v>2.9230580903627845E-2</v>
      </c>
      <c r="T60" s="149"/>
      <c r="U60" s="149">
        <f>-(U59/S59-1)</f>
        <v>-2.9039355824276303E-3</v>
      </c>
      <c r="V60" s="149">
        <f>-(V59/U59-1)</f>
        <v>1.4097234938446723E-2</v>
      </c>
      <c r="W60" s="149">
        <f>-(W59/V59-1)</f>
        <v>9.5843245026800972E-3</v>
      </c>
      <c r="X60" s="149">
        <f>-(X59/W59-1)</f>
        <v>-1.5295927524264785E-2</v>
      </c>
      <c r="Y60" s="149"/>
      <c r="Z60" s="149">
        <f>-(Z59/X59-1)</f>
        <v>1.1990775404244647E-2</v>
      </c>
      <c r="AA60" s="149">
        <f>-(AA59/Z59-1)</f>
        <v>5.7570401620475886E-3</v>
      </c>
      <c r="AB60" s="149">
        <f>-(AB59/AA59-1)</f>
        <v>1.8153364632237823E-2</v>
      </c>
      <c r="AC60" s="149">
        <f>-(AC59/AB59-1)</f>
        <v>1.9525023908192662E-2</v>
      </c>
      <c r="AD60" s="149"/>
      <c r="AE60" s="149">
        <f>-(AE59/AC59-1)</f>
        <v>7.1933674713484663E-3</v>
      </c>
      <c r="AF60" s="149">
        <f>-(AF59/AE59-1)</f>
        <v>-3.6636784149985724E-2</v>
      </c>
      <c r="AG60" s="149">
        <f>-(AG59/AF59-1)</f>
        <v>-3.9053861949139179E-2</v>
      </c>
      <c r="AH60" s="149">
        <f>-(AH59/AG59-1)</f>
        <v>1.4821571086535146E-3</v>
      </c>
      <c r="AI60" s="149"/>
      <c r="AJ60" s="149">
        <f>-(AJ59/AH59-1)</f>
        <v>-2.5843038745527736E-2</v>
      </c>
      <c r="AK60" s="149">
        <f>-(AK59/AJ59-1)</f>
        <v>2.0442993358809725E-2</v>
      </c>
      <c r="AL60" s="149">
        <f>-(AL59/AK59-1)</f>
        <v>6.4389061434733108E-4</v>
      </c>
      <c r="AM60" s="149">
        <f>-(AM59/AL59-1)</f>
        <v>-1.9442865264354792E-2</v>
      </c>
      <c r="AN60" s="149"/>
      <c r="AO60" s="149">
        <f>-(AO59/AM59-1)</f>
        <v>1.2045505242025523E-2</v>
      </c>
      <c r="AQ60" s="250"/>
    </row>
    <row r="61" spans="2:43" x14ac:dyDescent="0.2">
      <c r="B61" s="37" t="s">
        <v>185</v>
      </c>
      <c r="E61" s="65"/>
      <c r="F61" s="149"/>
      <c r="G61" s="149"/>
      <c r="H61" s="149"/>
      <c r="I61" s="149"/>
      <c r="J61" s="149"/>
      <c r="K61" s="149">
        <f t="shared" ref="K61:AC61" si="38">-(K59/F59-1)</f>
        <v>-0.17577548005908428</v>
      </c>
      <c r="L61" s="149">
        <f t="shared" si="38"/>
        <v>-0.10214723143042703</v>
      </c>
      <c r="M61" s="149">
        <f t="shared" si="38"/>
        <v>-5.3111621799080799E-2</v>
      </c>
      <c r="N61" s="149">
        <f t="shared" si="38"/>
        <v>2.5858502275548201E-2</v>
      </c>
      <c r="O61" s="149">
        <f t="shared" si="38"/>
        <v>-7.1619742273421272E-2</v>
      </c>
      <c r="P61" s="149">
        <f t="shared" si="38"/>
        <v>3.8944723618090427E-2</v>
      </c>
      <c r="Q61" s="149">
        <f t="shared" si="38"/>
        <v>4.6201082229259449E-2</v>
      </c>
      <c r="R61" s="149">
        <f t="shared" si="38"/>
        <v>6.6227982942294261E-2</v>
      </c>
      <c r="S61" s="149">
        <f t="shared" si="38"/>
        <v>7.375939689955413E-2</v>
      </c>
      <c r="T61" s="149">
        <f t="shared" si="38"/>
        <v>5.6232787669561413E-2</v>
      </c>
      <c r="U61" s="149">
        <f t="shared" si="38"/>
        <v>4.698627450980386E-2</v>
      </c>
      <c r="V61" s="149">
        <f t="shared" si="38"/>
        <v>5.617143683771797E-2</v>
      </c>
      <c r="W61" s="149">
        <f t="shared" si="38"/>
        <v>4.9336078344090817E-2</v>
      </c>
      <c r="X61" s="149">
        <f t="shared" si="38"/>
        <v>5.7317534786585078E-3</v>
      </c>
      <c r="Y61" s="149">
        <f t="shared" si="38"/>
        <v>3.9913400688353695E-2</v>
      </c>
      <c r="Z61" s="149">
        <f t="shared" si="38"/>
        <v>2.0498210812939899E-2</v>
      </c>
      <c r="AA61" s="149">
        <f t="shared" si="38"/>
        <v>1.2212164769503375E-2</v>
      </c>
      <c r="AB61" s="149">
        <f t="shared" si="38"/>
        <v>2.0758468921372564E-2</v>
      </c>
      <c r="AC61" s="149">
        <f t="shared" si="38"/>
        <v>5.4342885907541438E-2</v>
      </c>
      <c r="AD61" s="149">
        <f t="shared" ref="AD61:AK61" si="39">-(AD59/Y59-1)</f>
        <v>2.6982731039799424E-2</v>
      </c>
      <c r="AE61" s="149">
        <f t="shared" si="39"/>
        <v>4.9751124183046391E-2</v>
      </c>
      <c r="AF61" s="149">
        <f t="shared" si="39"/>
        <v>9.2331768388107527E-3</v>
      </c>
      <c r="AG61" s="149">
        <f t="shared" si="39"/>
        <v>-4.84937838699393E-2</v>
      </c>
      <c r="AH61" s="149">
        <f t="shared" si="39"/>
        <v>-6.778834430626679E-2</v>
      </c>
      <c r="AI61" s="149">
        <f t="shared" si="39"/>
        <v>-1.3568366572875412E-2</v>
      </c>
      <c r="AJ61" s="149">
        <f t="shared" si="39"/>
        <v>-0.1033198247983953</v>
      </c>
      <c r="AK61" s="149">
        <f t="shared" si="39"/>
        <v>-4.2568314642236649E-2</v>
      </c>
      <c r="AL61" s="149">
        <f>-(AL59/AG59-1)</f>
        <v>-2.7362900467451379E-3</v>
      </c>
      <c r="AM61" s="149">
        <f>-(AM59/AH59-1)</f>
        <v>-2.3749714546700273E-2</v>
      </c>
      <c r="AN61" s="149">
        <f t="shared" ref="AN61:AO61" si="40">-(AN59/AI59-1)</f>
        <v>-4.199726402188797E-2</v>
      </c>
      <c r="AO61" s="149">
        <f t="shared" si="40"/>
        <v>1.4061514488183047E-2</v>
      </c>
      <c r="AQ61" s="250"/>
    </row>
    <row r="62" spans="2:43" x14ac:dyDescent="0.2">
      <c r="E62" s="65"/>
    </row>
    <row r="63" spans="2:43" x14ac:dyDescent="0.2">
      <c r="E63" s="65"/>
      <c r="AE63" s="149"/>
      <c r="AF63" s="149"/>
      <c r="AG63" s="149"/>
      <c r="AJ63" s="149"/>
      <c r="AK63" s="149"/>
      <c r="AL63" s="149"/>
      <c r="AM63" s="149"/>
      <c r="AO63" s="149"/>
    </row>
    <row r="64" spans="2:43" x14ac:dyDescent="0.2">
      <c r="B64" s="2" t="s">
        <v>210</v>
      </c>
      <c r="E64" s="65"/>
      <c r="AE64" s="149"/>
      <c r="AF64" s="149"/>
      <c r="AG64" s="149"/>
      <c r="AJ64" s="149"/>
      <c r="AK64" s="149"/>
      <c r="AL64" s="149"/>
      <c r="AM64" s="149"/>
      <c r="AO64" s="149"/>
    </row>
    <row r="65" spans="2:41" x14ac:dyDescent="0.2">
      <c r="B65" s="205" t="s">
        <v>178</v>
      </c>
      <c r="E65" s="65"/>
    </row>
    <row r="66" spans="2:41" x14ac:dyDescent="0.2">
      <c r="B66" s="205" t="s">
        <v>192</v>
      </c>
    </row>
    <row r="67" spans="2:41" x14ac:dyDescent="0.2">
      <c r="B67" s="205" t="s">
        <v>191</v>
      </c>
    </row>
    <row r="68" spans="2:41" x14ac:dyDescent="0.2">
      <c r="B68" s="205" t="s">
        <v>194</v>
      </c>
    </row>
    <row r="69" spans="2:41" x14ac:dyDescent="0.2">
      <c r="B69" s="205" t="s">
        <v>198</v>
      </c>
    </row>
    <row r="70" spans="2:41" x14ac:dyDescent="0.2">
      <c r="B70" s="205" t="s">
        <v>209</v>
      </c>
    </row>
    <row r="73" spans="2:41" x14ac:dyDescent="0.2">
      <c r="Z73" s="77"/>
      <c r="AE73" s="77"/>
      <c r="AF73" s="77"/>
      <c r="AG73" s="77"/>
      <c r="AJ73" s="77"/>
      <c r="AK73" s="77"/>
      <c r="AL73" s="77"/>
      <c r="AM73" s="77"/>
      <c r="AO73" s="77"/>
    </row>
    <row r="75" spans="2:41" x14ac:dyDescent="0.2">
      <c r="AE75" s="77"/>
      <c r="AF75" s="77"/>
      <c r="AG75" s="77"/>
      <c r="AJ75" s="77"/>
      <c r="AK75" s="77"/>
      <c r="AL75" s="77"/>
      <c r="AM75" s="77"/>
      <c r="AO75" s="77"/>
    </row>
    <row r="79" spans="2:41" x14ac:dyDescent="0.2">
      <c r="Z79" s="77"/>
      <c r="AE79" s="77"/>
      <c r="AF79" s="77"/>
      <c r="AG79" s="77"/>
      <c r="AJ79" s="77"/>
      <c r="AK79" s="77"/>
      <c r="AL79" s="77"/>
      <c r="AM79" s="77"/>
      <c r="AO79" s="77"/>
    </row>
    <row r="81" spans="31:41" x14ac:dyDescent="0.2">
      <c r="AE81" s="77"/>
      <c r="AF81" s="77"/>
      <c r="AG81" s="77"/>
      <c r="AJ81" s="77"/>
      <c r="AK81" s="77"/>
      <c r="AL81" s="77"/>
      <c r="AM81" s="77"/>
      <c r="AO81" s="77"/>
    </row>
    <row r="82" spans="31:41" x14ac:dyDescent="0.2">
      <c r="AE82" s="149"/>
      <c r="AF82" s="149"/>
      <c r="AG82" s="149"/>
      <c r="AJ82" s="149"/>
      <c r="AK82" s="149"/>
      <c r="AL82" s="149"/>
      <c r="AM82" s="149"/>
      <c r="AO82" s="149"/>
    </row>
  </sheetData>
  <customSheetViews>
    <customSheetView guid="{168DC811-186D-42DC-8A72-3741D1063270}" scale="80" showGridLines="0" hiddenRows="1">
      <pane xSplit="2" ySplit="4" topLeftCell="C5" activePane="bottomRight" state="frozen"/>
      <selection pane="bottomRight" activeCell="A7" sqref="A7"/>
      <pageMargins left="0.45" right="0.45" top="0.75" bottom="0.75" header="0.3" footer="0.3"/>
      <printOptions horizontalCentered="1"/>
      <pageSetup scale="65" orientation="landscape" horizontalDpi="300" verticalDpi="300" r:id="rId1"/>
    </customSheetView>
  </customSheetViews>
  <mergeCells count="4">
    <mergeCell ref="K3:O3"/>
    <mergeCell ref="P3:T3"/>
    <mergeCell ref="U3:Y3"/>
    <mergeCell ref="Z3:AB3"/>
  </mergeCells>
  <phoneticPr fontId="0" type="noConversion"/>
  <printOptions horizontalCentered="1"/>
  <pageMargins left="0.25" right="0.25" top="0.25" bottom="0.25" header="0.3" footer="0.3"/>
  <pageSetup paperSize="5" scale="66" orientation="landscape" r:id="rId2"/>
  <ignoredErrors>
    <ignoredError sqref="J21 X29 X21 J29 J24:J27 AD55" formulaRange="1"/>
    <ignoredError sqref="X27 X24" formula="1" formulaRange="1"/>
    <ignoredError sqref="K22:X23 K25:X26 K24:W24 K28:X28 K27:W27 O10 AC28 AH2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Contents</vt:lpstr>
      <vt:lpstr>Income Statement</vt:lpstr>
      <vt:lpstr>Balance Sheet</vt:lpstr>
      <vt:lpstr>Cashflow</vt:lpstr>
      <vt:lpstr>Other Metrics</vt:lpstr>
      <vt:lpstr>'Balance Sheet'!Print_Area</vt:lpstr>
      <vt:lpstr>Cashflow!Print_Area</vt:lpstr>
      <vt:lpstr>Contents!Print_Area</vt:lpstr>
      <vt:lpstr>'Income Statement'!Print_Area</vt:lpstr>
      <vt:lpstr>'Other Metrics'!Print_Area</vt:lpstr>
      <vt:lpstr>'Income Statement'!Print_Titles</vt:lpstr>
      <vt:lpstr>'Other Metrics'!Print_Titles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rahul13232</dc:creator>
  <cp:lastModifiedBy>Dskadmin</cp:lastModifiedBy>
  <cp:lastPrinted>2014-10-29T15:49:32Z</cp:lastPrinted>
  <dcterms:created xsi:type="dcterms:W3CDTF">2009-03-23T17:27:54Z</dcterms:created>
  <dcterms:modified xsi:type="dcterms:W3CDTF">2015-04-29T18:04:33Z</dcterms:modified>
</cp:coreProperties>
</file>