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Financial Planning &amp; Budgeting\2018\Q1 2018\Factsheet\"/>
    </mc:Choice>
  </mc:AlternateContent>
  <bookViews>
    <workbookView xWindow="0" yWindow="0" windowWidth="20496" windowHeight="7452" tabRatio="867"/>
  </bookViews>
  <sheets>
    <sheet name="Contents" sheetId="9" r:id="rId1"/>
    <sheet name="Income Statement" sheetId="2" r:id="rId2"/>
    <sheet name="Balance Sheet" sheetId="6" r:id="rId3"/>
    <sheet name="Cashflow" sheetId="7" r:id="rId4"/>
    <sheet name="Revenues and Margins" sheetId="8" r:id="rId5"/>
    <sheet name="Other Metrics" sheetId="5" r:id="rId6"/>
  </sheets>
  <definedNames>
    <definedName name="_xlnm._FilterDatabase" localSheetId="1" hidden="1">'Income Statement'!$K$7:$K$101</definedName>
    <definedName name="_xlnm.Print_Area" localSheetId="2">'Balance Sheet'!$A$1:$S$54</definedName>
    <definedName name="_xlnm.Print_Area" localSheetId="3">Cashflow!$A$1:$AB$82</definedName>
    <definedName name="_xlnm.Print_Area" localSheetId="1">'Income Statement'!$A$1:$AC$108</definedName>
    <definedName name="_xlnm.Print_Area" localSheetId="5">'Other Metrics'!$A$1:$W$33</definedName>
    <definedName name="_xlnm.Print_Area" localSheetId="4">'Revenues and Margins'!$A$1:$T$102</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Metrics'!$A$1:$B$19</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52511"/>
  <customWorkbookViews>
    <customWorkbookView name="rahul13232 - Personal View" guid="{168DC811-186D-42DC-8A72-3741D1063270}" mergeInterval="0" personalView="1" maximized="1" xWindow="1" yWindow="1" windowWidth="1276" windowHeight="803" activeSheetId="2"/>
  </customWorkbookViews>
</workbook>
</file>

<file path=xl/calcChain.xml><?xml version="1.0" encoding="utf-8"?>
<calcChain xmlns="http://schemas.openxmlformats.org/spreadsheetml/2006/main">
  <c r="Q55" i="8" l="1"/>
  <c r="Q48" i="8"/>
  <c r="Q42" i="8"/>
  <c r="Q36" i="8"/>
  <c r="Q30" i="8"/>
  <c r="Q24" i="8"/>
  <c r="Q18" i="8"/>
  <c r="S55" i="8"/>
  <c r="S48" i="8"/>
  <c r="S42" i="8"/>
  <c r="S36" i="8"/>
  <c r="S30" i="8"/>
  <c r="S24" i="8"/>
  <c r="S18" i="8"/>
  <c r="T36" i="8"/>
  <c r="T30" i="8"/>
  <c r="T24" i="8"/>
  <c r="T42" i="8"/>
  <c r="T48" i="8"/>
  <c r="T55" i="8"/>
  <c r="AC45" i="2"/>
  <c r="AC100" i="2"/>
  <c r="AC83" i="2"/>
  <c r="AC72" i="2"/>
  <c r="AC29" i="2"/>
  <c r="AC9" i="2"/>
  <c r="W30" i="5"/>
  <c r="W26" i="5"/>
  <c r="W22" i="5"/>
  <c r="Y27" i="7" l="1"/>
  <c r="AA65" i="7" l="1"/>
  <c r="AA64" i="7"/>
  <c r="AA63" i="7"/>
  <c r="AA62" i="7"/>
  <c r="AA61" i="7"/>
  <c r="AA60" i="7"/>
  <c r="AA59" i="7"/>
  <c r="AA58" i="7"/>
  <c r="AA57" i="7"/>
  <c r="AA56" i="7"/>
  <c r="AA55" i="7"/>
  <c r="AA54" i="7"/>
  <c r="AA53" i="7"/>
  <c r="AA52" i="7"/>
  <c r="AA45" i="7"/>
  <c r="AA44" i="7"/>
  <c r="AA43" i="7"/>
  <c r="AA42" i="7"/>
  <c r="AA41" i="7"/>
  <c r="AA34" i="7"/>
  <c r="AA33" i="7"/>
  <c r="AA32" i="7"/>
  <c r="AA31" i="7"/>
  <c r="AA30" i="7"/>
  <c r="AA29" i="7"/>
  <c r="AA28" i="7"/>
  <c r="AA26" i="7"/>
  <c r="AA25" i="7"/>
  <c r="AA24" i="7"/>
  <c r="AA23" i="7"/>
  <c r="AA22" i="7"/>
  <c r="AA21" i="7"/>
  <c r="AA20" i="7"/>
  <c r="AA19" i="7"/>
  <c r="AA18" i="7"/>
  <c r="AA17" i="7"/>
  <c r="AA16" i="7"/>
  <c r="AA15" i="7"/>
  <c r="AA14" i="7"/>
  <c r="AA13" i="7"/>
  <c r="AA12" i="7"/>
  <c r="AA11" i="7"/>
  <c r="AA8" i="7"/>
  <c r="AA46" i="7" l="1"/>
  <c r="AA35" i="7"/>
  <c r="AA66" i="7"/>
  <c r="W65" i="7"/>
  <c r="W64" i="7"/>
  <c r="W63" i="7"/>
  <c r="W62" i="7"/>
  <c r="W61" i="7"/>
  <c r="W60" i="7"/>
  <c r="W59" i="7"/>
  <c r="W58" i="7"/>
  <c r="W57" i="7"/>
  <c r="W56" i="7"/>
  <c r="W55" i="7"/>
  <c r="W54" i="7"/>
  <c r="W53" i="7"/>
  <c r="W52" i="7"/>
  <c r="W36" i="7"/>
  <c r="W45" i="7"/>
  <c r="W44" i="7"/>
  <c r="W43" i="7"/>
  <c r="W42" i="7"/>
  <c r="W41" i="7"/>
  <c r="W34" i="7"/>
  <c r="W33" i="7"/>
  <c r="W32" i="7"/>
  <c r="W31" i="7"/>
  <c r="W30" i="7"/>
  <c r="W29" i="7"/>
  <c r="W28" i="7"/>
  <c r="W25" i="7"/>
  <c r="W23" i="7"/>
  <c r="W22" i="7"/>
  <c r="W21" i="7"/>
  <c r="W20" i="7"/>
  <c r="W19" i="7"/>
  <c r="W18" i="7"/>
  <c r="W17" i="7"/>
  <c r="W15" i="7"/>
  <c r="W14" i="7"/>
  <c r="W13" i="7"/>
  <c r="W11" i="7"/>
  <c r="W8" i="7"/>
  <c r="W46" i="7" l="1"/>
  <c r="AA69" i="7"/>
  <c r="AA38" i="7"/>
  <c r="W66" i="7"/>
  <c r="AA49" i="7"/>
  <c r="W69" i="7" l="1"/>
  <c r="AA73" i="7"/>
  <c r="W49" i="7"/>
  <c r="U65" i="7"/>
  <c r="U64" i="7"/>
  <c r="U63" i="7"/>
  <c r="U62" i="7"/>
  <c r="U61" i="7"/>
  <c r="U60" i="7"/>
  <c r="U59" i="7"/>
  <c r="U58" i="7"/>
  <c r="U57" i="7"/>
  <c r="U56" i="7"/>
  <c r="U55" i="7"/>
  <c r="U54" i="7"/>
  <c r="U53" i="7"/>
  <c r="U52" i="7" l="1"/>
  <c r="U45" i="7"/>
  <c r="U44" i="7"/>
  <c r="U43" i="7"/>
  <c r="U42" i="7"/>
  <c r="U41" i="7"/>
  <c r="X71" i="7"/>
  <c r="X65" i="7"/>
  <c r="X64" i="7"/>
  <c r="X63" i="7"/>
  <c r="X62" i="7"/>
  <c r="X61" i="7"/>
  <c r="X60" i="7"/>
  <c r="X59" i="7"/>
  <c r="X58" i="7"/>
  <c r="X57" i="7"/>
  <c r="X56" i="7"/>
  <c r="X55" i="7"/>
  <c r="X54" i="7"/>
  <c r="X53" i="7"/>
  <c r="X52" i="7"/>
  <c r="X45" i="7"/>
  <c r="X44" i="7"/>
  <c r="X43" i="7"/>
  <c r="X42" i="7"/>
  <c r="X41" i="7"/>
  <c r="X36" i="7"/>
  <c r="X34" i="7"/>
  <c r="X33" i="7"/>
  <c r="X32" i="7"/>
  <c r="X31" i="7"/>
  <c r="X30" i="7"/>
  <c r="X29" i="7"/>
  <c r="X27" i="7"/>
  <c r="X25" i="7"/>
  <c r="X22" i="7"/>
  <c r="X21" i="7"/>
  <c r="X20" i="7"/>
  <c r="X19" i="7"/>
  <c r="X18" i="7"/>
  <c r="X17" i="7"/>
  <c r="X15" i="7"/>
  <c r="X14" i="7"/>
  <c r="X13" i="7"/>
  <c r="X11" i="7"/>
  <c r="U34" i="7"/>
  <c r="U33" i="7"/>
  <c r="U32" i="7"/>
  <c r="U31" i="7"/>
  <c r="U30" i="7"/>
  <c r="U29" i="7"/>
  <c r="U26" i="7"/>
  <c r="U25" i="7"/>
  <c r="U23" i="7"/>
  <c r="U22" i="7"/>
  <c r="U21" i="7"/>
  <c r="U20" i="7"/>
  <c r="U19" i="7"/>
  <c r="U18" i="7"/>
  <c r="U17" i="7"/>
  <c r="U15" i="7"/>
  <c r="U14" i="7"/>
  <c r="U13" i="7"/>
  <c r="U11" i="7"/>
  <c r="U8" i="7"/>
  <c r="S65" i="7"/>
  <c r="S64" i="7"/>
  <c r="S63" i="7"/>
  <c r="S62" i="7"/>
  <c r="S61" i="7"/>
  <c r="S60" i="7"/>
  <c r="S59" i="7"/>
  <c r="S58" i="7"/>
  <c r="S57" i="7"/>
  <c r="S56" i="7"/>
  <c r="S55" i="7"/>
  <c r="S54" i="7"/>
  <c r="S53" i="7"/>
  <c r="S52" i="7"/>
  <c r="S45" i="7"/>
  <c r="S44" i="7"/>
  <c r="S43" i="7"/>
  <c r="S42" i="7"/>
  <c r="S46" i="7" s="1"/>
  <c r="S49" i="7" s="1"/>
  <c r="S41" i="7"/>
  <c r="S34" i="7"/>
  <c r="S33" i="7"/>
  <c r="S32" i="7"/>
  <c r="S31" i="7"/>
  <c r="S30" i="7"/>
  <c r="S29" i="7"/>
  <c r="Y29" i="7" l="1"/>
  <c r="Y33" i="7"/>
  <c r="Y42" i="7"/>
  <c r="Y54" i="7"/>
  <c r="Y58" i="7"/>
  <c r="Y62" i="7"/>
  <c r="U66" i="7"/>
  <c r="Y34" i="7"/>
  <c r="Y55" i="7"/>
  <c r="Y63" i="7"/>
  <c r="Y15" i="7"/>
  <c r="Y19" i="7"/>
  <c r="Y31" i="7"/>
  <c r="Y44" i="7"/>
  <c r="Y52" i="7"/>
  <c r="Y56" i="7"/>
  <c r="Y60" i="7"/>
  <c r="Y64" i="7"/>
  <c r="U46" i="7"/>
  <c r="S66" i="7"/>
  <c r="Y14" i="7"/>
  <c r="Y22" i="7"/>
  <c r="Y30" i="7"/>
  <c r="Y43" i="7"/>
  <c r="Y59" i="7"/>
  <c r="Y32" i="7"/>
  <c r="Y41" i="7"/>
  <c r="Y45" i="7"/>
  <c r="Y53" i="7"/>
  <c r="Y57" i="7"/>
  <c r="Y61" i="7"/>
  <c r="Y65" i="7"/>
  <c r="Y17" i="7"/>
  <c r="Y21" i="7"/>
  <c r="Y25" i="7"/>
  <c r="AA74" i="7"/>
  <c r="AA76" i="7" s="1"/>
  <c r="Y66" i="7" l="1"/>
  <c r="U69" i="7"/>
  <c r="Y46" i="7"/>
  <c r="U49" i="7"/>
  <c r="S69" i="7"/>
  <c r="Y18" i="7"/>
  <c r="Y13" i="7"/>
  <c r="AB74" i="7"/>
  <c r="AA78" i="7"/>
  <c r="Y11" i="7"/>
  <c r="Y20" i="7"/>
  <c r="Y49" i="7" l="1"/>
  <c r="Y69" i="7"/>
  <c r="Y8" i="7"/>
  <c r="Y71" i="7"/>
  <c r="X8" i="7"/>
  <c r="AC80" i="2" l="1"/>
  <c r="S50" i="8" l="1"/>
  <c r="O57" i="8"/>
  <c r="O50" i="8"/>
  <c r="O32" i="8"/>
  <c r="S26" i="8" l="1"/>
  <c r="S32" i="8"/>
  <c r="S38" i="8"/>
  <c r="S44" i="8"/>
  <c r="J57" i="8"/>
  <c r="J44" i="8"/>
  <c r="J32" i="8"/>
  <c r="O26" i="8"/>
  <c r="O38" i="8"/>
  <c r="O44" i="8"/>
  <c r="K50" i="8"/>
  <c r="P50" i="8" s="1"/>
  <c r="K44" i="8"/>
  <c r="K38" i="8"/>
  <c r="P38" i="8" s="1"/>
  <c r="K32" i="8"/>
  <c r="P32" i="8" s="1"/>
  <c r="K26" i="8"/>
  <c r="K27" i="8" s="1"/>
  <c r="P44" i="8" l="1"/>
  <c r="Q38" i="8"/>
  <c r="Q26" i="8"/>
  <c r="Q32" i="8"/>
  <c r="Q44" i="8"/>
  <c r="P26" i="8"/>
  <c r="Q50" i="8"/>
  <c r="S57" i="8" l="1"/>
  <c r="M57" i="8"/>
  <c r="K57" i="8"/>
  <c r="L20" i="8"/>
  <c r="N20" i="8"/>
  <c r="R20" i="8"/>
  <c r="S20" i="8"/>
  <c r="O20" i="8"/>
  <c r="M20" i="8"/>
  <c r="K20" i="8"/>
  <c r="S91" i="8"/>
  <c r="S89" i="8"/>
  <c r="S87" i="8"/>
  <c r="S85" i="8"/>
  <c r="S83" i="8"/>
  <c r="S81" i="8"/>
  <c r="R91" i="8"/>
  <c r="R89" i="8"/>
  <c r="R87" i="8"/>
  <c r="R85" i="8"/>
  <c r="R83" i="8"/>
  <c r="R81" i="8"/>
  <c r="Q54" i="8"/>
  <c r="Q47" i="8"/>
  <c r="Q41" i="8"/>
  <c r="Q35" i="8"/>
  <c r="Q29" i="8"/>
  <c r="Q23" i="8"/>
  <c r="P57" i="8" l="1"/>
  <c r="Q57" i="8"/>
  <c r="Q20" i="8"/>
  <c r="Z91" i="2" l="1"/>
  <c r="Z90" i="2"/>
  <c r="Z95" i="2" l="1"/>
  <c r="Z94" i="2"/>
  <c r="Z93" i="2"/>
  <c r="Z92" i="2"/>
  <c r="Z68" i="2"/>
  <c r="Z67" i="2"/>
  <c r="Z66" i="2"/>
  <c r="Z41" i="2"/>
  <c r="Z39" i="2"/>
  <c r="Y8" i="2"/>
  <c r="S58" i="8" l="1"/>
  <c r="S51" i="8"/>
  <c r="S45" i="8"/>
  <c r="S39" i="8"/>
  <c r="S33" i="8"/>
  <c r="S27" i="8"/>
  <c r="S17" i="8"/>
  <c r="S21" i="8" s="1"/>
  <c r="S60" i="8" l="1"/>
  <c r="Q17" i="8"/>
  <c r="Q60" i="8" l="1"/>
  <c r="Z38" i="2"/>
  <c r="Z32" i="2" l="1"/>
  <c r="Z23" i="2"/>
  <c r="Z8" i="2"/>
  <c r="Z33" i="2" l="1"/>
  <c r="Z20" i="2" l="1"/>
  <c r="Z17" i="2"/>
  <c r="Z12" i="2"/>
  <c r="AB88" i="2"/>
  <c r="AB87" i="2"/>
  <c r="AB79" i="2"/>
  <c r="AB78" i="2"/>
  <c r="AB77" i="2"/>
  <c r="AB76" i="2"/>
  <c r="AB61" i="2"/>
  <c r="AB54" i="2"/>
  <c r="AB50" i="2"/>
  <c r="AB26" i="2"/>
  <c r="AB24" i="2"/>
  <c r="AB21" i="2"/>
  <c r="AB18" i="2"/>
  <c r="AB13" i="2"/>
  <c r="Z79" i="2"/>
  <c r="AB89" i="2" l="1"/>
  <c r="Z89" i="2"/>
  <c r="AB63" i="2"/>
  <c r="AB14" i="2"/>
  <c r="AB28" i="2"/>
  <c r="AB36" i="2" l="1"/>
  <c r="AB30" i="2"/>
  <c r="AB70" i="2"/>
  <c r="AB65" i="2"/>
  <c r="AB75" i="2" l="1"/>
  <c r="AB40" i="2"/>
  <c r="AB71" i="2"/>
  <c r="AB49" i="2" l="1"/>
  <c r="AB51" i="2" s="1"/>
  <c r="AB43" i="2"/>
  <c r="AB53" i="2"/>
  <c r="AB55" i="2" s="1"/>
  <c r="AB81" i="2"/>
  <c r="AB44" i="2" l="1"/>
  <c r="AB86" i="2"/>
  <c r="AB82" i="2"/>
  <c r="AB96" i="2" l="1"/>
  <c r="AB99" i="2" l="1"/>
  <c r="AB97" i="2"/>
  <c r="W31" i="5"/>
  <c r="W23" i="5"/>
  <c r="W27" i="5" l="1"/>
  <c r="W10" i="5"/>
  <c r="T20" i="8" l="1"/>
  <c r="T27" i="8"/>
  <c r="T51" i="8"/>
  <c r="T33" i="8"/>
  <c r="T58" i="8"/>
  <c r="T39" i="8"/>
  <c r="T45" i="8"/>
  <c r="T17" i="8"/>
  <c r="T21" i="8" l="1"/>
  <c r="T60" i="8"/>
  <c r="T84" i="8" l="1"/>
  <c r="T86" i="8"/>
  <c r="T92" i="8"/>
  <c r="T88" i="8"/>
  <c r="T82" i="8"/>
  <c r="T90" i="8"/>
  <c r="AC79" i="2" l="1"/>
  <c r="AC89" i="2" s="1"/>
  <c r="Y90" i="2" l="1"/>
  <c r="Q91" i="2"/>
  <c r="Q95" i="2"/>
  <c r="Y33" i="2"/>
  <c r="Y32" i="2"/>
  <c r="P95" i="2" l="1"/>
  <c r="P94" i="2"/>
  <c r="P93" i="2"/>
  <c r="P92" i="2"/>
  <c r="P91" i="2"/>
  <c r="P90" i="2"/>
  <c r="P79" i="2"/>
  <c r="P89" i="2" s="1"/>
  <c r="P67" i="2"/>
  <c r="P78" i="2" s="1"/>
  <c r="P66" i="2"/>
  <c r="P77" i="2" s="1"/>
  <c r="P58" i="2"/>
  <c r="P57" i="2"/>
  <c r="P41" i="2"/>
  <c r="P39" i="2"/>
  <c r="R8" i="2"/>
  <c r="AB10" i="2" s="1"/>
  <c r="R95" i="2"/>
  <c r="R91" i="2"/>
  <c r="R79" i="2"/>
  <c r="R89" i="2" s="1"/>
  <c r="R58" i="2"/>
  <c r="R57" i="2"/>
  <c r="R38" i="2"/>
  <c r="R33" i="2"/>
  <c r="P88" i="2" l="1"/>
  <c r="R61" i="2"/>
  <c r="R10" i="2"/>
  <c r="P87" i="2"/>
  <c r="V8" i="5"/>
  <c r="O58" i="8" l="1"/>
  <c r="O55" i="8"/>
  <c r="O51" i="8"/>
  <c r="O45" i="8"/>
  <c r="O42" i="8"/>
  <c r="O39" i="8"/>
  <c r="O36" i="8"/>
  <c r="O33" i="8"/>
  <c r="O30" i="8"/>
  <c r="O27" i="8"/>
  <c r="O24" i="8"/>
  <c r="O17" i="8"/>
  <c r="M58" i="8"/>
  <c r="M55" i="8"/>
  <c r="M51" i="8"/>
  <c r="M45" i="8"/>
  <c r="M42" i="8"/>
  <c r="M39" i="8"/>
  <c r="M36" i="8"/>
  <c r="M33" i="8"/>
  <c r="M30" i="8"/>
  <c r="M27" i="8"/>
  <c r="M24" i="8"/>
  <c r="M17" i="8"/>
  <c r="K58" i="8"/>
  <c r="K55" i="8"/>
  <c r="K51" i="8"/>
  <c r="K45" i="8"/>
  <c r="K42" i="8"/>
  <c r="K39" i="8"/>
  <c r="K36" i="8"/>
  <c r="K33" i="8"/>
  <c r="K30" i="8"/>
  <c r="K24" i="8"/>
  <c r="K17" i="8"/>
  <c r="M18" i="8" l="1"/>
  <c r="O18" i="8"/>
  <c r="K18" i="8"/>
  <c r="T18" i="8"/>
  <c r="O21" i="8"/>
  <c r="O60" i="8"/>
  <c r="M21" i="8"/>
  <c r="M60" i="8"/>
  <c r="K60" i="8"/>
  <c r="K21" i="8"/>
  <c r="K92" i="8"/>
  <c r="K90" i="8"/>
  <c r="K88" i="8"/>
  <c r="K86" i="8"/>
  <c r="K84" i="8"/>
  <c r="K82" i="8"/>
  <c r="Y95" i="2" l="1"/>
  <c r="Y94" i="2"/>
  <c r="Y93" i="2"/>
  <c r="Y92" i="2"/>
  <c r="Y91" i="2"/>
  <c r="Y41" i="2"/>
  <c r="Y39" i="2"/>
  <c r="Z50" i="2" l="1"/>
  <c r="Z54" i="2"/>
  <c r="X88" i="2"/>
  <c r="X87" i="2"/>
  <c r="X79" i="2"/>
  <c r="X78" i="2"/>
  <c r="X77" i="2"/>
  <c r="X54" i="2"/>
  <c r="X50" i="2"/>
  <c r="V88" i="2"/>
  <c r="V87" i="2"/>
  <c r="V79" i="2"/>
  <c r="V78" i="2"/>
  <c r="V77" i="2"/>
  <c r="V54" i="2"/>
  <c r="V50" i="2"/>
  <c r="T89" i="2"/>
  <c r="T88" i="2"/>
  <c r="T87" i="2"/>
  <c r="T78" i="2"/>
  <c r="T77" i="2"/>
  <c r="T54" i="2"/>
  <c r="T50" i="2"/>
  <c r="V10" i="2"/>
  <c r="V89" i="2" l="1"/>
  <c r="X89" i="2"/>
  <c r="X24" i="2"/>
  <c r="T76" i="2"/>
  <c r="V24" i="2"/>
  <c r="V18" i="2"/>
  <c r="V61" i="2"/>
  <c r="X18" i="2"/>
  <c r="V9" i="2"/>
  <c r="X9" i="2"/>
  <c r="V76" i="2"/>
  <c r="X21" i="2"/>
  <c r="X13" i="2"/>
  <c r="X61" i="2"/>
  <c r="X10" i="2"/>
  <c r="X76" i="2"/>
  <c r="X26" i="2"/>
  <c r="T18" i="2"/>
  <c r="T24" i="2"/>
  <c r="V26" i="2"/>
  <c r="T61" i="2"/>
  <c r="T26" i="2"/>
  <c r="T21" i="2"/>
  <c r="V21" i="2"/>
  <c r="V13" i="2"/>
  <c r="T10" i="2"/>
  <c r="X63" i="2" l="1"/>
  <c r="X14" i="2"/>
  <c r="V63" i="2"/>
  <c r="T63" i="2"/>
  <c r="T13" i="2"/>
  <c r="X28" i="2"/>
  <c r="V14" i="2"/>
  <c r="V28" i="2"/>
  <c r="T28" i="2" l="1"/>
  <c r="X70" i="2"/>
  <c r="X30" i="2"/>
  <c r="T14" i="2"/>
  <c r="X65" i="2"/>
  <c r="X29" i="2"/>
  <c r="X36" i="2"/>
  <c r="V70" i="2"/>
  <c r="V65" i="2"/>
  <c r="V30" i="2"/>
  <c r="V36" i="2"/>
  <c r="X75" i="2" l="1"/>
  <c r="X71" i="2"/>
  <c r="V75" i="2"/>
  <c r="T70" i="2"/>
  <c r="T65" i="2"/>
  <c r="T36" i="2"/>
  <c r="T30" i="2"/>
  <c r="V29" i="2"/>
  <c r="X72" i="2"/>
  <c r="V40" i="2"/>
  <c r="X40" i="2"/>
  <c r="V71" i="2"/>
  <c r="V72" i="2" l="1"/>
  <c r="X81" i="2"/>
  <c r="V81" i="2"/>
  <c r="V82" i="2" s="1"/>
  <c r="V43" i="2"/>
  <c r="T75" i="2"/>
  <c r="T40" i="2"/>
  <c r="T71" i="2"/>
  <c r="V49" i="2"/>
  <c r="X43" i="2"/>
  <c r="X49" i="2"/>
  <c r="X53" i="2"/>
  <c r="V53" i="2"/>
  <c r="T81" i="2" l="1"/>
  <c r="T43" i="2"/>
  <c r="T44" i="2" s="1"/>
  <c r="Z40" i="2"/>
  <c r="X82" i="2"/>
  <c r="X55" i="2"/>
  <c r="X51" i="2"/>
  <c r="V86" i="2"/>
  <c r="V44" i="2"/>
  <c r="X83" i="2"/>
  <c r="X45" i="2"/>
  <c r="V55" i="2"/>
  <c r="V51" i="2"/>
  <c r="T53" i="2"/>
  <c r="V83" i="2"/>
  <c r="T49" i="2"/>
  <c r="X86" i="2"/>
  <c r="X44" i="2"/>
  <c r="V6" i="5"/>
  <c r="V45" i="2" l="1"/>
  <c r="T86" i="2"/>
  <c r="T55" i="2"/>
  <c r="T82" i="2"/>
  <c r="V96" i="2"/>
  <c r="T51" i="2"/>
  <c r="X96" i="2"/>
  <c r="T96" i="2" l="1"/>
  <c r="V99" i="2"/>
  <c r="V97" i="2"/>
  <c r="X99" i="2"/>
  <c r="X97" i="2"/>
  <c r="U29" i="5"/>
  <c r="U25" i="5"/>
  <c r="U21" i="5"/>
  <c r="T99" i="2" l="1"/>
  <c r="T97" i="2"/>
  <c r="V100" i="2"/>
  <c r="Z100" i="2"/>
  <c r="X100" i="2"/>
  <c r="V29" i="5"/>
  <c r="V31" i="5" s="1"/>
  <c r="V25" i="5"/>
  <c r="V27" i="5" s="1"/>
  <c r="V21" i="5"/>
  <c r="V23" i="5" s="1"/>
  <c r="V10" i="5"/>
  <c r="U10" i="5"/>
  <c r="Y68" i="2"/>
  <c r="AA79" i="2"/>
  <c r="AA89" i="2" s="1"/>
  <c r="U31" i="5" l="1"/>
  <c r="U30" i="5"/>
  <c r="U27" i="5"/>
  <c r="U26" i="5"/>
  <c r="U23" i="5"/>
  <c r="U22" i="5"/>
  <c r="Y79" i="2"/>
  <c r="Y89" i="2" s="1"/>
  <c r="C9" i="2" l="1"/>
  <c r="D9" i="2"/>
  <c r="E9" i="2"/>
  <c r="T10" i="5" l="1"/>
  <c r="T28" i="7" l="1"/>
  <c r="U28" i="7" s="1"/>
  <c r="R28" i="7"/>
  <c r="R23" i="7"/>
  <c r="X23" i="7" l="1"/>
  <c r="S23" i="7"/>
  <c r="S28" i="7"/>
  <c r="X28" i="7"/>
  <c r="N58" i="8"/>
  <c r="N55" i="8"/>
  <c r="N51" i="8"/>
  <c r="N45" i="8"/>
  <c r="N42" i="8"/>
  <c r="N39" i="8"/>
  <c r="N36" i="8"/>
  <c r="N33" i="8"/>
  <c r="N30" i="8"/>
  <c r="N27" i="8"/>
  <c r="N24" i="8"/>
  <c r="T29" i="5"/>
  <c r="T25" i="5"/>
  <c r="T26" i="5" s="1"/>
  <c r="T21" i="5"/>
  <c r="Y28" i="7" l="1"/>
  <c r="Y23" i="7"/>
  <c r="S35" i="7"/>
  <c r="T30" i="5"/>
  <c r="T22" i="5"/>
  <c r="W88" i="2"/>
  <c r="W87" i="2"/>
  <c r="W79" i="2"/>
  <c r="W89" i="2" s="1"/>
  <c r="W78" i="2"/>
  <c r="W77" i="2"/>
  <c r="N17" i="8"/>
  <c r="S38" i="7" l="1"/>
  <c r="N60" i="8"/>
  <c r="N21" i="8"/>
  <c r="N18" i="8"/>
  <c r="E50" i="8"/>
  <c r="S73" i="7" l="1"/>
  <c r="O88" i="8"/>
  <c r="O86" i="8"/>
  <c r="O92" i="8"/>
  <c r="O84" i="8"/>
  <c r="O90" i="8"/>
  <c r="O82" i="8"/>
  <c r="N86" i="8"/>
  <c r="N88" i="8"/>
  <c r="N90" i="8"/>
  <c r="N82" i="8"/>
  <c r="N92" i="8"/>
  <c r="N84" i="8"/>
  <c r="T16" i="7"/>
  <c r="S76" i="7" l="1"/>
  <c r="U16" i="7"/>
  <c r="X16" i="7"/>
  <c r="V16" i="7"/>
  <c r="W16" i="7" s="1"/>
  <c r="T66" i="7"/>
  <c r="T69" i="7" l="1"/>
  <c r="Y16" i="7"/>
  <c r="S78" i="7"/>
  <c r="U74" i="7"/>
  <c r="T46" i="7"/>
  <c r="T49" i="7" l="1"/>
  <c r="S10" i="5"/>
  <c r="L58" i="8" l="1"/>
  <c r="L27" i="8"/>
  <c r="L55" i="8"/>
  <c r="L45" i="8"/>
  <c r="L42" i="8"/>
  <c r="L39" i="8"/>
  <c r="L36" i="8"/>
  <c r="L30" i="8"/>
  <c r="L51" i="8" l="1"/>
  <c r="L33" i="8"/>
  <c r="L17" i="8"/>
  <c r="L60" i="8" s="1"/>
  <c r="L24" i="8"/>
  <c r="L82" i="8" l="1"/>
  <c r="M92" i="8"/>
  <c r="M84" i="8"/>
  <c r="M90" i="8"/>
  <c r="M82" i="8"/>
  <c r="M88" i="8"/>
  <c r="M86" i="8"/>
  <c r="L92" i="8"/>
  <c r="L90" i="8"/>
  <c r="L88" i="8"/>
  <c r="L86" i="8"/>
  <c r="L84" i="8"/>
  <c r="L18" i="8"/>
  <c r="L21" i="8"/>
  <c r="U88" i="2"/>
  <c r="U87" i="2"/>
  <c r="U79" i="2"/>
  <c r="U89" i="2" s="1"/>
  <c r="U77" i="2"/>
  <c r="U78" i="2"/>
  <c r="U54" i="2"/>
  <c r="U50" i="2"/>
  <c r="U76" i="2"/>
  <c r="U10" i="2"/>
  <c r="U24" i="2" l="1"/>
  <c r="U26" i="2"/>
  <c r="P15" i="6"/>
  <c r="P23" i="6" s="1"/>
  <c r="U18" i="2"/>
  <c r="U61" i="2"/>
  <c r="U63" i="2" s="1"/>
  <c r="U9" i="2"/>
  <c r="P32" i="6"/>
  <c r="P39" i="6" s="1"/>
  <c r="P50" i="6"/>
  <c r="P52" i="6" s="1"/>
  <c r="U13" i="2"/>
  <c r="U21" i="2"/>
  <c r="J20" i="8"/>
  <c r="J17" i="8"/>
  <c r="R24" i="7"/>
  <c r="R12" i="7"/>
  <c r="R29" i="5"/>
  <c r="S30" i="5" s="1"/>
  <c r="S26" i="5"/>
  <c r="R21" i="5"/>
  <c r="J90" i="8"/>
  <c r="J82" i="8"/>
  <c r="J92" i="8"/>
  <c r="J84" i="8"/>
  <c r="J88" i="8"/>
  <c r="J86" i="8"/>
  <c r="J55" i="8"/>
  <c r="J30" i="8"/>
  <c r="J36" i="8"/>
  <c r="J42" i="8"/>
  <c r="J58" i="8"/>
  <c r="J45" i="8"/>
  <c r="J39" i="8"/>
  <c r="J51" i="8"/>
  <c r="J24" i="8"/>
  <c r="J27" i="8"/>
  <c r="J33" i="8"/>
  <c r="R10" i="5"/>
  <c r="R66" i="7"/>
  <c r="R46" i="7"/>
  <c r="O32" i="6"/>
  <c r="S18" i="2"/>
  <c r="S10" i="2"/>
  <c r="O50" i="6"/>
  <c r="O52" i="6" s="1"/>
  <c r="O39" i="6"/>
  <c r="O15" i="6"/>
  <c r="O23" i="6" s="1"/>
  <c r="S88" i="2"/>
  <c r="S87" i="2"/>
  <c r="S79" i="2"/>
  <c r="S89" i="2" s="1"/>
  <c r="S78" i="2"/>
  <c r="S77" i="2"/>
  <c r="S76" i="2"/>
  <c r="S61" i="2"/>
  <c r="S63" i="2" s="1"/>
  <c r="S54" i="2"/>
  <c r="S50" i="2"/>
  <c r="S26" i="2"/>
  <c r="S24" i="2"/>
  <c r="S21" i="2"/>
  <c r="S13" i="2"/>
  <c r="E91" i="8"/>
  <c r="D91" i="8"/>
  <c r="C91" i="8"/>
  <c r="E89" i="8"/>
  <c r="D89" i="8"/>
  <c r="C89" i="8"/>
  <c r="E87" i="8"/>
  <c r="D87" i="8"/>
  <c r="C87" i="8"/>
  <c r="E85" i="8"/>
  <c r="D85" i="8"/>
  <c r="C85" i="8"/>
  <c r="E83" i="8"/>
  <c r="D83" i="8"/>
  <c r="C83" i="8"/>
  <c r="E81" i="8"/>
  <c r="D81" i="8"/>
  <c r="C81" i="8"/>
  <c r="D48" i="8"/>
  <c r="D42" i="8"/>
  <c r="D36" i="8"/>
  <c r="D30" i="8"/>
  <c r="D51" i="8"/>
  <c r="C51" i="8"/>
  <c r="H45" i="8"/>
  <c r="G45" i="8"/>
  <c r="F45" i="8"/>
  <c r="E45" i="8"/>
  <c r="D45" i="8"/>
  <c r="C45" i="8"/>
  <c r="H39" i="8"/>
  <c r="G39" i="8"/>
  <c r="F39" i="8"/>
  <c r="E39" i="8"/>
  <c r="D39" i="8"/>
  <c r="C39" i="8"/>
  <c r="H33" i="8"/>
  <c r="G33" i="8"/>
  <c r="F33" i="8"/>
  <c r="E33" i="8"/>
  <c r="D33" i="8"/>
  <c r="C33" i="8"/>
  <c r="H27" i="8"/>
  <c r="G27" i="8"/>
  <c r="F27" i="8"/>
  <c r="E27" i="8"/>
  <c r="D27" i="8"/>
  <c r="C27" i="8"/>
  <c r="D24" i="8"/>
  <c r="I35" i="8"/>
  <c r="F47" i="8"/>
  <c r="E47" i="8"/>
  <c r="I29" i="8"/>
  <c r="G50" i="8"/>
  <c r="G47" i="8"/>
  <c r="I41" i="8"/>
  <c r="F50" i="8"/>
  <c r="I23" i="8"/>
  <c r="I26" i="8"/>
  <c r="I32" i="8"/>
  <c r="I38" i="8"/>
  <c r="I44" i="8"/>
  <c r="I60" i="8"/>
  <c r="I89" i="8" s="1"/>
  <c r="G60" i="8"/>
  <c r="G87" i="8" s="1"/>
  <c r="F60" i="8"/>
  <c r="F89" i="8" s="1"/>
  <c r="H57" i="8"/>
  <c r="I55" i="8"/>
  <c r="D55" i="8"/>
  <c r="H54" i="8"/>
  <c r="H20" i="8"/>
  <c r="H50" i="8" s="1"/>
  <c r="I18" i="8"/>
  <c r="D18" i="8"/>
  <c r="H17" i="8"/>
  <c r="H47" i="8" s="1"/>
  <c r="G6" i="5"/>
  <c r="H6" i="5"/>
  <c r="H10" i="5" s="1"/>
  <c r="L6" i="5"/>
  <c r="Q6" i="5"/>
  <c r="E8" i="5"/>
  <c r="E10" i="5" s="1"/>
  <c r="G8" i="5"/>
  <c r="L8" i="5"/>
  <c r="Q8" i="5"/>
  <c r="C10" i="5"/>
  <c r="D10" i="5"/>
  <c r="F10" i="5"/>
  <c r="I10" i="5"/>
  <c r="J10" i="5"/>
  <c r="K10" i="5"/>
  <c r="M10" i="5"/>
  <c r="N10" i="5"/>
  <c r="O10" i="5"/>
  <c r="P10" i="5"/>
  <c r="D21" i="5"/>
  <c r="E21" i="5"/>
  <c r="F21" i="5"/>
  <c r="H21" i="5"/>
  <c r="I21" i="5"/>
  <c r="J21" i="5"/>
  <c r="K21" i="5"/>
  <c r="M21" i="5"/>
  <c r="N21" i="5"/>
  <c r="S23" i="5" s="1"/>
  <c r="O21" i="5"/>
  <c r="O22" i="5" s="1"/>
  <c r="P21" i="5"/>
  <c r="D25" i="5"/>
  <c r="E25" i="5"/>
  <c r="F25" i="5"/>
  <c r="H25" i="5"/>
  <c r="H27" i="5" s="1"/>
  <c r="I25" i="5"/>
  <c r="J25" i="5"/>
  <c r="K25" i="5"/>
  <c r="K26" i="5" s="1"/>
  <c r="M25" i="5"/>
  <c r="N25" i="5"/>
  <c r="S27" i="5" s="1"/>
  <c r="O25" i="5"/>
  <c r="P25" i="5"/>
  <c r="P27" i="5" s="1"/>
  <c r="E29" i="5"/>
  <c r="F29" i="5"/>
  <c r="G29" i="5" s="1"/>
  <c r="H29" i="5"/>
  <c r="I29" i="5"/>
  <c r="J29" i="5"/>
  <c r="K29" i="5"/>
  <c r="K31" i="5" s="1"/>
  <c r="M29" i="5"/>
  <c r="R31" i="5" s="1"/>
  <c r="N29" i="5"/>
  <c r="S31" i="5" s="1"/>
  <c r="O29" i="5"/>
  <c r="T31" i="5" s="1"/>
  <c r="P29" i="5"/>
  <c r="P31" i="5" s="1"/>
  <c r="G89" i="8"/>
  <c r="G10" i="5"/>
  <c r="H22" i="5"/>
  <c r="G25" i="5"/>
  <c r="K27" i="5"/>
  <c r="H23" i="5"/>
  <c r="Q10" i="2"/>
  <c r="Q67" i="2"/>
  <c r="O78" i="2"/>
  <c r="Q24" i="7"/>
  <c r="P24" i="7" s="1"/>
  <c r="M66" i="2"/>
  <c r="P64" i="7"/>
  <c r="P63" i="7"/>
  <c r="P62" i="7"/>
  <c r="P61" i="7"/>
  <c r="P59" i="7"/>
  <c r="P58" i="7"/>
  <c r="P57" i="7"/>
  <c r="P55" i="7"/>
  <c r="P53" i="7"/>
  <c r="P52" i="7"/>
  <c r="P42" i="7"/>
  <c r="P26" i="7"/>
  <c r="P23" i="7"/>
  <c r="P22" i="7"/>
  <c r="P21" i="7"/>
  <c r="P19" i="7"/>
  <c r="P17" i="7"/>
  <c r="P16" i="7"/>
  <c r="P15" i="7"/>
  <c r="P14" i="7"/>
  <c r="P12" i="7"/>
  <c r="Q94" i="2"/>
  <c r="R94" i="2" s="1"/>
  <c r="Q93" i="2"/>
  <c r="R93" i="2" s="1"/>
  <c r="Q92" i="2"/>
  <c r="R92" i="2" s="1"/>
  <c r="O66" i="7"/>
  <c r="O69" i="7" s="1"/>
  <c r="O46" i="7"/>
  <c r="O49" i="7" s="1"/>
  <c r="O35" i="7"/>
  <c r="O38" i="7" s="1"/>
  <c r="P71" i="7"/>
  <c r="P60" i="7"/>
  <c r="P65" i="7"/>
  <c r="P54" i="7"/>
  <c r="P56" i="7"/>
  <c r="P45" i="7"/>
  <c r="P44" i="7"/>
  <c r="P43" i="7"/>
  <c r="P41" i="7"/>
  <c r="P34" i="7"/>
  <c r="P33" i="7"/>
  <c r="P32" i="7"/>
  <c r="P31" i="7"/>
  <c r="P30" i="7"/>
  <c r="P29" i="7"/>
  <c r="P27" i="7"/>
  <c r="P28" i="7"/>
  <c r="P25" i="7"/>
  <c r="Q46" i="7"/>
  <c r="Q49" i="7" s="1"/>
  <c r="Q66" i="7"/>
  <c r="Q69" i="7" s="1"/>
  <c r="P20" i="7"/>
  <c r="P18" i="7"/>
  <c r="P13" i="7"/>
  <c r="P11" i="7"/>
  <c r="O87" i="2"/>
  <c r="Q62" i="2"/>
  <c r="O12" i="2"/>
  <c r="O38" i="2"/>
  <c r="P38" i="2" s="1"/>
  <c r="Q21" i="2"/>
  <c r="O20" i="2"/>
  <c r="O32" i="2"/>
  <c r="Q18" i="2"/>
  <c r="Q26" i="2"/>
  <c r="O17" i="2"/>
  <c r="Q61" i="2"/>
  <c r="O8" i="2"/>
  <c r="P8" i="2" s="1"/>
  <c r="Q13" i="2"/>
  <c r="Q14" i="2" s="1"/>
  <c r="O23" i="2"/>
  <c r="O26" i="2" s="1"/>
  <c r="Q24" i="2"/>
  <c r="O33" i="2"/>
  <c r="P33" i="2" s="1"/>
  <c r="P8" i="7"/>
  <c r="Q35" i="7"/>
  <c r="Q38" i="7" s="1"/>
  <c r="N50" i="6"/>
  <c r="N52" i="6" s="1"/>
  <c r="N15" i="6"/>
  <c r="N23" i="6" s="1"/>
  <c r="O79" i="2"/>
  <c r="O89" i="2" s="1"/>
  <c r="O54" i="2"/>
  <c r="P54" i="2" s="1"/>
  <c r="O50" i="2"/>
  <c r="P50" i="2" s="1"/>
  <c r="N66" i="7"/>
  <c r="N69" i="7" s="1"/>
  <c r="N46" i="7"/>
  <c r="N49" i="7" s="1"/>
  <c r="N35" i="7"/>
  <c r="N38" i="7" s="1"/>
  <c r="N88" i="2"/>
  <c r="N87" i="2"/>
  <c r="N79" i="2"/>
  <c r="N89" i="2" s="1"/>
  <c r="N78" i="2"/>
  <c r="N77" i="2"/>
  <c r="N50" i="2"/>
  <c r="N54" i="2"/>
  <c r="M32" i="6"/>
  <c r="M39" i="6" s="1"/>
  <c r="M50" i="6"/>
  <c r="M52" i="6" s="1"/>
  <c r="M15" i="6"/>
  <c r="M23" i="6" s="1"/>
  <c r="N21" i="2"/>
  <c r="N76" i="2"/>
  <c r="N26" i="2"/>
  <c r="N18" i="2"/>
  <c r="N24" i="2"/>
  <c r="N10" i="2"/>
  <c r="N9" i="2"/>
  <c r="N61" i="2"/>
  <c r="N63" i="2" s="1"/>
  <c r="N13" i="2"/>
  <c r="N14" i="2" s="1"/>
  <c r="M87" i="2"/>
  <c r="M79" i="2"/>
  <c r="M89" i="2" s="1"/>
  <c r="M54" i="2"/>
  <c r="M50" i="2"/>
  <c r="M78" i="2"/>
  <c r="M13" i="2"/>
  <c r="M21" i="2"/>
  <c r="L50" i="6"/>
  <c r="L52" i="6" s="1"/>
  <c r="M9" i="2"/>
  <c r="M10" i="2"/>
  <c r="L32" i="6"/>
  <c r="L39" i="6" s="1"/>
  <c r="L15" i="6"/>
  <c r="L23" i="6" s="1"/>
  <c r="M18" i="2"/>
  <c r="M26" i="2"/>
  <c r="M24" i="2"/>
  <c r="M61" i="2"/>
  <c r="M63" i="2" s="1"/>
  <c r="L90" i="2"/>
  <c r="Q90" i="2" s="1"/>
  <c r="R90" i="2" s="1"/>
  <c r="M35" i="7"/>
  <c r="M38" i="7" s="1"/>
  <c r="M66" i="7"/>
  <c r="M69" i="7" s="1"/>
  <c r="M46" i="7"/>
  <c r="M49" i="7" s="1"/>
  <c r="L50" i="2"/>
  <c r="L21" i="2"/>
  <c r="L10" i="2"/>
  <c r="L9" i="2"/>
  <c r="L18" i="2"/>
  <c r="L24" i="2"/>
  <c r="K50" i="6"/>
  <c r="K52" i="6" s="1"/>
  <c r="K32" i="6"/>
  <c r="K39" i="6" s="1"/>
  <c r="K15" i="6"/>
  <c r="K23" i="6" s="1"/>
  <c r="L88" i="2"/>
  <c r="L87" i="2"/>
  <c r="L79" i="2"/>
  <c r="L89" i="2" s="1"/>
  <c r="L78" i="2"/>
  <c r="L77" i="2"/>
  <c r="L76" i="2"/>
  <c r="L61" i="2"/>
  <c r="L63" i="2" s="1"/>
  <c r="L54" i="2"/>
  <c r="L26" i="2"/>
  <c r="L13" i="2"/>
  <c r="L14" i="2" s="1"/>
  <c r="J12" i="2"/>
  <c r="K91" i="2"/>
  <c r="K90" i="2"/>
  <c r="J77" i="2"/>
  <c r="J33" i="2"/>
  <c r="J32" i="2"/>
  <c r="J17" i="2"/>
  <c r="J74" i="7"/>
  <c r="J61" i="7"/>
  <c r="J65" i="7"/>
  <c r="J71" i="7"/>
  <c r="J64" i="7"/>
  <c r="J63" i="7"/>
  <c r="J62" i="7"/>
  <c r="J60" i="7"/>
  <c r="J59" i="7"/>
  <c r="J58" i="7"/>
  <c r="J57" i="7"/>
  <c r="J56" i="7"/>
  <c r="J52" i="7"/>
  <c r="J42" i="7"/>
  <c r="J28" i="7"/>
  <c r="J23" i="7"/>
  <c r="J22" i="7"/>
  <c r="J19" i="7"/>
  <c r="J17" i="7"/>
  <c r="J16" i="7"/>
  <c r="J15" i="7"/>
  <c r="J14" i="7"/>
  <c r="J12" i="7"/>
  <c r="J54" i="7"/>
  <c r="J53" i="7"/>
  <c r="J45" i="7"/>
  <c r="J44" i="7"/>
  <c r="J43" i="7"/>
  <c r="J41" i="7"/>
  <c r="J31" i="7"/>
  <c r="J30" i="7"/>
  <c r="J29" i="7"/>
  <c r="J27" i="7"/>
  <c r="J24" i="7"/>
  <c r="J21" i="7"/>
  <c r="J20" i="7"/>
  <c r="J18" i="7"/>
  <c r="J13" i="7"/>
  <c r="J50" i="6"/>
  <c r="J52" i="6" s="1"/>
  <c r="K46" i="7"/>
  <c r="K49" i="7" s="1"/>
  <c r="K35" i="7"/>
  <c r="K38" i="7" s="1"/>
  <c r="K66" i="7"/>
  <c r="K69" i="7" s="1"/>
  <c r="J55" i="7"/>
  <c r="J32" i="6"/>
  <c r="J39" i="6" s="1"/>
  <c r="J15" i="6"/>
  <c r="J23" i="6" s="1"/>
  <c r="K88" i="2"/>
  <c r="K62" i="2"/>
  <c r="K68" i="2" s="1"/>
  <c r="K79" i="2" s="1"/>
  <c r="K89" i="2" s="1"/>
  <c r="K21" i="2"/>
  <c r="J20" i="2"/>
  <c r="J21" i="2" s="1"/>
  <c r="K26" i="2"/>
  <c r="J23" i="2"/>
  <c r="J76" i="2" s="1"/>
  <c r="K24" i="2"/>
  <c r="K10" i="2"/>
  <c r="K18" i="2"/>
  <c r="K87" i="2"/>
  <c r="J9" i="2"/>
  <c r="J14" i="2"/>
  <c r="K13" i="2"/>
  <c r="K14" i="2" s="1"/>
  <c r="J88" i="2"/>
  <c r="J87" i="2"/>
  <c r="K78" i="2"/>
  <c r="J78" i="2"/>
  <c r="K77" i="2"/>
  <c r="K76" i="2"/>
  <c r="J68" i="2"/>
  <c r="J79" i="2" s="1"/>
  <c r="J89" i="2" s="1"/>
  <c r="K61" i="2"/>
  <c r="J61" i="2"/>
  <c r="J63" i="2" s="1"/>
  <c r="J54" i="2"/>
  <c r="J50" i="2"/>
  <c r="I77" i="2"/>
  <c r="I76" i="2"/>
  <c r="I26" i="2"/>
  <c r="I24" i="2"/>
  <c r="I21" i="2"/>
  <c r="I18" i="2"/>
  <c r="I13" i="2"/>
  <c r="I14" i="2" s="1"/>
  <c r="H9" i="2"/>
  <c r="I9" i="2"/>
  <c r="I32" i="6"/>
  <c r="I39" i="6" s="1"/>
  <c r="I15" i="6"/>
  <c r="I23" i="6" s="1"/>
  <c r="I50" i="6"/>
  <c r="I52" i="6" s="1"/>
  <c r="I88" i="2"/>
  <c r="I87" i="2"/>
  <c r="I79" i="2"/>
  <c r="I89" i="2" s="1"/>
  <c r="I78" i="2"/>
  <c r="I61" i="2"/>
  <c r="I63" i="2" s="1"/>
  <c r="I54" i="2"/>
  <c r="I50" i="2"/>
  <c r="G34" i="7"/>
  <c r="J34" i="7" s="1"/>
  <c r="G32" i="7"/>
  <c r="J32" i="7" s="1"/>
  <c r="H54" i="2"/>
  <c r="H50" i="2"/>
  <c r="H24" i="2"/>
  <c r="H21" i="2"/>
  <c r="H18" i="2"/>
  <c r="H26" i="2"/>
  <c r="H13" i="2"/>
  <c r="H14" i="2" s="1"/>
  <c r="H88" i="2"/>
  <c r="H87" i="2"/>
  <c r="H79" i="2"/>
  <c r="H89" i="2" s="1"/>
  <c r="H78" i="2"/>
  <c r="H77" i="2"/>
  <c r="H76" i="2"/>
  <c r="H61" i="2"/>
  <c r="H63" i="2" s="1"/>
  <c r="H50" i="6"/>
  <c r="H52" i="6" s="1"/>
  <c r="H32" i="6"/>
  <c r="H39" i="6" s="1"/>
  <c r="H15" i="6"/>
  <c r="H23" i="6" s="1"/>
  <c r="H66" i="7"/>
  <c r="H69" i="7" s="1"/>
  <c r="H46" i="7"/>
  <c r="H49" i="7" s="1"/>
  <c r="G31" i="6"/>
  <c r="G32" i="6" s="1"/>
  <c r="G39" i="6" s="1"/>
  <c r="G33" i="7"/>
  <c r="J33" i="7" s="1"/>
  <c r="G47" i="6"/>
  <c r="G50" i="6" s="1"/>
  <c r="G52" i="6" s="1"/>
  <c r="G13" i="6"/>
  <c r="G15" i="6" s="1"/>
  <c r="G23" i="6" s="1"/>
  <c r="G38" i="2"/>
  <c r="J38" i="2" s="1"/>
  <c r="E78" i="7"/>
  <c r="D78" i="7"/>
  <c r="C78" i="7"/>
  <c r="B78" i="7"/>
  <c r="F66" i="7"/>
  <c r="F69" i="7" s="1"/>
  <c r="E66" i="7"/>
  <c r="E69" i="7" s="1"/>
  <c r="D66" i="7"/>
  <c r="D69" i="7" s="1"/>
  <c r="C66" i="7"/>
  <c r="C69" i="7" s="1"/>
  <c r="B66" i="7"/>
  <c r="B69" i="7" s="1"/>
  <c r="G46" i="7"/>
  <c r="G49" i="7" s="1"/>
  <c r="F46" i="7"/>
  <c r="F49" i="7" s="1"/>
  <c r="E46" i="7"/>
  <c r="E49" i="7" s="1"/>
  <c r="D46" i="7"/>
  <c r="D49" i="7" s="1"/>
  <c r="C46" i="7"/>
  <c r="C49" i="7" s="1"/>
  <c r="B46" i="7"/>
  <c r="B49" i="7" s="1"/>
  <c r="E35" i="7"/>
  <c r="E38" i="7" s="1"/>
  <c r="D35" i="7"/>
  <c r="D38" i="7" s="1"/>
  <c r="C35" i="7"/>
  <c r="C38" i="7" s="1"/>
  <c r="B35" i="7"/>
  <c r="B38" i="7" s="1"/>
  <c r="G66" i="7"/>
  <c r="G69" i="7" s="1"/>
  <c r="G88" i="2"/>
  <c r="G87" i="2"/>
  <c r="G79" i="2"/>
  <c r="G89" i="2" s="1"/>
  <c r="G78" i="2"/>
  <c r="G77" i="2"/>
  <c r="G54" i="2"/>
  <c r="G50" i="2"/>
  <c r="F18" i="6"/>
  <c r="F19" i="6"/>
  <c r="E58" i="2"/>
  <c r="E54" i="2" s="1"/>
  <c r="E55" i="2" s="1"/>
  <c r="F50" i="6"/>
  <c r="F52" i="6" s="1"/>
  <c r="F13" i="2"/>
  <c r="F14" i="2" s="1"/>
  <c r="E50" i="2"/>
  <c r="E51" i="2" s="1"/>
  <c r="E12" i="2"/>
  <c r="F32" i="6"/>
  <c r="F39" i="6" s="1"/>
  <c r="E78" i="2"/>
  <c r="F88" i="2"/>
  <c r="F87" i="2"/>
  <c r="E87" i="2"/>
  <c r="F76" i="2"/>
  <c r="F68" i="2"/>
  <c r="F79" i="2" s="1"/>
  <c r="F89" i="2" s="1"/>
  <c r="F78" i="2"/>
  <c r="F77" i="2"/>
  <c r="E68" i="2"/>
  <c r="E79" i="2" s="1"/>
  <c r="E89" i="2" s="1"/>
  <c r="F15" i="6"/>
  <c r="F61" i="2"/>
  <c r="F63" i="2" s="1"/>
  <c r="E61" i="2"/>
  <c r="E63" i="2" s="1"/>
  <c r="D54" i="2"/>
  <c r="E38" i="2"/>
  <c r="E33" i="2"/>
  <c r="E32" i="2"/>
  <c r="E17" i="2"/>
  <c r="E20" i="2"/>
  <c r="E21" i="2" s="1"/>
  <c r="E23" i="2"/>
  <c r="E76" i="2" s="1"/>
  <c r="F26" i="2"/>
  <c r="D26" i="2"/>
  <c r="F24" i="2"/>
  <c r="F21" i="2"/>
  <c r="D21" i="2"/>
  <c r="F18" i="2"/>
  <c r="E14" i="2"/>
  <c r="E24" i="2"/>
  <c r="D87" i="2"/>
  <c r="D68" i="2"/>
  <c r="D79" i="2" s="1"/>
  <c r="D89" i="2" s="1"/>
  <c r="D61" i="2"/>
  <c r="D63" i="2" s="1"/>
  <c r="D50" i="2"/>
  <c r="D24" i="2"/>
  <c r="D18" i="2"/>
  <c r="D88" i="2"/>
  <c r="D78" i="2"/>
  <c r="D77" i="2"/>
  <c r="D50" i="6"/>
  <c r="D52" i="6" s="1"/>
  <c r="D32" i="6"/>
  <c r="D39" i="6" s="1"/>
  <c r="D15" i="6"/>
  <c r="D23" i="6" s="1"/>
  <c r="C88" i="2"/>
  <c r="C78" i="2"/>
  <c r="C87" i="2"/>
  <c r="C77" i="2"/>
  <c r="C68" i="2"/>
  <c r="C79" i="2" s="1"/>
  <c r="C89" i="2" s="1"/>
  <c r="C50" i="2"/>
  <c r="C54" i="2"/>
  <c r="C76" i="2"/>
  <c r="C26" i="2"/>
  <c r="C21" i="2"/>
  <c r="C61" i="2"/>
  <c r="C63" i="2" s="1"/>
  <c r="C18" i="2"/>
  <c r="C24" i="2"/>
  <c r="C13" i="2"/>
  <c r="C14" i="2" s="1"/>
  <c r="B63" i="2"/>
  <c r="C50" i="6"/>
  <c r="C52" i="6" s="1"/>
  <c r="C32" i="6"/>
  <c r="C39" i="6" s="1"/>
  <c r="B87" i="2"/>
  <c r="B88" i="2"/>
  <c r="B50" i="2"/>
  <c r="B24" i="2"/>
  <c r="B21" i="2"/>
  <c r="B79" i="2"/>
  <c r="B89" i="2" s="1"/>
  <c r="B77" i="2"/>
  <c r="B54" i="2"/>
  <c r="B13" i="2"/>
  <c r="B14" i="2" s="1"/>
  <c r="B78" i="2"/>
  <c r="B26" i="2"/>
  <c r="C15" i="6"/>
  <c r="C23" i="6" s="1"/>
  <c r="B18" i="2"/>
  <c r="B76" i="2"/>
  <c r="D76" i="2"/>
  <c r="D13" i="2"/>
  <c r="D14" i="2" s="1"/>
  <c r="E32" i="6"/>
  <c r="E39" i="6" s="1"/>
  <c r="E15" i="6"/>
  <c r="E23" i="6" s="1"/>
  <c r="E50" i="6"/>
  <c r="E52" i="6" s="1"/>
  <c r="E77" i="2"/>
  <c r="E88" i="2"/>
  <c r="G9" i="2"/>
  <c r="G61" i="2"/>
  <c r="G63" i="2" s="1"/>
  <c r="G21" i="2"/>
  <c r="G13" i="2"/>
  <c r="G14" i="2" s="1"/>
  <c r="G26" i="2"/>
  <c r="G18" i="2"/>
  <c r="G76" i="2"/>
  <c r="G24" i="2"/>
  <c r="J11" i="7"/>
  <c r="N32" i="6"/>
  <c r="N39" i="6" s="1"/>
  <c r="O77" i="2"/>
  <c r="O88" i="2"/>
  <c r="I36" i="8" l="1"/>
  <c r="N48" i="8"/>
  <c r="O48" i="8"/>
  <c r="L48" i="8"/>
  <c r="M48" i="8"/>
  <c r="I30" i="8"/>
  <c r="I24" i="8"/>
  <c r="I42" i="8"/>
  <c r="J48" i="8"/>
  <c r="K48" i="8"/>
  <c r="R69" i="7"/>
  <c r="R49" i="7"/>
  <c r="U14" i="2"/>
  <c r="Q68" i="2"/>
  <c r="Q79" i="2" s="1"/>
  <c r="Q89" i="2" s="1"/>
  <c r="R62" i="2"/>
  <c r="R63" i="2" s="1"/>
  <c r="Q78" i="2"/>
  <c r="R67" i="2"/>
  <c r="P61" i="2"/>
  <c r="P63" i="2" s="1"/>
  <c r="P10" i="2"/>
  <c r="P9" i="2"/>
  <c r="T9" i="2"/>
  <c r="G51" i="8"/>
  <c r="I87" i="8"/>
  <c r="F51" i="8"/>
  <c r="F83" i="8"/>
  <c r="O26" i="5"/>
  <c r="H30" i="5"/>
  <c r="N27" i="5"/>
  <c r="N26" i="5"/>
  <c r="K30" i="5"/>
  <c r="M26" i="5"/>
  <c r="M22" i="5"/>
  <c r="N54" i="6"/>
  <c r="Q63" i="2"/>
  <c r="K63" i="2"/>
  <c r="Q28" i="2"/>
  <c r="G85" i="8"/>
  <c r="I27" i="8"/>
  <c r="G81" i="8"/>
  <c r="J21" i="8"/>
  <c r="I33" i="8"/>
  <c r="F87" i="8"/>
  <c r="J54" i="6"/>
  <c r="N30" i="5"/>
  <c r="O30" i="5"/>
  <c r="I91" i="8"/>
  <c r="J23" i="5"/>
  <c r="L28" i="2"/>
  <c r="L65" i="2" s="1"/>
  <c r="L75" i="2" s="1"/>
  <c r="L81" i="2" s="1"/>
  <c r="N28" i="2"/>
  <c r="N36" i="2" s="1"/>
  <c r="N40" i="2" s="1"/>
  <c r="N43" i="2" s="1"/>
  <c r="M54" i="6"/>
  <c r="M58" i="6" s="1"/>
  <c r="R27" i="5"/>
  <c r="P22" i="5"/>
  <c r="C28" i="2"/>
  <c r="C30" i="2" s="1"/>
  <c r="M28" i="2"/>
  <c r="M36" i="2" s="1"/>
  <c r="M40" i="2" s="1"/>
  <c r="O18" i="2"/>
  <c r="I47" i="8"/>
  <c r="I83" i="8"/>
  <c r="J22" i="5"/>
  <c r="I45" i="8"/>
  <c r="Q87" i="2"/>
  <c r="M73" i="7"/>
  <c r="I54" i="6"/>
  <c r="J31" i="5"/>
  <c r="E54" i="6"/>
  <c r="B28" i="2"/>
  <c r="B65" i="2" s="1"/>
  <c r="B75" i="2" s="1"/>
  <c r="B81" i="2" s="1"/>
  <c r="B82" i="2" s="1"/>
  <c r="F50" i="2"/>
  <c r="D54" i="6"/>
  <c r="F28" i="2"/>
  <c r="F70" i="2" s="1"/>
  <c r="H54" i="6"/>
  <c r="K50" i="2"/>
  <c r="I28" i="2"/>
  <c r="I70" i="2" s="1"/>
  <c r="J24" i="2"/>
  <c r="M14" i="2"/>
  <c r="N23" i="5"/>
  <c r="K22" i="5"/>
  <c r="G91" i="8"/>
  <c r="O23" i="5"/>
  <c r="T23" i="5"/>
  <c r="K28" i="2"/>
  <c r="Q50" i="2"/>
  <c r="R50" i="2" s="1"/>
  <c r="O73" i="7"/>
  <c r="O76" i="7" s="1"/>
  <c r="P74" i="7" s="1"/>
  <c r="Q25" i="5"/>
  <c r="T27" i="5"/>
  <c r="T12" i="7"/>
  <c r="O76" i="2"/>
  <c r="F54" i="2"/>
  <c r="F23" i="6"/>
  <c r="Q54" i="2"/>
  <c r="R54" i="2" s="1"/>
  <c r="N30" i="2"/>
  <c r="O21" i="2"/>
  <c r="I27" i="5"/>
  <c r="I26" i="5"/>
  <c r="O27" i="5"/>
  <c r="O31" i="5"/>
  <c r="P26" i="5"/>
  <c r="K23" i="5"/>
  <c r="G83" i="8"/>
  <c r="J27" i="5"/>
  <c r="N22" i="5"/>
  <c r="L21" i="5"/>
  <c r="L10" i="5"/>
  <c r="E51" i="8"/>
  <c r="O54" i="6"/>
  <c r="R35" i="7"/>
  <c r="T24" i="7"/>
  <c r="F54" i="6"/>
  <c r="G54" i="6"/>
  <c r="I81" i="8"/>
  <c r="I85" i="8"/>
  <c r="F81" i="8"/>
  <c r="H31" i="5"/>
  <c r="I22" i="5"/>
  <c r="H60" i="8"/>
  <c r="H89" i="8" s="1"/>
  <c r="R23" i="5"/>
  <c r="S22" i="5"/>
  <c r="G21" i="5"/>
  <c r="G28" i="2"/>
  <c r="G65" i="2" s="1"/>
  <c r="G75" i="2" s="1"/>
  <c r="G81" i="2" s="1"/>
  <c r="D28" i="2"/>
  <c r="D65" i="2" s="1"/>
  <c r="D75" i="2" s="1"/>
  <c r="D81" i="2" s="1"/>
  <c r="I30" i="5"/>
  <c r="J26" i="5"/>
  <c r="L29" i="5"/>
  <c r="L31" i="5" s="1"/>
  <c r="F91" i="8"/>
  <c r="M31" i="5"/>
  <c r="M27" i="5"/>
  <c r="P23" i="5"/>
  <c r="I39" i="8"/>
  <c r="J18" i="8"/>
  <c r="K54" i="6"/>
  <c r="K54" i="2"/>
  <c r="H28" i="2"/>
  <c r="H30" i="2" s="1"/>
  <c r="J66" i="7"/>
  <c r="J69" i="7" s="1"/>
  <c r="L70" i="2"/>
  <c r="N73" i="7"/>
  <c r="P46" i="7"/>
  <c r="P49" i="7" s="1"/>
  <c r="L25" i="5"/>
  <c r="L27" i="5" s="1"/>
  <c r="N31" i="5"/>
  <c r="Q10" i="5"/>
  <c r="S28" i="2"/>
  <c r="S70" i="2" s="1"/>
  <c r="P54" i="6"/>
  <c r="U28" i="2"/>
  <c r="S14" i="2"/>
  <c r="E18" i="2"/>
  <c r="E26" i="2"/>
  <c r="E28" i="2" s="1"/>
  <c r="J18" i="2"/>
  <c r="J26" i="2"/>
  <c r="J28" i="2" s="1"/>
  <c r="P66" i="7"/>
  <c r="P69" i="7" s="1"/>
  <c r="C54" i="6"/>
  <c r="Q73" i="7"/>
  <c r="M77" i="2"/>
  <c r="M88" i="2"/>
  <c r="M76" i="2"/>
  <c r="Q66" i="2"/>
  <c r="R66" i="2" s="1"/>
  <c r="R26" i="5"/>
  <c r="K73" i="7"/>
  <c r="L54" i="6"/>
  <c r="L58" i="6" s="1"/>
  <c r="O9" i="2"/>
  <c r="O61" i="2"/>
  <c r="O63" i="2" s="1"/>
  <c r="O13" i="2"/>
  <c r="S9" i="2"/>
  <c r="O24" i="2"/>
  <c r="O10" i="2"/>
  <c r="H51" i="8"/>
  <c r="I50" i="8"/>
  <c r="J46" i="7"/>
  <c r="J49" i="7" s="1"/>
  <c r="P35" i="7"/>
  <c r="P38" i="7" s="1"/>
  <c r="I31" i="5"/>
  <c r="J30" i="5"/>
  <c r="Q21" i="5"/>
  <c r="P30" i="5"/>
  <c r="H26" i="5"/>
  <c r="I23" i="5"/>
  <c r="M23" i="5"/>
  <c r="Q29" i="5"/>
  <c r="M30" i="5"/>
  <c r="F85" i="8"/>
  <c r="I48" i="8" l="1"/>
  <c r="V24" i="7"/>
  <c r="U24" i="7"/>
  <c r="R38" i="7"/>
  <c r="V12" i="7"/>
  <c r="U12" i="7"/>
  <c r="R87" i="2"/>
  <c r="R78" i="2"/>
  <c r="R88" i="2"/>
  <c r="R77" i="2"/>
  <c r="Q36" i="2"/>
  <c r="Q40" i="2" s="1"/>
  <c r="Q29" i="2"/>
  <c r="K36" i="2"/>
  <c r="K40" i="2" s="1"/>
  <c r="K53" i="2" s="1"/>
  <c r="K55" i="2" s="1"/>
  <c r="K29" i="2"/>
  <c r="L82" i="2"/>
  <c r="T84" i="2"/>
  <c r="F36" i="2"/>
  <c r="F40" i="2" s="1"/>
  <c r="F43" i="2" s="1"/>
  <c r="F86" i="2" s="1"/>
  <c r="F96" i="2" s="1"/>
  <c r="N44" i="2"/>
  <c r="X46" i="2"/>
  <c r="L71" i="2"/>
  <c r="T73" i="2"/>
  <c r="N49" i="2"/>
  <c r="N51" i="2" s="1"/>
  <c r="F30" i="2"/>
  <c r="L30" i="2"/>
  <c r="O78" i="7"/>
  <c r="M70" i="2"/>
  <c r="Q65" i="2"/>
  <c r="Q75" i="2" s="1"/>
  <c r="M29" i="2"/>
  <c r="G36" i="2"/>
  <c r="G40" i="2" s="1"/>
  <c r="G53" i="2" s="1"/>
  <c r="G55" i="2" s="1"/>
  <c r="Q30" i="2"/>
  <c r="M65" i="2"/>
  <c r="M75" i="2" s="1"/>
  <c r="M81" i="2" s="1"/>
  <c r="V84" i="2" s="1"/>
  <c r="M30" i="2"/>
  <c r="C65" i="2"/>
  <c r="C75" i="2" s="1"/>
  <c r="C81" i="2" s="1"/>
  <c r="C83" i="2" s="1"/>
  <c r="B70" i="2"/>
  <c r="B71" i="2" s="1"/>
  <c r="N86" i="2"/>
  <c r="N96" i="2" s="1"/>
  <c r="N99" i="2" s="1"/>
  <c r="N65" i="2"/>
  <c r="N75" i="2" s="1"/>
  <c r="N81" i="2" s="1"/>
  <c r="K70" i="2"/>
  <c r="B30" i="2"/>
  <c r="N53" i="2"/>
  <c r="N55" i="2" s="1"/>
  <c r="F65" i="2"/>
  <c r="F75" i="2" s="1"/>
  <c r="F81" i="2" s="1"/>
  <c r="F82" i="2" s="1"/>
  <c r="N70" i="2"/>
  <c r="S65" i="2"/>
  <c r="S75" i="2" s="1"/>
  <c r="S81" i="2" s="1"/>
  <c r="S82" i="2" s="1"/>
  <c r="C70" i="2"/>
  <c r="K30" i="2"/>
  <c r="K65" i="2"/>
  <c r="K75" i="2" s="1"/>
  <c r="K81" i="2" s="1"/>
  <c r="C36" i="2"/>
  <c r="C40" i="2" s="1"/>
  <c r="C53" i="2" s="1"/>
  <c r="C55" i="2" s="1"/>
  <c r="N29" i="2"/>
  <c r="I51" i="8"/>
  <c r="H87" i="8"/>
  <c r="H91" i="8"/>
  <c r="L36" i="2"/>
  <c r="L40" i="2" s="1"/>
  <c r="L53" i="2" s="1"/>
  <c r="L55" i="2" s="1"/>
  <c r="I65" i="2"/>
  <c r="I75" i="2" s="1"/>
  <c r="I81" i="2" s="1"/>
  <c r="L29" i="2"/>
  <c r="H83" i="8"/>
  <c r="I36" i="2"/>
  <c r="I40" i="2" s="1"/>
  <c r="I49" i="2" s="1"/>
  <c r="I51" i="2" s="1"/>
  <c r="I71" i="2"/>
  <c r="I30" i="2"/>
  <c r="C29" i="2"/>
  <c r="B36" i="2"/>
  <c r="B40" i="2" s="1"/>
  <c r="B43" i="2" s="1"/>
  <c r="L23" i="5"/>
  <c r="T35" i="7"/>
  <c r="T38" i="7" s="1"/>
  <c r="T73" i="7" s="1"/>
  <c r="D36" i="2"/>
  <c r="D40" i="2" s="1"/>
  <c r="D29" i="2"/>
  <c r="Q27" i="5"/>
  <c r="H70" i="2"/>
  <c r="I72" i="2" s="1"/>
  <c r="H36" i="2"/>
  <c r="H40" i="2" s="1"/>
  <c r="H49" i="2" s="1"/>
  <c r="H51" i="2" s="1"/>
  <c r="D70" i="2"/>
  <c r="D72" i="2" s="1"/>
  <c r="G30" i="2"/>
  <c r="G70" i="2"/>
  <c r="S30" i="2"/>
  <c r="D30" i="2"/>
  <c r="H65" i="2"/>
  <c r="H75" i="2" s="1"/>
  <c r="H81" i="2" s="1"/>
  <c r="H82" i="2" s="1"/>
  <c r="H81" i="8"/>
  <c r="H85" i="8"/>
  <c r="S36" i="2"/>
  <c r="S40" i="2" s="1"/>
  <c r="S43" i="2" s="1"/>
  <c r="U70" i="2"/>
  <c r="U29" i="2"/>
  <c r="U65" i="2"/>
  <c r="U75" i="2" s="1"/>
  <c r="U81" i="2" s="1"/>
  <c r="U36" i="2"/>
  <c r="U40" i="2" s="1"/>
  <c r="U30" i="2"/>
  <c r="G82" i="2"/>
  <c r="Q76" i="2"/>
  <c r="Q77" i="2"/>
  <c r="Q88" i="2"/>
  <c r="L84" i="2"/>
  <c r="R22" i="5"/>
  <c r="Q23" i="5"/>
  <c r="E36" i="2"/>
  <c r="E40" i="2" s="1"/>
  <c r="E43" i="2" s="1"/>
  <c r="E30" i="2"/>
  <c r="E29" i="2"/>
  <c r="E65" i="2"/>
  <c r="E75" i="2" s="1"/>
  <c r="E81" i="2" s="1"/>
  <c r="G83" i="2" s="1"/>
  <c r="E70" i="2"/>
  <c r="S71" i="2"/>
  <c r="S73" i="2"/>
  <c r="O14" i="2"/>
  <c r="O28" i="2"/>
  <c r="T29" i="2" s="1"/>
  <c r="R30" i="5"/>
  <c r="Q31" i="5"/>
  <c r="M49" i="2"/>
  <c r="M51" i="2" s="1"/>
  <c r="M43" i="2"/>
  <c r="V46" i="2" s="1"/>
  <c r="M53" i="2"/>
  <c r="M55" i="2" s="1"/>
  <c r="P73" i="7"/>
  <c r="P76" i="7" s="1"/>
  <c r="F71" i="2"/>
  <c r="J70" i="2"/>
  <c r="J30" i="2"/>
  <c r="J65" i="2"/>
  <c r="J75" i="2" s="1"/>
  <c r="J81" i="2" s="1"/>
  <c r="J36" i="2"/>
  <c r="J40" i="2" s="1"/>
  <c r="Q70" i="2"/>
  <c r="Q43" i="2"/>
  <c r="Q49" i="2"/>
  <c r="Q51" i="2" s="1"/>
  <c r="Q53" i="2"/>
  <c r="Q55" i="2" s="1"/>
  <c r="D82" i="2"/>
  <c r="U35" i="7" l="1"/>
  <c r="R73" i="7"/>
  <c r="W12" i="7"/>
  <c r="Y12" i="7" s="1"/>
  <c r="X12" i="7"/>
  <c r="W24" i="7"/>
  <c r="X24" i="7"/>
  <c r="K49" i="2"/>
  <c r="K51" i="2" s="1"/>
  <c r="K43" i="2"/>
  <c r="K44" i="2" s="1"/>
  <c r="K82" i="2"/>
  <c r="K71" i="2"/>
  <c r="F8" i="7"/>
  <c r="F35" i="7" s="1"/>
  <c r="F38" i="7" s="1"/>
  <c r="F73" i="7" s="1"/>
  <c r="F76" i="7" s="1"/>
  <c r="K74" i="7" s="1"/>
  <c r="K76" i="7" s="1"/>
  <c r="F44" i="2"/>
  <c r="N71" i="2"/>
  <c r="X73" i="2"/>
  <c r="M71" i="2"/>
  <c r="V73" i="2"/>
  <c r="N82" i="2"/>
  <c r="X84" i="2"/>
  <c r="M72" i="2"/>
  <c r="C72" i="2"/>
  <c r="S84" i="2"/>
  <c r="C49" i="2"/>
  <c r="C51" i="2" s="1"/>
  <c r="G49" i="2"/>
  <c r="G51" i="2" s="1"/>
  <c r="B53" i="2"/>
  <c r="B55" i="2" s="1"/>
  <c r="C82" i="2"/>
  <c r="C71" i="2"/>
  <c r="D71" i="2"/>
  <c r="B49" i="2"/>
  <c r="B51" i="2" s="1"/>
  <c r="L49" i="2"/>
  <c r="L51" i="2" s="1"/>
  <c r="K73" i="2"/>
  <c r="N72" i="2"/>
  <c r="N97" i="2"/>
  <c r="L43" i="2"/>
  <c r="D83" i="2"/>
  <c r="G43" i="2"/>
  <c r="G44" i="2" s="1"/>
  <c r="N84" i="2"/>
  <c r="M82" i="2"/>
  <c r="N83" i="2"/>
  <c r="M83" i="2"/>
  <c r="C43" i="2"/>
  <c r="C44" i="2" s="1"/>
  <c r="K84" i="2"/>
  <c r="H43" i="2"/>
  <c r="H8" i="7" s="1"/>
  <c r="H35" i="7" s="1"/>
  <c r="H38" i="7" s="1"/>
  <c r="H73" i="7" s="1"/>
  <c r="M73" i="2"/>
  <c r="N73" i="2"/>
  <c r="I43" i="2"/>
  <c r="I86" i="2" s="1"/>
  <c r="I82" i="2"/>
  <c r="I53" i="2"/>
  <c r="I55" i="2" s="1"/>
  <c r="H53" i="2"/>
  <c r="H55" i="2" s="1"/>
  <c r="S53" i="2"/>
  <c r="S55" i="2" s="1"/>
  <c r="L73" i="2"/>
  <c r="G71" i="2"/>
  <c r="I83" i="2"/>
  <c r="H72" i="2"/>
  <c r="Q81" i="2"/>
  <c r="H71" i="2"/>
  <c r="H83" i="2"/>
  <c r="M84" i="2"/>
  <c r="D53" i="2"/>
  <c r="D55" i="2" s="1"/>
  <c r="D49" i="2"/>
  <c r="D51" i="2" s="1"/>
  <c r="D43" i="2"/>
  <c r="S49" i="2"/>
  <c r="S51" i="2" s="1"/>
  <c r="U53" i="2"/>
  <c r="U55" i="2" s="1"/>
  <c r="U43" i="2"/>
  <c r="U49" i="2"/>
  <c r="U51" i="2" s="1"/>
  <c r="U83" i="2"/>
  <c r="U82" i="2"/>
  <c r="U84" i="2"/>
  <c r="U73" i="2"/>
  <c r="U72" i="2"/>
  <c r="U71" i="2"/>
  <c r="Q44" i="2"/>
  <c r="Q46" i="2"/>
  <c r="Q86" i="2"/>
  <c r="Q96" i="2" s="1"/>
  <c r="O36" i="2"/>
  <c r="O40" i="2" s="1"/>
  <c r="O65" i="2"/>
  <c r="O75" i="2" s="1"/>
  <c r="O81" i="2" s="1"/>
  <c r="T83" i="2" s="1"/>
  <c r="O30" i="2"/>
  <c r="S29" i="2"/>
  <c r="O70" i="2"/>
  <c r="O29" i="2"/>
  <c r="J53" i="2"/>
  <c r="J55" i="2" s="1"/>
  <c r="J43" i="2"/>
  <c r="J49" i="2"/>
  <c r="J51" i="2" s="1"/>
  <c r="J71" i="2"/>
  <c r="J72" i="2"/>
  <c r="L72" i="2"/>
  <c r="M44" i="2"/>
  <c r="M86" i="2"/>
  <c r="M96" i="2" s="1"/>
  <c r="N45" i="2"/>
  <c r="E83" i="2"/>
  <c r="E82" i="2"/>
  <c r="F97" i="2"/>
  <c r="F99" i="2"/>
  <c r="Q73" i="2"/>
  <c r="Q71" i="2"/>
  <c r="K86" i="2"/>
  <c r="K96" i="2" s="1"/>
  <c r="K46" i="2"/>
  <c r="S86" i="2"/>
  <c r="S96" i="2" s="1"/>
  <c r="S44" i="2"/>
  <c r="J83" i="2"/>
  <c r="J82" i="2"/>
  <c r="L83" i="2"/>
  <c r="G86" i="2"/>
  <c r="G96" i="2" s="1"/>
  <c r="P78" i="7"/>
  <c r="R74" i="7"/>
  <c r="E71" i="2"/>
  <c r="E72" i="2"/>
  <c r="G72" i="2"/>
  <c r="E86" i="2"/>
  <c r="E96" i="2" s="1"/>
  <c r="E44" i="2"/>
  <c r="B44" i="2"/>
  <c r="B86" i="2"/>
  <c r="B96" i="2" s="1"/>
  <c r="R76" i="7" l="1"/>
  <c r="U38" i="7"/>
  <c r="W35" i="7"/>
  <c r="Y24" i="7"/>
  <c r="H44" i="2"/>
  <c r="G8" i="7"/>
  <c r="G35" i="7" s="1"/>
  <c r="G38" i="7" s="1"/>
  <c r="G73" i="7" s="1"/>
  <c r="L46" i="2"/>
  <c r="L86" i="2"/>
  <c r="L96" i="2" s="1"/>
  <c r="L97" i="2" s="1"/>
  <c r="T46" i="2"/>
  <c r="T72" i="2"/>
  <c r="Q84" i="2"/>
  <c r="N46" i="2"/>
  <c r="S46" i="2"/>
  <c r="L44" i="2"/>
  <c r="I44" i="2"/>
  <c r="M45" i="2"/>
  <c r="L45" i="2"/>
  <c r="C45" i="2"/>
  <c r="C86" i="2"/>
  <c r="C96" i="2" s="1"/>
  <c r="C99" i="2" s="1"/>
  <c r="F49" i="2"/>
  <c r="F51" i="2" s="1"/>
  <c r="M46" i="2"/>
  <c r="H86" i="2"/>
  <c r="H96" i="2" s="1"/>
  <c r="H99" i="2" s="1"/>
  <c r="E45" i="2"/>
  <c r="Q82" i="2"/>
  <c r="G74" i="7"/>
  <c r="U45" i="2"/>
  <c r="R78" i="7"/>
  <c r="T74" i="7"/>
  <c r="F78" i="7"/>
  <c r="F53" i="2"/>
  <c r="F55" i="2" s="1"/>
  <c r="D44" i="2"/>
  <c r="D45" i="2"/>
  <c r="D86" i="2"/>
  <c r="D96" i="2" s="1"/>
  <c r="U44" i="2"/>
  <c r="U46" i="2"/>
  <c r="U86" i="2"/>
  <c r="U96" i="2" s="1"/>
  <c r="O73" i="2"/>
  <c r="O71" i="2"/>
  <c r="O72" i="2"/>
  <c r="S72" i="2"/>
  <c r="E97" i="2"/>
  <c r="E99" i="2"/>
  <c r="B97" i="2"/>
  <c r="B99" i="2"/>
  <c r="M74" i="7"/>
  <c r="M76" i="7" s="1"/>
  <c r="Q74" i="7"/>
  <c r="Q76" i="7" s="1"/>
  <c r="K78" i="7"/>
  <c r="L99" i="2"/>
  <c r="T101" i="2" s="1"/>
  <c r="S97" i="2"/>
  <c r="S99" i="2"/>
  <c r="K97" i="2"/>
  <c r="K99" i="2"/>
  <c r="O84" i="2"/>
  <c r="O83" i="2"/>
  <c r="O82" i="2"/>
  <c r="S83" i="2"/>
  <c r="O49" i="2"/>
  <c r="O51" i="2" s="1"/>
  <c r="O43" i="2"/>
  <c r="O53" i="2"/>
  <c r="O55" i="2" s="1"/>
  <c r="G99" i="2"/>
  <c r="G97" i="2"/>
  <c r="I96" i="2"/>
  <c r="I8" i="7"/>
  <c r="M97" i="2"/>
  <c r="M99" i="2"/>
  <c r="V101" i="2" s="1"/>
  <c r="J86" i="2"/>
  <c r="J44" i="2"/>
  <c r="Q97" i="2"/>
  <c r="Q99" i="2"/>
  <c r="U73" i="7" l="1"/>
  <c r="W38" i="7"/>
  <c r="Y35" i="7"/>
  <c r="G76" i="7"/>
  <c r="G78" i="7" s="1"/>
  <c r="T45" i="2"/>
  <c r="Q78" i="7"/>
  <c r="Z74" i="7"/>
  <c r="C97" i="2"/>
  <c r="H97" i="2"/>
  <c r="T76" i="7"/>
  <c r="D97" i="2"/>
  <c r="D99" i="2"/>
  <c r="E100" i="2" s="1"/>
  <c r="U97" i="2"/>
  <c r="U99" i="2"/>
  <c r="Q101" i="2"/>
  <c r="I97" i="2"/>
  <c r="I99" i="2"/>
  <c r="N101" i="2" s="1"/>
  <c r="O45" i="2"/>
  <c r="O44" i="2"/>
  <c r="O46" i="2"/>
  <c r="O86" i="2"/>
  <c r="O96" i="2" s="1"/>
  <c r="S45" i="2"/>
  <c r="S101" i="2"/>
  <c r="L101" i="2"/>
  <c r="M101" i="2"/>
  <c r="M100" i="2"/>
  <c r="N100" i="2"/>
  <c r="C100" i="2"/>
  <c r="J96" i="2"/>
  <c r="J8" i="7"/>
  <c r="J35" i="7" s="1"/>
  <c r="J38" i="7" s="1"/>
  <c r="J73" i="7" s="1"/>
  <c r="J76" i="7" s="1"/>
  <c r="J78" i="7" s="1"/>
  <c r="M78" i="7"/>
  <c r="N74" i="7"/>
  <c r="N76" i="7" s="1"/>
  <c r="N78" i="7" s="1"/>
  <c r="W73" i="7" l="1"/>
  <c r="U76" i="7"/>
  <c r="Y38" i="7"/>
  <c r="H74" i="7"/>
  <c r="H76" i="7" s="1"/>
  <c r="H78" i="7" s="1"/>
  <c r="T78" i="7"/>
  <c r="V74" i="7"/>
  <c r="U101" i="2"/>
  <c r="D100" i="2"/>
  <c r="U100" i="2"/>
  <c r="J99" i="2"/>
  <c r="L100" i="2" s="1"/>
  <c r="J97" i="2"/>
  <c r="O97" i="2"/>
  <c r="O99" i="2"/>
  <c r="W74" i="7" l="1"/>
  <c r="U78" i="7"/>
  <c r="W76" i="7"/>
  <c r="Y73" i="7"/>
  <c r="T100" i="2"/>
  <c r="X101" i="2"/>
  <c r="O100" i="2"/>
  <c r="O101" i="2"/>
  <c r="S100" i="2"/>
  <c r="Y74" i="7" l="1"/>
  <c r="W78" i="7"/>
  <c r="V66" i="7"/>
  <c r="V69" i="7" l="1"/>
  <c r="Y76" i="7"/>
  <c r="V46" i="7"/>
  <c r="Y78" i="7" l="1"/>
  <c r="V49" i="7"/>
  <c r="W50" i="2"/>
  <c r="Q32" i="6" l="1"/>
  <c r="Q39" i="6" s="1"/>
  <c r="V35" i="7" l="1"/>
  <c r="W54" i="2"/>
  <c r="V38" i="7" l="1"/>
  <c r="Q15" i="6"/>
  <c r="Q23" i="6" s="1"/>
  <c r="V73" i="7" l="1"/>
  <c r="W26" i="2"/>
  <c r="W21" i="2"/>
  <c r="W76" i="2"/>
  <c r="V76" i="7" l="1"/>
  <c r="W61" i="2"/>
  <c r="W63" i="2" s="1"/>
  <c r="W13" i="2"/>
  <c r="W24" i="2"/>
  <c r="W18" i="2"/>
  <c r="W10" i="2"/>
  <c r="W9" i="2"/>
  <c r="X74" i="7" l="1"/>
  <c r="V78" i="7"/>
  <c r="W28" i="2"/>
  <c r="W65" i="2" s="1"/>
  <c r="W75" i="2" s="1"/>
  <c r="W81" i="2" s="1"/>
  <c r="W14" i="2"/>
  <c r="W29" i="2"/>
  <c r="W36" i="2"/>
  <c r="W40" i="2" s="1"/>
  <c r="W30" i="2" l="1"/>
  <c r="W70" i="2"/>
  <c r="W73" i="2" s="1"/>
  <c r="W49" i="2"/>
  <c r="W51" i="2" s="1"/>
  <c r="W53" i="2"/>
  <c r="W55" i="2" s="1"/>
  <c r="W43" i="2"/>
  <c r="W84" i="2"/>
  <c r="W82" i="2"/>
  <c r="W83" i="2"/>
  <c r="W71" i="2"/>
  <c r="W72" i="2" l="1"/>
  <c r="W44" i="2"/>
  <c r="W86" i="2"/>
  <c r="W96" i="2" s="1"/>
  <c r="W46" i="2"/>
  <c r="W45" i="2"/>
  <c r="W99" i="2" l="1"/>
  <c r="W97" i="2"/>
  <c r="W101" i="2" l="1"/>
  <c r="W100" i="2"/>
  <c r="Q50" i="6" l="1"/>
  <c r="Q52" i="6" s="1"/>
  <c r="Q54" i="6" s="1"/>
  <c r="R36" i="8" l="1"/>
  <c r="P35" i="8"/>
  <c r="P36" i="8" s="1"/>
  <c r="P41" i="8"/>
  <c r="P42" i="8" s="1"/>
  <c r="R42" i="8"/>
  <c r="R17" i="8"/>
  <c r="R18" i="8" s="1"/>
  <c r="P23" i="8"/>
  <c r="R24" i="8"/>
  <c r="P47" i="8"/>
  <c r="P48" i="8" s="1"/>
  <c r="R48" i="8"/>
  <c r="R30" i="8"/>
  <c r="P29" i="8"/>
  <c r="P30" i="8" s="1"/>
  <c r="R55" i="8"/>
  <c r="P54" i="8"/>
  <c r="R60" i="8" l="1"/>
  <c r="P55" i="8"/>
  <c r="P24" i="8"/>
  <c r="P17" i="8"/>
  <c r="P18" i="8" l="1"/>
  <c r="R86" i="8"/>
  <c r="S88" i="8"/>
  <c r="S86" i="8"/>
  <c r="S90" i="8"/>
  <c r="S92" i="8"/>
  <c r="S84" i="8"/>
  <c r="S82" i="8"/>
  <c r="R82" i="8"/>
  <c r="R88" i="8"/>
  <c r="R90" i="8"/>
  <c r="R92" i="8"/>
  <c r="R84" i="8"/>
  <c r="P60" i="8"/>
  <c r="Q90" i="8" l="1"/>
  <c r="Q82" i="8"/>
  <c r="Q88" i="8"/>
  <c r="Q84" i="8"/>
  <c r="Q86" i="8"/>
  <c r="Q92" i="8"/>
  <c r="P86" i="8"/>
  <c r="P82" i="8"/>
  <c r="P92" i="8"/>
  <c r="P84" i="8"/>
  <c r="P90" i="8"/>
  <c r="P88" i="8"/>
  <c r="R58" i="8" l="1"/>
  <c r="R45" i="8"/>
  <c r="Q45" i="8"/>
  <c r="Q58" i="8" l="1"/>
  <c r="P45" i="8"/>
  <c r="P58" i="8"/>
  <c r="R27" i="8" l="1"/>
  <c r="R51" i="8"/>
  <c r="Q51" i="8"/>
  <c r="R33" i="8"/>
  <c r="Q33" i="8"/>
  <c r="P51" i="8" l="1"/>
  <c r="P33" i="8"/>
  <c r="R39" i="8"/>
  <c r="Q39" i="8"/>
  <c r="P27" i="8"/>
  <c r="P20" i="8" l="1"/>
  <c r="Q27" i="8"/>
  <c r="P39" i="8"/>
  <c r="R21" i="8"/>
  <c r="Q21" i="8" l="1"/>
  <c r="P21" i="8"/>
  <c r="P21" i="2" l="1"/>
  <c r="P76" i="2" l="1"/>
  <c r="P24" i="2"/>
  <c r="P26" i="2"/>
  <c r="P18" i="2"/>
  <c r="R21" i="2" l="1"/>
  <c r="R24" i="2" l="1"/>
  <c r="R76" i="2"/>
  <c r="R26" i="2"/>
  <c r="R18" i="2"/>
  <c r="P13" i="2" l="1"/>
  <c r="P28" i="2" l="1"/>
  <c r="P14" i="2"/>
  <c r="P29" i="2" l="1"/>
  <c r="P30" i="2"/>
  <c r="P36" i="2"/>
  <c r="P40" i="2" s="1"/>
  <c r="P65" i="2"/>
  <c r="P75" i="2" s="1"/>
  <c r="P81" i="2" s="1"/>
  <c r="P70" i="2"/>
  <c r="R13" i="2"/>
  <c r="P53" i="2" l="1"/>
  <c r="P55" i="2" s="1"/>
  <c r="P43" i="2"/>
  <c r="P49" i="2"/>
  <c r="P51" i="2" s="1"/>
  <c r="P83" i="2"/>
  <c r="P82" i="2"/>
  <c r="P84" i="2"/>
  <c r="R28" i="2"/>
  <c r="AB29" i="2" s="1"/>
  <c r="R14" i="2"/>
  <c r="P73" i="2"/>
  <c r="P71" i="2"/>
  <c r="P72" i="2"/>
  <c r="R30" i="2" l="1"/>
  <c r="R36" i="2"/>
  <c r="R40" i="2" s="1"/>
  <c r="R65" i="2"/>
  <c r="R75" i="2" s="1"/>
  <c r="R81" i="2" s="1"/>
  <c r="AB84" i="2" s="1"/>
  <c r="R70" i="2"/>
  <c r="AB73" i="2" s="1"/>
  <c r="R29" i="2"/>
  <c r="P46" i="2"/>
  <c r="P45" i="2"/>
  <c r="P86" i="2"/>
  <c r="P96" i="2" s="1"/>
  <c r="P44" i="2"/>
  <c r="R82" i="2" l="1"/>
  <c r="R84" i="2"/>
  <c r="P99" i="2"/>
  <c r="Z101" i="2" s="1"/>
  <c r="P97" i="2"/>
  <c r="R53" i="2"/>
  <c r="R55" i="2" s="1"/>
  <c r="R49" i="2"/>
  <c r="R51" i="2" s="1"/>
  <c r="R43" i="2"/>
  <c r="AB46" i="2" s="1"/>
  <c r="R71" i="2"/>
  <c r="R73" i="2"/>
  <c r="P101" i="2" l="1"/>
  <c r="P100" i="2"/>
  <c r="R46" i="2"/>
  <c r="R44" i="2"/>
  <c r="R86" i="2"/>
  <c r="R96" i="2" s="1"/>
  <c r="R97" i="2" l="1"/>
  <c r="R99" i="2"/>
  <c r="R101" i="2" l="1"/>
  <c r="AB101" i="2"/>
  <c r="AA77" i="2"/>
  <c r="AA88" i="2"/>
  <c r="Y66" i="2"/>
  <c r="Z77" i="2" l="1"/>
  <c r="Z88" i="2"/>
  <c r="Y77" i="2"/>
  <c r="Y88" i="2"/>
  <c r="Y17" i="2" l="1"/>
  <c r="Y12" i="2" l="1"/>
  <c r="Y38" i="2" l="1"/>
  <c r="AA21" i="2" l="1"/>
  <c r="Y20" i="2"/>
  <c r="AA26" i="2"/>
  <c r="AA61" i="2"/>
  <c r="AA63" i="2" s="1"/>
  <c r="AA10" i="2"/>
  <c r="AA13" i="2"/>
  <c r="AA18" i="2"/>
  <c r="AA76" i="2"/>
  <c r="AA24" i="2"/>
  <c r="Y23" i="2"/>
  <c r="AA14" i="2" l="1"/>
  <c r="Z61" i="2"/>
  <c r="Z13" i="2"/>
  <c r="Z9" i="2"/>
  <c r="Z10" i="2"/>
  <c r="Z18" i="2"/>
  <c r="Z21" i="2"/>
  <c r="Z26" i="2"/>
  <c r="Z76" i="2"/>
  <c r="Z24" i="2"/>
  <c r="AA28" i="2"/>
  <c r="AA36" i="2" s="1"/>
  <c r="AA40" i="2" s="1"/>
  <c r="Y24" i="2"/>
  <c r="Y76" i="2"/>
  <c r="Y21" i="2"/>
  <c r="Y26" i="2"/>
  <c r="Y9" i="2"/>
  <c r="Y61" i="2"/>
  <c r="Y63" i="2" s="1"/>
  <c r="Y13" i="2"/>
  <c r="Y10" i="2"/>
  <c r="Y18" i="2"/>
  <c r="Z63" i="2" l="1"/>
  <c r="Z28" i="2"/>
  <c r="Z14" i="2"/>
  <c r="AA65" i="2"/>
  <c r="AA75" i="2" s="1"/>
  <c r="AA29" i="2"/>
  <c r="AA30" i="2"/>
  <c r="Y14" i="2"/>
  <c r="Y28" i="2"/>
  <c r="AA43" i="2"/>
  <c r="Y40" i="2"/>
  <c r="Z30" i="2" l="1"/>
  <c r="Z36" i="2"/>
  <c r="Z65" i="2"/>
  <c r="Z29" i="2"/>
  <c r="Z49" i="2"/>
  <c r="Z43" i="2"/>
  <c r="Z53" i="2"/>
  <c r="Y43" i="2"/>
  <c r="Y30" i="2"/>
  <c r="Y65" i="2"/>
  <c r="Y75" i="2" s="1"/>
  <c r="Y29" i="2"/>
  <c r="Y36" i="2"/>
  <c r="AA86" i="2"/>
  <c r="AA44" i="2"/>
  <c r="AA46" i="2"/>
  <c r="Z55" i="2" l="1"/>
  <c r="Z75" i="2"/>
  <c r="Z51" i="2"/>
  <c r="Z44" i="2"/>
  <c r="Z46" i="2"/>
  <c r="Z45" i="2"/>
  <c r="Z86" i="2"/>
  <c r="Y45" i="2"/>
  <c r="Y86" i="2"/>
  <c r="Y44" i="2"/>
  <c r="Y46" i="2"/>
  <c r="AA87" i="2" l="1"/>
  <c r="AA96" i="2" s="1"/>
  <c r="AA78" i="2"/>
  <c r="AA81" i="2" s="1"/>
  <c r="Y67" i="2"/>
  <c r="AA70" i="2"/>
  <c r="Z87" i="2" l="1"/>
  <c r="Z78" i="2"/>
  <c r="Z70" i="2"/>
  <c r="AA73" i="2"/>
  <c r="AA71" i="2"/>
  <c r="Y78" i="2"/>
  <c r="Y81" i="2" s="1"/>
  <c r="Y87" i="2"/>
  <c r="Y96" i="2" s="1"/>
  <c r="Y70" i="2"/>
  <c r="AA84" i="2"/>
  <c r="AA82" i="2"/>
  <c r="AA97" i="2"/>
  <c r="Z96" i="2" l="1"/>
  <c r="Z81" i="2"/>
  <c r="Z71" i="2"/>
  <c r="Z72" i="2"/>
  <c r="Z73" i="2"/>
  <c r="Y97" i="2"/>
  <c r="Y83" i="2"/>
  <c r="Y84" i="2"/>
  <c r="Y82" i="2"/>
  <c r="Y73" i="2"/>
  <c r="Y71" i="2"/>
  <c r="Y72" i="2"/>
  <c r="Z84" i="2" l="1"/>
  <c r="Z83" i="2"/>
  <c r="Z97" i="2"/>
  <c r="Z82" i="2"/>
  <c r="R32" i="6" l="1"/>
  <c r="R39" i="6" s="1"/>
  <c r="R15" i="6" l="1"/>
  <c r="R23" i="6" s="1"/>
  <c r="R50" i="6" l="1"/>
  <c r="R52" i="6" s="1"/>
  <c r="R54" i="6" s="1"/>
  <c r="Y54" i="2" l="1"/>
  <c r="Y53" i="2"/>
  <c r="Y49" i="2"/>
  <c r="Y50" i="2"/>
  <c r="Y51" i="2" l="1"/>
  <c r="Y55" i="2"/>
  <c r="AA49" i="2"/>
  <c r="AA50" i="2"/>
  <c r="Y101" i="2"/>
  <c r="Y100" i="2"/>
  <c r="AA51" i="2" l="1"/>
  <c r="AA99" i="2" l="1"/>
  <c r="AA101" i="2" s="1"/>
  <c r="AA54" i="2"/>
  <c r="AA53" i="2"/>
  <c r="AA55" i="2" l="1"/>
  <c r="X66" i="7" l="1"/>
  <c r="Z66" i="7"/>
  <c r="Z69" i="7" l="1"/>
  <c r="X69" i="7"/>
  <c r="Z46" i="7"/>
  <c r="X46" i="7"/>
  <c r="X49" i="7" l="1"/>
  <c r="Z49" i="7"/>
  <c r="X35" i="7"/>
  <c r="Z35" i="7"/>
  <c r="Z38" i="7" l="1"/>
  <c r="X38" i="7"/>
  <c r="X73" i="7" l="1"/>
  <c r="Z73" i="7"/>
  <c r="Z76" i="7" l="1"/>
  <c r="X76" i="7"/>
  <c r="X78" i="7" l="1"/>
  <c r="Z78" i="7"/>
  <c r="AC77" i="2"/>
  <c r="AC88" i="2"/>
  <c r="AC54" i="2" l="1"/>
  <c r="AC50" i="2"/>
  <c r="AC13" i="2" l="1"/>
  <c r="AC10" i="2"/>
  <c r="AC61" i="2"/>
  <c r="AC76" i="2"/>
  <c r="AC24" i="2"/>
  <c r="AC26" i="2"/>
  <c r="AC18" i="2"/>
  <c r="AC21" i="2"/>
  <c r="S15" i="6" l="1"/>
  <c r="S32" i="6"/>
  <c r="S39" i="6" s="1"/>
  <c r="AC63" i="2"/>
  <c r="AC14" i="2"/>
  <c r="AC28" i="2"/>
  <c r="S23" i="6" l="1"/>
  <c r="AC65" i="2"/>
  <c r="AC30" i="2"/>
  <c r="AC36" i="2"/>
  <c r="AC40" i="2" l="1"/>
  <c r="AC43" i="2" s="1"/>
  <c r="AC75" i="2"/>
  <c r="AC49" i="2" l="1"/>
  <c r="AC53" i="2"/>
  <c r="AC46" i="2"/>
  <c r="AC86" i="2"/>
  <c r="AC44" i="2"/>
  <c r="AC51" i="2" l="1"/>
  <c r="AC55" i="2"/>
  <c r="AC87" i="2" l="1"/>
  <c r="AC78" i="2"/>
  <c r="AC70" i="2"/>
  <c r="AC96" i="2" l="1"/>
  <c r="AC97" i="2" s="1"/>
  <c r="AC81" i="2"/>
  <c r="AC73" i="2"/>
  <c r="AC71" i="2"/>
  <c r="AC82" i="2" l="1"/>
  <c r="AC84" i="2"/>
  <c r="AC99" i="2"/>
  <c r="AC101" i="2" l="1"/>
  <c r="S50" i="6" l="1"/>
  <c r="S52" i="6" l="1"/>
  <c r="S54" i="6" l="1"/>
  <c r="AB66" i="7" l="1"/>
  <c r="AB69" i="7" l="1"/>
  <c r="AB46" i="7" l="1"/>
  <c r="AB49" i="7" l="1"/>
  <c r="AB35" i="7" l="1"/>
  <c r="AB38" i="7" l="1"/>
  <c r="AB73" i="7" l="1"/>
  <c r="AB76" i="7" l="1"/>
  <c r="AB78" i="7" l="1"/>
</calcChain>
</file>

<file path=xl/sharedStrings.xml><?xml version="1.0" encoding="utf-8"?>
<sst xmlns="http://schemas.openxmlformats.org/spreadsheetml/2006/main" count="502" uniqueCount="248">
  <si>
    <t>Headcount</t>
  </si>
  <si>
    <t>Revenues</t>
  </si>
  <si>
    <t>Gross profit</t>
  </si>
  <si>
    <t>General and administrative expenses</t>
  </si>
  <si>
    <t>Selling and marketing expenses</t>
  </si>
  <si>
    <t>Depreciation and amortization</t>
  </si>
  <si>
    <t>Total operating expenses</t>
  </si>
  <si>
    <t>Other income/ (expense)</t>
  </si>
  <si>
    <t>Interest on redeemable preferred stock</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</si>
  <si>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</si>
  <si>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</si>
  <si>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</si>
  <si>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</si>
  <si>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</si>
  <si>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</si>
  <si>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</si>
  <si>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</si>
  <si>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</si>
  <si>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</si>
  <si>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</si>
  <si>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</si>
  <si>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</si>
  <si>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</si>
  <si>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</si>
  <si>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</si>
  <si>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</si>
  <si>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</si>
  <si>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</si>
  <si>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Income taxes payable</t>
  </si>
  <si>
    <t>Total current liabilities</t>
  </si>
  <si>
    <t>Additional paid-in capital</t>
  </si>
  <si>
    <t>Other assets</t>
  </si>
  <si>
    <t>Other non-current liabilities</t>
  </si>
  <si>
    <t>Retained earnings</t>
  </si>
  <si>
    <t>Net income</t>
  </si>
  <si>
    <t>Amortization of deferred financing costs</t>
  </si>
  <si>
    <t>Non-employee stock options</t>
  </si>
  <si>
    <t>Foreign exchange (gain)/loss (unrealized)</t>
  </si>
  <si>
    <t>Prepaid expenses and other current assets</t>
  </si>
  <si>
    <t>Accrued expenses and other liabilities</t>
  </si>
  <si>
    <t>Repayment of senior long-term debt</t>
  </si>
  <si>
    <t>Principal payments on capital lease obligations</t>
  </si>
  <si>
    <t>Repayment on redemption of preferred stock</t>
  </si>
  <si>
    <t>Proceeds from exercise of stock options</t>
  </si>
  <si>
    <t>Acquisition of treasury stock</t>
  </si>
  <si>
    <t>Cash and cash equivalents, end of year</t>
  </si>
  <si>
    <t>Cash Flow Statement</t>
  </si>
  <si>
    <t>Top - 3</t>
  </si>
  <si>
    <t>Top - 5</t>
  </si>
  <si>
    <t>Top - 10</t>
  </si>
  <si>
    <t>Top - 1</t>
  </si>
  <si>
    <t>Cashflow Statement</t>
  </si>
  <si>
    <t>Income from discontinued operations, net of taxes</t>
  </si>
  <si>
    <t>Adjustments to reconcile net income to net cash provided by operating activities:</t>
  </si>
  <si>
    <t>Repayment of bank borrowings and other long term debt</t>
  </si>
  <si>
    <t>Proceeds from sale of common stock, net of issuance costs</t>
  </si>
  <si>
    <t>Excess tax benefit/(deficiency) from stock-based compensation</t>
  </si>
  <si>
    <t>Effect of exchange rate changes on cash and cash equivalents</t>
  </si>
  <si>
    <t>GM</t>
  </si>
  <si>
    <t>Other metrics</t>
  </si>
  <si>
    <t>GM%</t>
  </si>
  <si>
    <t>Income tax (provision)/benefit</t>
  </si>
  <si>
    <t>Adjusted Operating Margin</t>
  </si>
  <si>
    <t>Operating expenses</t>
  </si>
  <si>
    <t>Accrued expenses and other current liabilities</t>
  </si>
  <si>
    <t>Non-current liabilities</t>
  </si>
  <si>
    <t>Capital lease obligations, less current portion</t>
  </si>
  <si>
    <t>($ in thousands)</t>
  </si>
  <si>
    <t>Gross Margin</t>
  </si>
  <si>
    <t>Operating Margin</t>
  </si>
  <si>
    <t>Change in operating assets and liabilities (net of effect of acquisitions)</t>
  </si>
  <si>
    <t>EBIT</t>
  </si>
  <si>
    <t>Adjusted EBIT</t>
  </si>
  <si>
    <t>($ in thousands, except per share amounts)</t>
  </si>
  <si>
    <t>Total Liabilities</t>
  </si>
  <si>
    <t>Preferred Stock $0.001 par value; 15,000,000 shares authorized</t>
  </si>
  <si>
    <t>Common Stock</t>
  </si>
  <si>
    <t>Net Cash Flows from Investing</t>
  </si>
  <si>
    <t>Net Cash Flows from Financing</t>
  </si>
  <si>
    <t>Cash and Cash Equivalents from Continuing Operations, end of period</t>
  </si>
  <si>
    <t>Cash Flows from Investing (continuing operations)</t>
  </si>
  <si>
    <t>Cash Flows from Investing (discontinued operations)</t>
  </si>
  <si>
    <t>Cash Flows from Financing (continuing operations)</t>
  </si>
  <si>
    <t>Cash Flows from Financing (discontinued operations)</t>
  </si>
  <si>
    <t>Total Workstations</t>
  </si>
  <si>
    <t>NA</t>
  </si>
  <si>
    <t>Total Revenues</t>
  </si>
  <si>
    <t>Utilities</t>
  </si>
  <si>
    <t>Banking and Financial Services</t>
  </si>
  <si>
    <t>Other</t>
  </si>
  <si>
    <t>Revenue by Geography</t>
  </si>
  <si>
    <t>United States</t>
  </si>
  <si>
    <t>United Kingdom</t>
  </si>
  <si>
    <t>Reconciliation of GAAP to Non-GAAP Measures</t>
  </si>
  <si>
    <t>Seat Utilization</t>
  </si>
  <si>
    <t>Cost of revenues (exclusive of depreciation and amortization)</t>
  </si>
  <si>
    <t>Interest and other income, net</t>
  </si>
  <si>
    <t>Income from continuing operations</t>
  </si>
  <si>
    <t>Income/(loss) from continuing operations before income taxes</t>
  </si>
  <si>
    <t>Income/(loss) from discontinued operations, net of taxes</t>
  </si>
  <si>
    <t>Net income/(loss) to common stockholders</t>
  </si>
  <si>
    <t>Diluted</t>
  </si>
  <si>
    <t>Continuing operations</t>
  </si>
  <si>
    <t>Discontinued operations</t>
  </si>
  <si>
    <t>Basic</t>
  </si>
  <si>
    <t>Total</t>
  </si>
  <si>
    <t>Weighted-average number of shares used in computing earnings per share</t>
  </si>
  <si>
    <t>Short-term investments</t>
  </si>
  <si>
    <t>Cash and cash equivalents</t>
  </si>
  <si>
    <t>Total current assets</t>
  </si>
  <si>
    <t>Intangible assets</t>
  </si>
  <si>
    <t>Total assets</t>
  </si>
  <si>
    <t>Stockholders' equity:</t>
  </si>
  <si>
    <t>Total Liabilities and Stockholders' Equity</t>
  </si>
  <si>
    <t>Cash flows from operating activities</t>
  </si>
  <si>
    <t>Share-based compensation expense</t>
  </si>
  <si>
    <t>Net cash provided by operating activities - continuing operations</t>
  </si>
  <si>
    <t>Net cash provided by operating activities - discontinued operations</t>
  </si>
  <si>
    <t>Net cash provided by operating activities</t>
  </si>
  <si>
    <t>Cash flows from investing activities:</t>
  </si>
  <si>
    <t>Cash flows from financing activities:</t>
  </si>
  <si>
    <t>Net increase/(decrease) in cash and cash equivalents</t>
  </si>
  <si>
    <t xml:space="preserve">Cash and cash equivalents, beginning of period </t>
  </si>
  <si>
    <t>Less cash and equivalents of discontinued operations, end of period</t>
  </si>
  <si>
    <t xml:space="preserve">Purchase of short-term investments </t>
  </si>
  <si>
    <t>Proceeds from Redemption of short-term investments</t>
  </si>
  <si>
    <t>Exl Service Holdings, Inc. stockholders' equity</t>
  </si>
  <si>
    <t>Total stockholders' equity</t>
  </si>
  <si>
    <t>Proceeds from issuance of stock to minority shareholders</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</si>
  <si>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</si>
  <si>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</si>
  <si>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</si>
  <si>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</si>
  <si>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</si>
  <si>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</si>
  <si>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</si>
  <si>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</si>
  <si>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</si>
  <si>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</si>
  <si>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</si>
  <si>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</si>
  <si>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</si>
  <si>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</si>
  <si>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</si>
  <si>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Proceeds from issuance of common stock from public offering, net of issuance costs</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</si>
  <si>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</si>
  <si>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</si>
  <si>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</si>
  <si>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</si>
  <si>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</si>
  <si>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</si>
  <si>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</si>
  <si>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</si>
  <si>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Earnings/(loss)  per share (a)</t>
  </si>
  <si>
    <t>(a) Per share amounts may not foot due to rounding</t>
  </si>
  <si>
    <t>Y/Y revenue growth</t>
  </si>
  <si>
    <t>Travel, Transportation and Logistics</t>
  </si>
  <si>
    <t>Loss on sale of business unit</t>
  </si>
  <si>
    <t>Healthcare</t>
  </si>
  <si>
    <t>Insurance</t>
  </si>
  <si>
    <t>add: reimbursement of transition and disentanglement costs</t>
  </si>
  <si>
    <t>subtract: Tax impact on reimbursement of transition and disentanglement costs</t>
  </si>
  <si>
    <t>add: Reimbursement of transition and disentanglement costs</t>
  </si>
  <si>
    <t>Adjusted Revenues</t>
  </si>
  <si>
    <t>Gain/Loss on sale of fixed assets</t>
  </si>
  <si>
    <t>Long term borrowings</t>
  </si>
  <si>
    <t>Proceeds from long-term borrowings</t>
  </si>
  <si>
    <t>Unrealized gain on short term investments</t>
  </si>
  <si>
    <t>Cash received from non-controlling interest shareholders</t>
  </si>
  <si>
    <t>Operations Management</t>
  </si>
  <si>
    <t>Analytics and Business Transformation</t>
  </si>
  <si>
    <t xml:space="preserve">Y/Y constant currency revenue growth % </t>
  </si>
  <si>
    <t>Q01</t>
  </si>
  <si>
    <t>Change in fair value of Earn-out consideration</t>
  </si>
  <si>
    <t>Q02</t>
  </si>
  <si>
    <t>subtract: Changes in fair value of Earn-out consideration, net of tax</t>
  </si>
  <si>
    <t>Q03</t>
  </si>
  <si>
    <t xml:space="preserve">    Q/Q (Appreciation) / Depreciation</t>
  </si>
  <si>
    <t xml:space="preserve">    Y/Y (Appreciation) / Depreciation</t>
  </si>
  <si>
    <t>Q04</t>
  </si>
  <si>
    <t>Finance &amp; Accounting</t>
  </si>
  <si>
    <t>All Other</t>
  </si>
  <si>
    <t>Revenues and Margins</t>
  </si>
  <si>
    <t xml:space="preserve">(1) Beginning in Q3 2014, one client is now 2 separate legal entities which affected the client concentration figures.  </t>
  </si>
  <si>
    <t>Client Concentration (1)</t>
  </si>
  <si>
    <t xml:space="preserve">Attrition </t>
  </si>
  <si>
    <t>Operations Management (1)(2)(3)</t>
  </si>
  <si>
    <t>Analytics (1)(2)(3)</t>
  </si>
  <si>
    <t xml:space="preserve">(3) From FY 2014 onward, Operations Management will not be a reportable segment. </t>
  </si>
  <si>
    <t xml:space="preserve">(1) (2) In Q4'2015 the Company changed its reporting segments into Operations Management (including Consulting previously part of Analytics and Business Transformation segment)) and Analytics. </t>
  </si>
  <si>
    <t>Figures from FY '13 have been restated to conform to the current presentation.</t>
  </si>
  <si>
    <t>For example, Insurance segment revenue represents BPM services only.</t>
  </si>
  <si>
    <t xml:space="preserve">(1) (2) In Q4'2016 the Company changed its reporting segments into Insurance, Healthcare, Travel Transportation and Logistics, Finance and Accounting, All Other and Analytics. </t>
  </si>
  <si>
    <t xml:space="preserve">Figures from FY'14 have been restated to conform to the current presentation. </t>
  </si>
  <si>
    <t xml:space="preserve">The industry revenue represents the sum total of BPM, Finance, and Accounting , Analytics and Consulting in that industry vertical. </t>
  </si>
  <si>
    <t>For example, Insurance will include BPM, Finance and Accounting, Analytics and Consulting work.</t>
  </si>
  <si>
    <t>Business acquisition (net of cash acquired)</t>
  </si>
  <si>
    <t xml:space="preserve"> </t>
  </si>
  <si>
    <t>EXL GM</t>
  </si>
  <si>
    <t>Revised</t>
  </si>
  <si>
    <t>Accounts receivable, net</t>
  </si>
  <si>
    <t>Advance income tax, net</t>
  </si>
  <si>
    <t>Property and equipment, net</t>
  </si>
  <si>
    <t>Deferred taxes, net</t>
  </si>
  <si>
    <t>Investment in equity affiliate</t>
  </si>
  <si>
    <t>Current portion of long-term borrowings</t>
  </si>
  <si>
    <r>
      <rPr>
        <i/>
        <vertAlign val="superscript"/>
        <sz val="10"/>
        <rFont val="Arial"/>
        <family val="2"/>
      </rPr>
      <t>(b)</t>
    </r>
    <r>
      <rPr>
        <i/>
        <sz val="10"/>
        <rFont val="Arial"/>
        <family val="2"/>
      </rPr>
      <t xml:space="preserve"> The Company early adopted ASU 2017-12, Derivative and Hedging (Topic 815), Targeted Improvements to Accounting for Hedging Activities. Pursuant to this adoption effective January 1, 2017, the Company reclassified settlement gain/(loss) on cash flow hedges included under foreign exchange gain/(loss) to Cost of revenues and Operating expenses</t>
    </r>
  </si>
  <si>
    <r>
      <t>Q4</t>
    </r>
    <r>
      <rPr>
        <b/>
        <vertAlign val="superscript"/>
        <sz val="10"/>
        <rFont val="Arial"/>
        <family val="2"/>
      </rPr>
      <t>(b)</t>
    </r>
  </si>
  <si>
    <r>
      <t>FY 16</t>
    </r>
    <r>
      <rPr>
        <b/>
        <vertAlign val="superscript"/>
        <sz val="10"/>
        <rFont val="Arial"/>
        <family val="2"/>
      </rPr>
      <t>(b)</t>
    </r>
  </si>
  <si>
    <t>Deferred income tax (benefit)/expense</t>
  </si>
  <si>
    <t>Excess tax benefit from stock-based compensation</t>
  </si>
  <si>
    <t>Write-off/Reserve of Doubtful receivables</t>
  </si>
  <si>
    <t>Purchase of property and equipment</t>
  </si>
  <si>
    <t>Proceeds from borrowings</t>
  </si>
  <si>
    <t>Repayment of borrowings</t>
  </si>
  <si>
    <t xml:space="preserve">(4) The Company early adopted ASU 2017-12, Derivative and Hedging (Topic 815), Targeted Improvements to Accounting for Hedging Activities. Pursuant to this adoption effective January 1, 2017, the Company </t>
  </si>
  <si>
    <t>reclassified settlement gain/(loss) on cash flow hedges included under foreign exchange gain/(loss) to Cost of revenues and Operating expenses as applicable in the Consolidated Statements of Income for each of the quarters of 2017.</t>
  </si>
  <si>
    <t>add: Amortization of acquisition-related intangibles</t>
  </si>
  <si>
    <t>add: Stock-based compensation expense</t>
  </si>
  <si>
    <t>subtract: Tax impact on amortization of acquisition-related intangibles</t>
  </si>
  <si>
    <t>Less: Shares held in treasury</t>
  </si>
  <si>
    <t xml:space="preserve">      as applicable in the Consolidated Statements of Income for each of the quarters of 2017. The Company has also revised numbers for Q4 and full year 2016.</t>
  </si>
  <si>
    <t>Loss from equity-method investment</t>
  </si>
  <si>
    <r>
      <t>Q2</t>
    </r>
    <r>
      <rPr>
        <b/>
        <vertAlign val="superscript"/>
        <sz val="10"/>
        <rFont val="Arial"/>
        <family val="2"/>
      </rPr>
      <t>(b)(c)</t>
    </r>
  </si>
  <si>
    <r>
      <t>Q1</t>
    </r>
    <r>
      <rPr>
        <b/>
        <vertAlign val="superscript"/>
        <sz val="10"/>
        <rFont val="Arial"/>
        <family val="2"/>
      </rPr>
      <t>(b)(c)</t>
    </r>
  </si>
  <si>
    <r>
      <t>Q3</t>
    </r>
    <r>
      <rPr>
        <b/>
        <vertAlign val="superscript"/>
        <sz val="10"/>
        <rFont val="Arial"/>
        <family val="2"/>
      </rPr>
      <t>(b)(c )</t>
    </r>
  </si>
  <si>
    <r>
      <t>FY17</t>
    </r>
    <r>
      <rPr>
        <b/>
        <vertAlign val="superscript"/>
        <sz val="10"/>
        <rFont val="Arial"/>
        <family val="2"/>
      </rPr>
      <t>(c)</t>
    </r>
  </si>
  <si>
    <r>
      <t>Q4</t>
    </r>
    <r>
      <rPr>
        <b/>
        <vertAlign val="superscript"/>
        <sz val="10"/>
        <rFont val="Arial"/>
        <family val="2"/>
      </rPr>
      <t>(c)</t>
    </r>
  </si>
  <si>
    <t>FY 17</t>
  </si>
  <si>
    <r>
      <t xml:space="preserve">Revised </t>
    </r>
    <r>
      <rPr>
        <b/>
        <vertAlign val="superscript"/>
        <sz val="16"/>
        <color theme="1"/>
        <rFont val="Calibri"/>
        <family val="2"/>
        <scheme val="minor"/>
      </rPr>
      <t>(4) (5)</t>
    </r>
  </si>
  <si>
    <r>
      <t xml:space="preserve">Revised </t>
    </r>
    <r>
      <rPr>
        <b/>
        <vertAlign val="superscript"/>
        <sz val="16"/>
        <color theme="1"/>
        <rFont val="Calibri"/>
        <family val="2"/>
        <scheme val="minor"/>
      </rPr>
      <t>(5)</t>
    </r>
  </si>
  <si>
    <t xml:space="preserve">(6)  Revenue by Industry includes all solutions offered by EXL for each vertical listed.  Other includes all other industries such as retail, manufacturing and media. </t>
  </si>
  <si>
    <t>Revenue by Industry (6)</t>
  </si>
  <si>
    <t>(5) On January 1, 2018, the Company adopted ASU 2017-07, Compensation-Retirement Benefits (Topic 715), Improving the Presentation of Net Periodic Pension Cost and Net Periodic Post Retirement Benefit Cost.</t>
  </si>
  <si>
    <t>Pursuant to this adoption effective January 1, 2017, the interest cost, expected return on plan assets and amortization of actuarial gains/loss,</t>
  </si>
  <si>
    <t>have been reclassified from “Cost of revenue”, “General and administrative expenses” and “Selling and marketing expenses” to “Other income, net” in the consolidated statements of income for each of the quarters of 2017.</t>
  </si>
  <si>
    <t>(c) On January 1, 2018, the Company adopted ASU 2017-07, Compensation-Retirement Benefits (Topic 715), Improving the Presentation of Net Periodic Pension Cost and Net Periodic Post Retirement Benefit Cost.</t>
  </si>
  <si>
    <t xml:space="preserve">        Pursuant to this adoption effective January 1, 2017, the interest cost, expected return on plan assets and amortization of actuarial gains/loss, have been reclassified from “Cost of revenue”, “General and administrative expenses” and “Selling and marketing expenses” to “Other income, net” in the consolidated statements of income for each of the quarters of 2017.</t>
  </si>
  <si>
    <t>add: Provision for litigation settlement</t>
  </si>
  <si>
    <t>add: provision for litigation settlement</t>
  </si>
  <si>
    <r>
      <t>Q2 2017</t>
    </r>
    <r>
      <rPr>
        <b/>
        <vertAlign val="superscript"/>
        <sz val="10"/>
        <rFont val="Arial"/>
        <family val="2"/>
      </rPr>
      <t>(1)</t>
    </r>
  </si>
  <si>
    <r>
      <t>Q1 2017</t>
    </r>
    <r>
      <rPr>
        <b/>
        <vertAlign val="superscript"/>
        <sz val="10"/>
        <rFont val="Arial"/>
        <family val="2"/>
      </rPr>
      <t>(1)</t>
    </r>
  </si>
  <si>
    <r>
      <t>Q3 2017</t>
    </r>
    <r>
      <rPr>
        <b/>
        <vertAlign val="superscript"/>
        <sz val="10"/>
        <rFont val="Arial"/>
        <family val="2"/>
      </rPr>
      <t>(1)</t>
    </r>
  </si>
  <si>
    <r>
      <t>Q4 2017</t>
    </r>
    <r>
      <rPr>
        <b/>
        <vertAlign val="superscript"/>
        <sz val="10"/>
        <rFont val="Arial"/>
        <family val="2"/>
      </rPr>
      <t>(1)</t>
    </r>
  </si>
  <si>
    <r>
      <t>FY 2017</t>
    </r>
    <r>
      <rPr>
        <b/>
        <vertAlign val="superscript"/>
        <sz val="10"/>
        <rFont val="Arial"/>
        <family val="2"/>
      </rPr>
      <t>(1)</t>
    </r>
  </si>
  <si>
    <t>(1) The Company adopted the guidance in ASU 2016-18 "Statement of Cash Flows" which requires that statement of cash flows include restricted cash as part of cash and cash equivalent. The Company has adopted the guidance retrospectively for each of the quarters of 2017.</t>
  </si>
  <si>
    <t>add: provision for litigation settlement, net of tax</t>
  </si>
  <si>
    <t>add/(subtract): Impact of U.S. Tax Cuts and Jobs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</si>
</sst>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s>
  <fonts count="32"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trike/>
      <sz val="10"/>
      <color indexed="10"/>
      <name val="Arial"/>
      <family val="2"/>
    </font>
    <font>
      <sz val="11"/>
      <color indexed="8"/>
      <name val="Calibri"/>
      <family val="2"/>
    </font>
    <font>
      <sz val="8"/>
      <name val="Calibri"/>
      <family val="2"/>
    </font>
    <font>
      <i/>
      <sz val="10"/>
      <color indexed="8"/>
      <name val="Arial"/>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i/>
      <vertAlign val="superscript"/>
      <sz val="10"/>
      <name val="Arial"/>
      <family val="2"/>
    </font>
    <font>
      <b/>
      <vertAlign val="superscript"/>
      <sz val="10"/>
      <name val="Arial"/>
      <family val="2"/>
    </font>
    <font>
      <b/>
      <vertAlign val="superscript"/>
      <sz val="16"/>
      <color theme="1"/>
      <name val="Calibri"/>
      <family val="2"/>
      <scheme val="minor"/>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59999389629810485"/>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 fillId="0" borderId="0"/>
    <xf numFmtId="43" fontId="1" fillId="0" borderId="0" applyFont="0" applyFill="0" applyBorder="0" applyAlignment="0" applyProtection="0"/>
    <xf numFmtId="43" fontId="16"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cellStyleXfs>
  <cellXfs count="376">
    <xf numFmtId="0" fontId="0" fillId="0" borderId="0" xfId="0"/>
    <xf numFmtId="0" fontId="3" fillId="0" borderId="0" xfId="0" applyFont="1" applyBorder="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applyBorder="1"/>
    <xf numFmtId="0" fontId="3" fillId="0" borderId="0" xfId="0" applyFont="1" applyBorder="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9" fontId="2" fillId="0" borderId="0" xfId="5" applyFont="1" applyFill="1" applyBorder="1"/>
    <xf numFmtId="0" fontId="7" fillId="0" borderId="0" xfId="0" applyFont="1"/>
    <xf numFmtId="10" fontId="4" fillId="0" borderId="0" xfId="0" applyNumberFormat="1" applyFont="1"/>
    <xf numFmtId="0" fontId="5" fillId="0" borderId="0" xfId="0" applyFont="1" applyFill="1" applyAlignment="1" applyProtection="1"/>
    <xf numFmtId="0" fontId="8" fillId="0" borderId="0" xfId="0" applyFont="1" applyFill="1" applyAlignment="1" applyProtection="1"/>
    <xf numFmtId="0" fontId="9" fillId="0" borderId="0" xfId="0" applyFont="1" applyFill="1" applyAlignment="1" applyProtection="1">
      <alignment horizontal="left" indent="1"/>
    </xf>
    <xf numFmtId="0" fontId="9" fillId="0" borderId="0" xfId="0" applyFont="1" applyFill="1" applyAlignment="1" applyProtection="1"/>
    <xf numFmtId="0" fontId="9" fillId="0" borderId="0" xfId="0" applyFont="1" applyFill="1" applyAlignment="1" applyProtection="1">
      <alignment horizontal="right"/>
    </xf>
    <xf numFmtId="0" fontId="3" fillId="0" borderId="0" xfId="0" applyFont="1" applyAlignment="1">
      <alignment horizontal="left" wrapText="1"/>
    </xf>
    <xf numFmtId="0" fontId="9" fillId="0" borderId="0" xfId="0" applyFont="1" applyFill="1" applyAlignment="1" applyProtection="1">
      <alignment wrapText="1"/>
    </xf>
    <xf numFmtId="0" fontId="9" fillId="0" borderId="0" xfId="0" applyFont="1" applyFill="1" applyAlignment="1" applyProtection="1">
      <alignment horizontal="left" wrapText="1" indent="1"/>
    </xf>
    <xf numFmtId="0" fontId="8" fillId="0" borderId="0" xfId="0" applyFont="1" applyFill="1" applyAlignment="1" applyProtection="1">
      <alignment wrapText="1"/>
    </xf>
    <xf numFmtId="0" fontId="9" fillId="0" borderId="0" xfId="0" applyFont="1" applyFill="1" applyAlignment="1" applyProtection="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0" fontId="5" fillId="0" borderId="0" xfId="0" applyFont="1"/>
    <xf numFmtId="164" fontId="2" fillId="0" borderId="0" xfId="2" applyNumberFormat="1" applyFont="1"/>
    <xf numFmtId="5" fontId="2" fillId="0" borderId="0" xfId="2" applyNumberFormat="1" applyFont="1" applyFill="1"/>
    <xf numFmtId="164" fontId="2" fillId="0" borderId="0" xfId="2" applyNumberFormat="1" applyFont="1" applyFill="1"/>
    <xf numFmtId="0" fontId="2" fillId="0" borderId="0" xfId="0"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Fill="1" applyAlignment="1" applyProtection="1">
      <alignment horizontal="left" indent="2"/>
    </xf>
    <xf numFmtId="0" fontId="2" fillId="0" borderId="0" xfId="0" applyFont="1" applyFill="1" applyAlignment="1" applyProtection="1"/>
    <xf numFmtId="0" fontId="4" fillId="0" borderId="0" xfId="0" applyFont="1" applyFill="1" applyBorder="1"/>
    <xf numFmtId="0" fontId="11" fillId="0" borderId="0" xfId="0" applyFont="1" applyFill="1" applyBorder="1"/>
    <xf numFmtId="0" fontId="12" fillId="0" borderId="0" xfId="0" applyFont="1" applyFill="1" applyBorder="1"/>
    <xf numFmtId="0" fontId="6" fillId="0" borderId="0" xfId="0" applyFont="1" applyFill="1" applyBorder="1"/>
    <xf numFmtId="165" fontId="5" fillId="0" borderId="0" xfId="5" applyNumberFormat="1" applyFont="1"/>
    <xf numFmtId="5" fontId="5" fillId="2" borderId="1" xfId="2" applyNumberFormat="1" applyFont="1" applyFill="1" applyBorder="1"/>
    <xf numFmtId="0" fontId="8" fillId="0" borderId="1" xfId="0" applyFont="1" applyFill="1" applyBorder="1" applyAlignment="1" applyProtection="1">
      <alignment wrapText="1"/>
    </xf>
    <xf numFmtId="0" fontId="3" fillId="0" borderId="1" xfId="0" applyFont="1" applyBorder="1"/>
    <xf numFmtId="0" fontId="9" fillId="0" borderId="0" xfId="0" applyFont="1" applyFill="1" applyAlignment="1" applyProtection="1">
      <alignment horizontal="left" indent="3"/>
    </xf>
    <xf numFmtId="0" fontId="2" fillId="0" borderId="0" xfId="0" applyFont="1" applyFill="1" applyAlignment="1" applyProtection="1">
      <alignment horizontal="left" indent="1"/>
    </xf>
    <xf numFmtId="0" fontId="8" fillId="2" borderId="1" xfId="0" applyFont="1" applyFill="1" applyBorder="1" applyAlignment="1" applyProtection="1">
      <alignment wrapText="1"/>
    </xf>
    <xf numFmtId="0" fontId="3" fillId="2" borderId="1" xfId="0" applyFont="1" applyFill="1" applyBorder="1"/>
    <xf numFmtId="0" fontId="3" fillId="2" borderId="0" xfId="0" applyFont="1" applyFill="1"/>
    <xf numFmtId="0" fontId="5" fillId="0" borderId="0" xfId="0" applyFont="1" applyFill="1" applyBorder="1" applyAlignment="1" applyProtection="1">
      <alignment wrapText="1"/>
    </xf>
    <xf numFmtId="0" fontId="5" fillId="0" borderId="1" xfId="0" applyFont="1" applyFill="1" applyBorder="1" applyAlignment="1" applyProtection="1">
      <alignment horizontal="left" wrapText="1" indent="1"/>
    </xf>
    <xf numFmtId="0" fontId="8" fillId="2" borderId="1" xfId="0" applyFont="1" applyFill="1" applyBorder="1" applyAlignment="1" applyProtection="1"/>
    <xf numFmtId="0" fontId="5" fillId="2"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4" fillId="0" borderId="0" xfId="0" applyFont="1" applyBorder="1"/>
    <xf numFmtId="0" fontId="4" fillId="0" borderId="0" xfId="0" applyFont="1" applyBorder="1" applyAlignment="1">
      <alignment horizontal="center"/>
    </xf>
    <xf numFmtId="5" fontId="2" fillId="0" borderId="0" xfId="2" applyNumberFormat="1" applyFont="1"/>
    <xf numFmtId="37" fontId="2" fillId="0" borderId="0" xfId="2" applyNumberFormat="1" applyFont="1"/>
    <xf numFmtId="0" fontId="5" fillId="2" borderId="4" xfId="1" applyFont="1" applyFill="1" applyBorder="1" applyAlignment="1"/>
    <xf numFmtId="0" fontId="10" fillId="0" borderId="5" xfId="1" applyFont="1" applyFill="1" applyBorder="1" applyAlignment="1">
      <alignment horizontal="left" indent="2"/>
    </xf>
    <xf numFmtId="0" fontId="2" fillId="0" borderId="5" xfId="1" applyFont="1" applyFill="1" applyBorder="1" applyAlignment="1">
      <alignment horizontal="left" indent="1"/>
    </xf>
    <xf numFmtId="0" fontId="5" fillId="0" borderId="5" xfId="1" applyFont="1" applyFill="1" applyBorder="1" applyAlignment="1"/>
    <xf numFmtId="0" fontId="2" fillId="0" borderId="5" xfId="0" applyFont="1" applyBorder="1" applyAlignment="1">
      <alignment horizontal="left" indent="1"/>
    </xf>
    <xf numFmtId="0" fontId="2" fillId="0" borderId="5" xfId="1" applyFont="1" applyFill="1" applyBorder="1" applyAlignment="1"/>
    <xf numFmtId="5" fontId="5" fillId="2" borderId="4" xfId="2" applyNumberFormat="1" applyFont="1" applyFill="1" applyBorder="1"/>
    <xf numFmtId="5" fontId="2" fillId="0" borderId="0" xfId="0" applyNumberFormat="1" applyFont="1"/>
    <xf numFmtId="0" fontId="5" fillId="0" borderId="0" xfId="0" applyFont="1" applyFill="1" applyAlignment="1" applyProtection="1">
      <alignment horizontal="left" wrapText="1" indent="1"/>
    </xf>
    <xf numFmtId="0" fontId="3" fillId="0" borderId="0" xfId="0" applyFont="1" applyFill="1" applyAlignment="1">
      <alignment horizontal="center"/>
    </xf>
    <xf numFmtId="0" fontId="9" fillId="3" borderId="0" xfId="0" applyFont="1" applyFill="1" applyAlignment="1" applyProtection="1">
      <alignment horizontal="left" wrapText="1" indent="2"/>
    </xf>
    <xf numFmtId="0" fontId="9" fillId="3" borderId="0" xfId="0" applyFont="1" applyFill="1" applyAlignment="1" applyProtection="1">
      <alignment horizontal="left" wrapText="1" indent="1"/>
    </xf>
    <xf numFmtId="0" fontId="2" fillId="3" borderId="0" xfId="0" applyFont="1" applyFill="1" applyAlignment="1" applyProtection="1">
      <alignment horizontal="left" wrapText="1" indent="1"/>
    </xf>
    <xf numFmtId="0" fontId="4" fillId="3" borderId="0" xfId="0" applyFont="1" applyFill="1"/>
    <xf numFmtId="0" fontId="9" fillId="3" borderId="0" xfId="0" applyFont="1" applyFill="1" applyAlignment="1" applyProtection="1">
      <alignment wrapText="1"/>
    </xf>
    <xf numFmtId="0" fontId="8" fillId="3" borderId="0" xfId="0" applyFont="1" applyFill="1" applyAlignment="1" applyProtection="1">
      <alignment horizontal="left" wrapText="1" indent="1"/>
    </xf>
    <xf numFmtId="0" fontId="3" fillId="4" borderId="1" xfId="0" applyFont="1" applyFill="1" applyBorder="1"/>
    <xf numFmtId="0" fontId="4" fillId="4" borderId="1" xfId="0" applyFont="1" applyFill="1" applyBorder="1"/>
    <xf numFmtId="164" fontId="2" fillId="0" borderId="6" xfId="2" applyNumberFormat="1" applyFont="1" applyBorder="1"/>
    <xf numFmtId="164" fontId="2" fillId="0" borderId="6" xfId="2" applyNumberFormat="1" applyFont="1" applyFill="1" applyBorder="1"/>
    <xf numFmtId="16" fontId="3" fillId="0" borderId="0" xfId="0" applyNumberFormat="1" applyFont="1" applyAlignment="1">
      <alignment horizontal="center"/>
    </xf>
    <xf numFmtId="39" fontId="2" fillId="0" borderId="0" xfId="2" applyNumberFormat="1" applyFont="1"/>
    <xf numFmtId="165" fontId="10" fillId="0" borderId="6" xfId="5" applyNumberFormat="1" applyFont="1" applyBorder="1"/>
    <xf numFmtId="164" fontId="5" fillId="4" borderId="1" xfId="2" applyNumberFormat="1" applyFont="1" applyFill="1" applyBorder="1"/>
    <xf numFmtId="0" fontId="4" fillId="0" borderId="0" xfId="0" applyFont="1" applyBorder="1" applyAlignment="1">
      <alignment horizontal="left" inden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165" fontId="10" fillId="0" borderId="2" xfId="5" applyNumberFormat="1" applyFont="1" applyBorder="1"/>
    <xf numFmtId="0" fontId="14" fillId="0" borderId="0" xfId="0" applyFont="1" applyBorder="1" applyAlignment="1">
      <alignment horizontal="center"/>
    </xf>
    <xf numFmtId="0" fontId="2" fillId="0" borderId="5" xfId="1" applyFont="1" applyFill="1" applyBorder="1" applyAlignment="1">
      <alignment horizontal="left" indent="2"/>
    </xf>
    <xf numFmtId="0" fontId="2" fillId="0" borderId="5" xfId="1" applyFont="1" applyFill="1" applyBorder="1" applyAlignment="1">
      <alignment horizontal="left" indent="3"/>
    </xf>
    <xf numFmtId="43" fontId="5" fillId="0" borderId="0" xfId="2" applyFont="1" applyBorder="1"/>
    <xf numFmtId="0" fontId="2" fillId="0" borderId="7" xfId="1" applyFont="1" applyFill="1" applyBorder="1" applyAlignment="1">
      <alignment horizontal="left" indent="1"/>
    </xf>
    <xf numFmtId="43" fontId="5" fillId="0" borderId="0" xfId="2" applyFont="1"/>
    <xf numFmtId="0" fontId="5" fillId="0" borderId="5" xfId="1" applyFont="1" applyFill="1" applyBorder="1" applyAlignment="1">
      <alignment horizontal="left" indent="2"/>
    </xf>
    <xf numFmtId="9" fontId="2" fillId="0" borderId="0" xfId="5" applyFont="1"/>
    <xf numFmtId="0" fontId="2" fillId="0" borderId="0" xfId="0" applyFont="1" applyBorder="1"/>
    <xf numFmtId="43" fontId="5" fillId="4" borderId="1" xfId="2" applyFont="1" applyFill="1" applyBorder="1"/>
    <xf numFmtId="0" fontId="2" fillId="4" borderId="1" xfId="0" applyFont="1" applyFill="1" applyBorder="1"/>
    <xf numFmtId="9" fontId="2" fillId="0" borderId="0" xfId="5" applyFont="1" applyBorder="1"/>
    <xf numFmtId="165" fontId="5" fillId="4" borderId="1" xfId="0" applyNumberFormat="1" applyFont="1" applyFill="1" applyBorder="1"/>
    <xf numFmtId="0" fontId="2" fillId="0" borderId="0" xfId="0" applyFont="1" applyFill="1" applyBorder="1"/>
    <xf numFmtId="0" fontId="15" fillId="0" borderId="0" xfId="0" applyFont="1" applyFill="1" applyAlignment="1" applyProtection="1">
      <alignment horizontal="left" wrapText="1" indent="1"/>
    </xf>
    <xf numFmtId="5" fontId="4" fillId="0" borderId="0" xfId="0" applyNumberFormat="1" applyFont="1"/>
    <xf numFmtId="165" fontId="2" fillId="0" borderId="0" xfId="5" applyNumberFormat="1" applyFont="1"/>
    <xf numFmtId="5" fontId="4" fillId="0" borderId="0" xfId="0" applyNumberFormat="1" applyFont="1" applyBorder="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applyAlignment="1"/>
    <xf numFmtId="0" fontId="10" fillId="0" borderId="7" xfId="1" applyFont="1" applyFill="1" applyBorder="1" applyAlignment="1">
      <alignment horizontal="left" indent="2"/>
    </xf>
    <xf numFmtId="165" fontId="10" fillId="0" borderId="5" xfId="5" applyNumberFormat="1" applyFont="1" applyBorder="1" applyAlignment="1">
      <alignment horizontal="right"/>
    </xf>
    <xf numFmtId="10" fontId="2" fillId="0" borderId="0" xfId="0" applyNumberFormat="1" applyFont="1" applyBorder="1"/>
    <xf numFmtId="0" fontId="5" fillId="0" borderId="0" xfId="0" applyFont="1" applyBorder="1" applyAlignment="1">
      <alignment horizontal="left"/>
    </xf>
    <xf numFmtId="0" fontId="10" fillId="0" borderId="0" xfId="1" applyFont="1" applyFill="1" applyBorder="1" applyAlignment="1">
      <alignment horizontal="left" indent="2"/>
    </xf>
    <xf numFmtId="0" fontId="10" fillId="0" borderId="2" xfId="1" applyFont="1" applyFill="1" applyBorder="1" applyAlignment="1">
      <alignment horizontal="left" indent="2"/>
    </xf>
    <xf numFmtId="164" fontId="4" fillId="0" borderId="0" xfId="3" applyNumberFormat="1" applyFont="1"/>
    <xf numFmtId="5" fontId="3" fillId="2" borderId="1" xfId="3" applyNumberFormat="1" applyFont="1" applyFill="1" applyBorder="1"/>
    <xf numFmtId="5" fontId="4" fillId="0" borderId="0" xfId="3" applyNumberFormat="1" applyFont="1"/>
    <xf numFmtId="5" fontId="3" fillId="0" borderId="1" xfId="3" applyNumberFormat="1" applyFont="1" applyBorder="1"/>
    <xf numFmtId="0" fontId="3" fillId="0" borderId="1" xfId="0" applyFont="1" applyFill="1" applyBorder="1" applyAlignment="1" applyProtection="1">
      <alignment wrapText="1"/>
    </xf>
    <xf numFmtId="164" fontId="4" fillId="0" borderId="0" xfId="3" applyNumberFormat="1" applyFont="1" applyBorder="1"/>
    <xf numFmtId="0" fontId="4" fillId="0" borderId="0" xfId="0" applyFont="1" applyFill="1" applyBorder="1" applyAlignment="1" applyProtection="1">
      <alignment wrapText="1"/>
    </xf>
    <xf numFmtId="37" fontId="4" fillId="0" borderId="0" xfId="3" applyNumberFormat="1" applyFont="1"/>
    <xf numFmtId="37" fontId="4" fillId="3" borderId="0" xfId="3" applyNumberFormat="1" applyFont="1" applyFill="1"/>
    <xf numFmtId="164" fontId="4" fillId="3" borderId="0" xfId="3" applyNumberFormat="1" applyFont="1" applyFill="1"/>
    <xf numFmtId="5" fontId="4" fillId="3" borderId="0" xfId="3" applyNumberFormat="1" applyFont="1" applyFill="1"/>
    <xf numFmtId="43" fontId="4" fillId="3" borderId="0" xfId="3" applyFont="1" applyFill="1"/>
    <xf numFmtId="5" fontId="3" fillId="3" borderId="0" xfId="3" applyNumberFormat="1"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5" fontId="3" fillId="0" borderId="0" xfId="3" applyNumberFormat="1" applyFont="1"/>
    <xf numFmtId="5" fontId="2" fillId="0" borderId="0" xfId="3" applyNumberFormat="1" applyFont="1"/>
    <xf numFmtId="5" fontId="5" fillId="2" borderId="1" xfId="3" applyNumberFormat="1" applyFont="1" applyFill="1" applyBorder="1"/>
    <xf numFmtId="5" fontId="5" fillId="0" borderId="0" xfId="3" applyNumberFormat="1" applyFont="1"/>
    <xf numFmtId="37" fontId="5" fillId="0" borderId="3" xfId="3" applyNumberFormat="1" applyFont="1" applyBorder="1"/>
    <xf numFmtId="5" fontId="5" fillId="0" borderId="2" xfId="3" applyNumberFormat="1" applyFont="1" applyBorder="1"/>
    <xf numFmtId="37" fontId="2" fillId="0" borderId="0" xfId="3" applyNumberFormat="1" applyFont="1"/>
    <xf numFmtId="37" fontId="2" fillId="3" borderId="0" xfId="3" applyNumberFormat="1" applyFont="1" applyFill="1"/>
    <xf numFmtId="0" fontId="10" fillId="0" borderId="0" xfId="0" applyFont="1" applyBorder="1"/>
    <xf numFmtId="166" fontId="2" fillId="0" borderId="0" xfId="2" applyNumberFormat="1" applyFont="1" applyBorder="1" applyAlignment="1">
      <alignment horizontal="right"/>
    </xf>
    <xf numFmtId="9" fontId="2" fillId="0" borderId="0" xfId="5" applyFont="1" applyFill="1"/>
    <xf numFmtId="0" fontId="18" fillId="0" borderId="0" xfId="0" applyFont="1"/>
    <xf numFmtId="167" fontId="2" fillId="0" borderId="0" xfId="0" applyNumberFormat="1" applyFont="1"/>
    <xf numFmtId="9" fontId="10" fillId="0" borderId="0" xfId="5" applyFont="1"/>
    <xf numFmtId="0" fontId="19" fillId="0" borderId="0" xfId="0" applyFont="1"/>
    <xf numFmtId="4" fontId="2" fillId="0" borderId="0" xfId="0" applyNumberFormat="1" applyFont="1"/>
    <xf numFmtId="9" fontId="5" fillId="0" borderId="0" xfId="5" applyFont="1" applyBorder="1"/>
    <xf numFmtId="7" fontId="5" fillId="0" borderId="0" xfId="2" applyNumberFormat="1" applyFont="1"/>
    <xf numFmtId="5" fontId="5" fillId="0" borderId="0" xfId="2" applyNumberFormat="1" applyFont="1" applyFill="1"/>
    <xf numFmtId="165" fontId="10" fillId="0" borderId="0" xfId="5" applyNumberFormat="1" applyFont="1" applyFill="1"/>
    <xf numFmtId="37" fontId="2" fillId="0" borderId="0" xfId="2" applyNumberFormat="1" applyFont="1" applyFill="1"/>
    <xf numFmtId="37" fontId="2" fillId="0" borderId="0" xfId="0" applyNumberFormat="1" applyFont="1" applyFill="1"/>
    <xf numFmtId="7" fontId="5" fillId="0" borderId="0" xfId="2" applyNumberFormat="1" applyFont="1" applyBorder="1"/>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44" fontId="2" fillId="0" borderId="0" xfId="2" applyNumberFormat="1" applyFont="1"/>
    <xf numFmtId="164" fontId="4" fillId="0" borderId="0" xfId="2" applyNumberFormat="1" applyFont="1"/>
    <xf numFmtId="164" fontId="2" fillId="0" borderId="0" xfId="3" applyNumberFormat="1" applyFont="1"/>
    <xf numFmtId="9" fontId="2" fillId="0" borderId="0" xfId="5" applyNumberFormat="1" applyFont="1" applyBorder="1"/>
    <xf numFmtId="10" fontId="10" fillId="0" borderId="2" xfId="5" applyNumberFormat="1" applyFont="1" applyBorder="1"/>
    <xf numFmtId="0" fontId="5" fillId="0" borderId="0" xfId="0" applyFont="1" applyAlignment="1">
      <alignment horizontal="center"/>
    </xf>
    <xf numFmtId="165" fontId="10" fillId="0" borderId="2" xfId="5" applyNumberFormat="1" applyFont="1" applyFill="1" applyBorder="1"/>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16" fontId="3" fillId="0" borderId="0" xfId="0" applyNumberFormat="1" applyFont="1" applyAlignment="1">
      <alignment horizontal="center" wrapText="1"/>
    </xf>
    <xf numFmtId="0" fontId="5" fillId="0" borderId="0" xfId="0" applyFont="1" applyAlignment="1">
      <alignment horizontal="center"/>
    </xf>
    <xf numFmtId="3" fontId="5" fillId="4" borderId="1" xfId="2" applyNumberFormat="1" applyFont="1" applyFill="1" applyBorder="1"/>
    <xf numFmtId="0" fontId="5" fillId="0" borderId="0" xfId="0" applyFont="1" applyAlignment="1">
      <alignment horizontal="center"/>
    </xf>
    <xf numFmtId="0" fontId="20" fillId="0" borderId="0" xfId="4" applyBorder="1" applyAlignment="1" applyProtection="1"/>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5" fontId="2" fillId="0" borderId="0" xfId="0" applyNumberFormat="1" applyFont="1" applyBorder="1"/>
    <xf numFmtId="0" fontId="5" fillId="0" borderId="0" xfId="0" applyFont="1" applyAlignment="1">
      <alignment horizontal="center"/>
    </xf>
    <xf numFmtId="16" fontId="5" fillId="0" borderId="0" xfId="0" applyNumberFormat="1" applyFont="1" applyAlignment="1">
      <alignment horizontal="center" wrapText="1"/>
    </xf>
    <xf numFmtId="0" fontId="5" fillId="0" borderId="0" xfId="0" applyFont="1" applyBorder="1"/>
    <xf numFmtId="0" fontId="5" fillId="0" borderId="0" xfId="0" applyFont="1" applyAlignment="1">
      <alignment horizontal="center"/>
    </xf>
    <xf numFmtId="164" fontId="4" fillId="0" borderId="0" xfId="2" applyNumberFormat="1" applyFont="1" applyFill="1" applyBorder="1"/>
    <xf numFmtId="5" fontId="3" fillId="0" borderId="0" xfId="0" applyNumberFormat="1" applyFont="1" applyBorder="1"/>
    <xf numFmtId="37" fontId="4" fillId="0" borderId="0" xfId="0" applyNumberFormat="1" applyFont="1"/>
    <xf numFmtId="0" fontId="2" fillId="0" borderId="0" xfId="0" applyFont="1" applyFill="1" applyAlignment="1" applyProtection="1">
      <alignment horizontal="left" indent="3"/>
    </xf>
    <xf numFmtId="0" fontId="2" fillId="0" borderId="0" xfId="0" applyFont="1" applyFill="1" applyAlignment="1" applyProtection="1">
      <alignment horizontal="left" indent="2"/>
    </xf>
    <xf numFmtId="0" fontId="5" fillId="0" borderId="0" xfId="0" applyFont="1" applyAlignment="1">
      <alignment horizontal="center"/>
    </xf>
    <xf numFmtId="0" fontId="3" fillId="0" borderId="0" xfId="0" applyFont="1" applyBorder="1" applyAlignment="1">
      <alignment horizontal="right"/>
    </xf>
    <xf numFmtId="5" fontId="2" fillId="0" borderId="0" xfId="3" applyNumberFormat="1" applyFont="1" applyFill="1"/>
    <xf numFmtId="5" fontId="4" fillId="0" borderId="0" xfId="0" applyNumberFormat="1" applyFont="1" applyFill="1" applyBorder="1"/>
    <xf numFmtId="37" fontId="2" fillId="0" borderId="0" xfId="3" applyNumberFormat="1" applyFont="1" applyFill="1"/>
    <xf numFmtId="0" fontId="22" fillId="0" borderId="0" xfId="0" applyFont="1" applyAlignment="1">
      <alignment horizontal="center"/>
    </xf>
    <xf numFmtId="0" fontId="22" fillId="0" borderId="0" xfId="0" applyFont="1"/>
    <xf numFmtId="0" fontId="23" fillId="0" borderId="0" xfId="0" applyFont="1"/>
    <xf numFmtId="0" fontId="24" fillId="0" borderId="0" xfId="0" applyFont="1"/>
    <xf numFmtId="0" fontId="22" fillId="0" borderId="0" xfId="0" applyFont="1" applyBorder="1" applyAlignment="1">
      <alignment horizontal="center"/>
    </xf>
    <xf numFmtId="0" fontId="22" fillId="0" borderId="0" xfId="0" applyFont="1" applyBorder="1"/>
    <xf numFmtId="0" fontId="25" fillId="0" borderId="0" xfId="0" applyFont="1" applyAlignment="1">
      <alignment horizontal="center"/>
    </xf>
    <xf numFmtId="0" fontId="25" fillId="0" borderId="0" xfId="0" applyFont="1" applyBorder="1" applyAlignment="1">
      <alignment horizontal="center"/>
    </xf>
    <xf numFmtId="0" fontId="26" fillId="0" borderId="0" xfId="0" applyFont="1" applyBorder="1"/>
    <xf numFmtId="0" fontId="23" fillId="0" borderId="0" xfId="0" applyFont="1" applyBorder="1"/>
    <xf numFmtId="0" fontId="22" fillId="4" borderId="1" xfId="0" applyFont="1" applyFill="1" applyBorder="1" applyAlignment="1">
      <alignment horizontal="center"/>
    </xf>
    <xf numFmtId="0" fontId="26" fillId="4" borderId="1" xfId="0" applyFont="1" applyFill="1" applyBorder="1"/>
    <xf numFmtId="5" fontId="25" fillId="4" borderId="1" xfId="2" applyNumberFormat="1" applyFont="1" applyFill="1" applyBorder="1"/>
    <xf numFmtId="0" fontId="22" fillId="0" borderId="0" xfId="0" applyFont="1" applyBorder="1" applyAlignment="1">
      <alignment horizontal="left" indent="1"/>
    </xf>
    <xf numFmtId="165" fontId="22" fillId="0" borderId="0" xfId="5" applyNumberFormat="1" applyFont="1" applyBorder="1"/>
    <xf numFmtId="165" fontId="23" fillId="0" borderId="0" xfId="5" applyNumberFormat="1" applyFont="1" applyBorder="1"/>
    <xf numFmtId="165" fontId="24" fillId="0" borderId="0" xfId="5" applyNumberFormat="1" applyFont="1"/>
    <xf numFmtId="37" fontId="23" fillId="3" borderId="0" xfId="2" applyNumberFormat="1" applyFont="1" applyFill="1" applyBorder="1"/>
    <xf numFmtId="0" fontId="22" fillId="0" borderId="0" xfId="0" applyFont="1" applyAlignment="1"/>
    <xf numFmtId="0" fontId="26" fillId="4" borderId="0" xfId="0" applyFont="1" applyFill="1" applyBorder="1"/>
    <xf numFmtId="5" fontId="25" fillId="4" borderId="0" xfId="2" applyNumberFormat="1" applyFont="1" applyFill="1" applyBorder="1"/>
    <xf numFmtId="42" fontId="25" fillId="4" borderId="0" xfId="2" applyNumberFormat="1" applyFont="1" applyFill="1" applyBorder="1"/>
    <xf numFmtId="0" fontId="22" fillId="0" borderId="0" xfId="0" applyFont="1" applyAlignment="1">
      <alignment horizontal="left"/>
    </xf>
    <xf numFmtId="37" fontId="23" fillId="0" borderId="0" xfId="2" applyNumberFormat="1" applyFont="1" applyFill="1" applyBorder="1"/>
    <xf numFmtId="165" fontId="23" fillId="3" borderId="0" xfId="5" applyNumberFormat="1" applyFont="1" applyFill="1" applyBorder="1"/>
    <xf numFmtId="165" fontId="22" fillId="0" borderId="0" xfId="5" applyNumberFormat="1" applyFont="1" applyFill="1" applyBorder="1"/>
    <xf numFmtId="165" fontId="23" fillId="0" borderId="0" xfId="5" applyNumberFormat="1" applyFont="1" applyFill="1" applyBorder="1"/>
    <xf numFmtId="42" fontId="25" fillId="4" borderId="1" xfId="2" applyNumberFormat="1" applyFont="1" applyFill="1" applyBorder="1"/>
    <xf numFmtId="0" fontId="23" fillId="4" borderId="1" xfId="0" applyFont="1" applyFill="1" applyBorder="1"/>
    <xf numFmtId="0" fontId="23" fillId="0" borderId="0" xfId="0" applyFont="1" applyBorder="1" applyAlignment="1">
      <alignment horizontal="left" indent="1"/>
    </xf>
    <xf numFmtId="5" fontId="23" fillId="0" borderId="0" xfId="0" applyNumberFormat="1" applyFont="1" applyBorder="1"/>
    <xf numFmtId="0" fontId="27" fillId="0" borderId="0" xfId="0" applyFont="1" applyBorder="1" applyAlignment="1">
      <alignment horizontal="center"/>
    </xf>
    <xf numFmtId="9" fontId="23" fillId="0" borderId="0" xfId="0" applyNumberFormat="1" applyFont="1" applyFill="1" applyBorder="1"/>
    <xf numFmtId="9" fontId="22" fillId="0" borderId="0" xfId="0" applyNumberFormat="1" applyFont="1"/>
    <xf numFmtId="9" fontId="23" fillId="0" borderId="0" xfId="5" applyFont="1" applyBorder="1"/>
    <xf numFmtId="9" fontId="23" fillId="0" borderId="0" xfId="5" applyNumberFormat="1" applyFont="1" applyBorder="1"/>
    <xf numFmtId="9" fontId="24" fillId="0" borderId="0" xfId="5" applyNumberFormat="1" applyFont="1"/>
    <xf numFmtId="0" fontId="24" fillId="0" borderId="0" xfId="0" applyFont="1" applyAlignment="1"/>
    <xf numFmtId="0" fontId="22" fillId="0" borderId="0" xfId="0" applyFont="1" applyAlignment="1">
      <alignment horizontal="left" wrapText="1"/>
    </xf>
    <xf numFmtId="164" fontId="2" fillId="0" borderId="0" xfId="0" applyNumberFormat="1" applyFont="1"/>
    <xf numFmtId="0" fontId="4" fillId="0" borderId="0" xfId="0" applyFont="1" applyBorder="1" applyAlignment="1">
      <alignment horizontal="right"/>
    </xf>
    <xf numFmtId="5" fontId="3" fillId="0" borderId="0" xfId="0" applyNumberFormat="1" applyFont="1" applyBorder="1" applyAlignment="1">
      <alignment horizontal="right"/>
    </xf>
    <xf numFmtId="5" fontId="4" fillId="0" borderId="0" xfId="0" applyNumberFormat="1" applyFont="1" applyFill="1" applyBorder="1" applyAlignment="1">
      <alignment horizontal="right"/>
    </xf>
    <xf numFmtId="5" fontId="5" fillId="0" borderId="2" xfId="3" applyNumberFormat="1" applyFont="1" applyBorder="1" applyAlignment="1">
      <alignment horizontal="right"/>
    </xf>
    <xf numFmtId="37" fontId="5" fillId="0" borderId="3" xfId="3" applyNumberFormat="1" applyFont="1" applyBorder="1" applyAlignment="1">
      <alignment horizontal="right"/>
    </xf>
    <xf numFmtId="5" fontId="5" fillId="2" borderId="1" xfId="3" applyNumberFormat="1" applyFont="1" applyFill="1" applyBorder="1" applyAlignment="1">
      <alignment horizontal="right"/>
    </xf>
    <xf numFmtId="0" fontId="4" fillId="0" borderId="0" xfId="0" applyFont="1" applyAlignment="1">
      <alignment horizontal="right"/>
    </xf>
    <xf numFmtId="5" fontId="4" fillId="0" borderId="0" xfId="0" applyNumberFormat="1" applyFont="1" applyBorder="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37" fontId="2" fillId="0" borderId="0" xfId="3" applyNumberFormat="1" applyFont="1" applyAlignment="1">
      <alignment horizontal="right"/>
    </xf>
    <xf numFmtId="42" fontId="25" fillId="4" borderId="3" xfId="2" applyNumberFormat="1" applyFont="1" applyFill="1" applyBorder="1"/>
    <xf numFmtId="0" fontId="24" fillId="0" borderId="3" xfId="0" applyFont="1" applyBorder="1"/>
    <xf numFmtId="0" fontId="22" fillId="0" borderId="0" xfId="0" applyFont="1" applyAlignment="1">
      <alignment horizontal="left" wrapText="1"/>
    </xf>
    <xf numFmtId="43" fontId="4" fillId="3" borderId="0" xfId="2" applyFont="1" applyFill="1"/>
    <xf numFmtId="43" fontId="4" fillId="0" borderId="0" xfId="2" applyFont="1"/>
    <xf numFmtId="9" fontId="24" fillId="0" borderId="0" xfId="5" applyFont="1"/>
    <xf numFmtId="43" fontId="2" fillId="0" borderId="0" xfId="2" applyFont="1" applyBorder="1" applyAlignment="1">
      <alignment horizontal="right"/>
    </xf>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43" fontId="5" fillId="0" borderId="3" xfId="2" applyFont="1" applyBorder="1" applyAlignment="1">
      <alignment horizontal="right"/>
    </xf>
    <xf numFmtId="43" fontId="5" fillId="0" borderId="3" xfId="2" applyFont="1" applyBorder="1"/>
    <xf numFmtId="43" fontId="4" fillId="0" borderId="0" xfId="2" applyFont="1" applyBorder="1"/>
    <xf numFmtId="43" fontId="4" fillId="0" borderId="0" xfId="2" applyFont="1" applyAlignment="1">
      <alignment horizontal="right"/>
    </xf>
    <xf numFmtId="43" fontId="2" fillId="0" borderId="0" xfId="2" applyFont="1" applyAlignment="1">
      <alignment horizontal="right"/>
    </xf>
    <xf numFmtId="164" fontId="2" fillId="0" borderId="0" xfId="0" applyNumberFormat="1" applyFont="1" applyFill="1"/>
    <xf numFmtId="5" fontId="2" fillId="0" borderId="0" xfId="0" applyNumberFormat="1" applyFont="1" applyFill="1"/>
    <xf numFmtId="0" fontId="5" fillId="5" borderId="0" xfId="0" applyFont="1" applyFill="1" applyAlignment="1">
      <alignment horizontal="center"/>
    </xf>
    <xf numFmtId="0" fontId="2" fillId="5" borderId="0" xfId="0" applyFont="1" applyFill="1"/>
    <xf numFmtId="164" fontId="5" fillId="5" borderId="1" xfId="2" applyNumberFormat="1" applyFont="1" applyFill="1" applyBorder="1"/>
    <xf numFmtId="165" fontId="10" fillId="5" borderId="0" xfId="5" applyNumberFormat="1" applyFont="1" applyFill="1"/>
    <xf numFmtId="164" fontId="2" fillId="5" borderId="0" xfId="2" applyNumberFormat="1" applyFont="1" applyFill="1"/>
    <xf numFmtId="9" fontId="2" fillId="5" borderId="0" xfId="5" applyFont="1" applyFill="1"/>
    <xf numFmtId="164" fontId="5" fillId="5" borderId="0" xfId="2" applyNumberFormat="1" applyFont="1" applyFill="1"/>
    <xf numFmtId="5" fontId="5" fillId="5" borderId="1" xfId="2" applyNumberFormat="1" applyFont="1" applyFill="1" applyBorder="1"/>
    <xf numFmtId="5" fontId="2" fillId="5" borderId="0" xfId="2" applyNumberFormat="1" applyFont="1" applyFill="1"/>
    <xf numFmtId="37" fontId="2" fillId="5" borderId="0" xfId="2" applyNumberFormat="1" applyFont="1" applyFill="1"/>
    <xf numFmtId="165" fontId="10" fillId="5" borderId="0" xfId="5" applyNumberFormat="1" applyFont="1" applyFill="1" applyAlignment="1">
      <alignment horizontal="right"/>
    </xf>
    <xf numFmtId="165" fontId="10" fillId="5" borderId="6" xfId="5" applyNumberFormat="1" applyFont="1" applyFill="1" applyBorder="1"/>
    <xf numFmtId="7" fontId="2" fillId="5" borderId="0" xfId="2" applyNumberFormat="1" applyFont="1" applyFill="1"/>
    <xf numFmtId="39" fontId="2" fillId="5" borderId="0" xfId="2" applyNumberFormat="1" applyFont="1" applyFill="1"/>
    <xf numFmtId="7" fontId="5" fillId="5" borderId="0" xfId="2" applyNumberFormat="1" applyFont="1" applyFill="1"/>
    <xf numFmtId="43" fontId="5" fillId="5" borderId="0" xfId="2" applyFont="1" applyFill="1" applyBorder="1"/>
    <xf numFmtId="43" fontId="2" fillId="5" borderId="0" xfId="2" applyFont="1" applyFill="1"/>
    <xf numFmtId="164" fontId="2" fillId="5" borderId="6" xfId="2" applyNumberFormat="1" applyFont="1" applyFill="1" applyBorder="1"/>
    <xf numFmtId="164" fontId="2" fillId="5" borderId="0" xfId="2" applyNumberFormat="1" applyFont="1" applyFill="1" applyBorder="1" applyAlignment="1">
      <alignment horizontal="right"/>
    </xf>
    <xf numFmtId="165" fontId="10" fillId="5" borderId="0" xfId="5" applyNumberFormat="1" applyFont="1" applyFill="1" applyBorder="1"/>
    <xf numFmtId="37" fontId="2" fillId="5" borderId="0" xfId="0" applyNumberFormat="1" applyFont="1" applyFill="1"/>
    <xf numFmtId="165" fontId="10" fillId="5" borderId="0" xfId="5" applyNumberFormat="1" applyFont="1" applyFill="1" applyBorder="1" applyAlignment="1">
      <alignment horizontal="right"/>
    </xf>
    <xf numFmtId="166" fontId="2" fillId="5" borderId="0" xfId="2" applyNumberFormat="1" applyFont="1" applyFill="1" applyBorder="1" applyAlignment="1">
      <alignment horizontal="right"/>
    </xf>
    <xf numFmtId="7" fontId="5" fillId="5" borderId="1" xfId="2" applyNumberFormat="1" applyFont="1" applyFill="1" applyBorder="1"/>
    <xf numFmtId="165" fontId="10" fillId="5" borderId="2" xfId="5" applyNumberFormat="1" applyFont="1" applyFill="1" applyBorder="1"/>
    <xf numFmtId="0" fontId="5" fillId="5" borderId="0" xfId="0" applyFont="1" applyFill="1"/>
    <xf numFmtId="5" fontId="5" fillId="5" borderId="0" xfId="2" applyNumberFormat="1" applyFont="1" applyFill="1"/>
    <xf numFmtId="5" fontId="2" fillId="5" borderId="0" xfId="0" applyNumberFormat="1" applyFont="1" applyFill="1"/>
    <xf numFmtId="0" fontId="25" fillId="6" borderId="0" xfId="0" applyFont="1" applyFill="1" applyBorder="1" applyAlignment="1">
      <alignment horizontal="center"/>
    </xf>
    <xf numFmtId="0" fontId="23" fillId="6" borderId="0" xfId="0" applyFont="1" applyFill="1" applyBorder="1"/>
    <xf numFmtId="5" fontId="25" fillId="6" borderId="1" xfId="2" applyNumberFormat="1" applyFont="1" applyFill="1" applyBorder="1"/>
    <xf numFmtId="165" fontId="22" fillId="6" borderId="0" xfId="5" applyNumberFormat="1" applyFont="1" applyFill="1" applyBorder="1"/>
    <xf numFmtId="165" fontId="23" fillId="6" borderId="0" xfId="5" applyNumberFormat="1" applyFont="1" applyFill="1" applyBorder="1"/>
    <xf numFmtId="37" fontId="23" fillId="6" borderId="0" xfId="2" applyNumberFormat="1" applyFont="1" applyFill="1" applyBorder="1"/>
    <xf numFmtId="5" fontId="25" fillId="6" borderId="0" xfId="2" applyNumberFormat="1" applyFont="1" applyFill="1" applyBorder="1"/>
    <xf numFmtId="0" fontId="24" fillId="6" borderId="0" xfId="0" applyFont="1" applyFill="1"/>
    <xf numFmtId="165" fontId="24" fillId="6" borderId="0" xfId="5" applyNumberFormat="1" applyFont="1" applyFill="1"/>
    <xf numFmtId="42" fontId="25" fillId="6" borderId="0" xfId="2" applyNumberFormat="1" applyFont="1" applyFill="1" applyBorder="1"/>
    <xf numFmtId="42" fontId="25" fillId="6" borderId="1" xfId="2" applyNumberFormat="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37" fontId="24" fillId="0" borderId="0" xfId="0" applyNumberFormat="1" applyFont="1"/>
    <xf numFmtId="5" fontId="23" fillId="6" borderId="0" xfId="0" applyNumberFormat="1" applyFont="1" applyFill="1" applyBorder="1"/>
    <xf numFmtId="9" fontId="23" fillId="6" borderId="0" xfId="0" applyNumberFormat="1" applyFont="1" applyFill="1" applyBorder="1"/>
    <xf numFmtId="9" fontId="24" fillId="6" borderId="0" xfId="5" applyNumberFormat="1" applyFont="1" applyFill="1"/>
    <xf numFmtId="9" fontId="23" fillId="6" borderId="0" xfId="5" applyNumberFormat="1" applyFont="1" applyFill="1" applyBorder="1"/>
    <xf numFmtId="0" fontId="23" fillId="6" borderId="1" xfId="0" applyFont="1" applyFill="1" applyBorder="1"/>
    <xf numFmtId="9" fontId="23" fillId="6" borderId="0" xfId="5" applyFont="1" applyFill="1" applyBorder="1"/>
    <xf numFmtId="0" fontId="22" fillId="0" borderId="0" xfId="0" applyFont="1" applyAlignment="1">
      <alignment horizontal="left" wrapText="1"/>
    </xf>
    <xf numFmtId="7" fontId="22" fillId="0" borderId="0" xfId="0" applyNumberFormat="1" applyFont="1" applyAlignment="1"/>
    <xf numFmtId="165" fontId="23" fillId="0" borderId="0" xfId="0" applyNumberFormat="1" applyFont="1" applyFill="1" applyBorder="1"/>
    <xf numFmtId="0" fontId="28" fillId="0" borderId="0" xfId="0" applyFont="1" applyAlignment="1">
      <alignment horizontal="center"/>
    </xf>
    <xf numFmtId="165" fontId="10" fillId="5" borderId="2" xfId="5" applyNumberFormat="1" applyFont="1" applyFill="1" applyBorder="1" applyAlignment="1">
      <alignment horizontal="right"/>
    </xf>
    <xf numFmtId="0" fontId="10" fillId="0" borderId="0" xfId="0" applyFont="1" applyBorder="1" applyAlignment="1"/>
    <xf numFmtId="0" fontId="4" fillId="0" borderId="0" xfId="0" applyFont="1" applyFill="1"/>
    <xf numFmtId="165" fontId="5" fillId="0" borderId="0" xfId="5" applyNumberFormat="1" applyFont="1" applyFill="1"/>
    <xf numFmtId="0" fontId="10" fillId="0" borderId="0" xfId="0" applyFont="1" applyFill="1" applyBorder="1" applyAlignment="1"/>
    <xf numFmtId="9" fontId="4" fillId="0" borderId="0" xfId="5" applyNumberFormat="1" applyFont="1" applyBorder="1"/>
    <xf numFmtId="0" fontId="22" fillId="0" borderId="0" xfId="0" applyFont="1" applyAlignment="1">
      <alignment horizontal="left" wrapText="1"/>
    </xf>
    <xf numFmtId="0" fontId="22" fillId="0" borderId="0" xfId="0" applyFont="1" applyAlignment="1">
      <alignment horizontal="left" wrapText="1"/>
    </xf>
    <xf numFmtId="165" fontId="4" fillId="0" borderId="0" xfId="5" applyNumberFormat="1" applyFont="1"/>
    <xf numFmtId="43" fontId="24" fillId="0" borderId="0" xfId="2" applyFont="1"/>
    <xf numFmtId="43" fontId="5" fillId="5" borderId="1" xfId="2" applyFont="1" applyFill="1" applyBorder="1"/>
    <xf numFmtId="43" fontId="5" fillId="5" borderId="0" xfId="2" applyFont="1" applyFill="1"/>
    <xf numFmtId="43" fontId="2" fillId="5" borderId="0" xfId="2" applyFont="1" applyFill="1" applyBorder="1" applyAlignment="1">
      <alignment horizontal="right"/>
    </xf>
    <xf numFmtId="0" fontId="24" fillId="0" borderId="9" xfId="0" applyFont="1" applyBorder="1"/>
    <xf numFmtId="0" fontId="28" fillId="6" borderId="10" xfId="0" applyFont="1" applyFill="1" applyBorder="1" applyAlignment="1">
      <alignment horizontal="center"/>
    </xf>
    <xf numFmtId="0" fontId="24" fillId="0" borderId="10" xfId="0" applyFont="1" applyBorder="1"/>
    <xf numFmtId="0" fontId="28" fillId="0" borderId="10" xfId="0" applyFont="1" applyBorder="1" applyAlignment="1">
      <alignment horizontal="center"/>
    </xf>
    <xf numFmtId="0" fontId="28" fillId="6" borderId="11" xfId="0" applyFont="1" applyFill="1" applyBorder="1" applyAlignment="1">
      <alignment horizontal="center"/>
    </xf>
    <xf numFmtId="164" fontId="2" fillId="5" borderId="0" xfId="0" applyNumberFormat="1" applyFont="1" applyFill="1"/>
    <xf numFmtId="43" fontId="2" fillId="0" borderId="0" xfId="0" applyNumberFormat="1" applyFont="1" applyFill="1"/>
    <xf numFmtId="43" fontId="2" fillId="0" borderId="0" xfId="0" applyNumberFormat="1" applyFont="1"/>
    <xf numFmtId="43" fontId="10" fillId="0" borderId="0" xfId="0" applyNumberFormat="1" applyFont="1" applyBorder="1" applyAlignment="1"/>
    <xf numFmtId="16" fontId="5" fillId="5" borderId="0" xfId="0" applyNumberFormat="1" applyFont="1" applyFill="1" applyAlignment="1">
      <alignment horizontal="center" wrapText="1"/>
    </xf>
    <xf numFmtId="0" fontId="5" fillId="5" borderId="0" xfId="0" applyFont="1" applyFill="1" applyBorder="1"/>
    <xf numFmtId="0" fontId="2" fillId="5" borderId="0" xfId="0" applyFont="1" applyFill="1" applyBorder="1"/>
    <xf numFmtId="5" fontId="5" fillId="5" borderId="0" xfId="3" applyNumberFormat="1" applyFont="1" applyFill="1"/>
    <xf numFmtId="37" fontId="2" fillId="5" borderId="0" xfId="3" applyNumberFormat="1" applyFont="1" applyFill="1"/>
    <xf numFmtId="5" fontId="2" fillId="5" borderId="0" xfId="3" applyNumberFormat="1" applyFont="1" applyFill="1"/>
    <xf numFmtId="5" fontId="5" fillId="5" borderId="2" xfId="3" applyNumberFormat="1" applyFont="1" applyFill="1" applyBorder="1"/>
    <xf numFmtId="43" fontId="5" fillId="5" borderId="3" xfId="2" applyFont="1" applyFill="1" applyBorder="1"/>
    <xf numFmtId="5" fontId="5" fillId="5" borderId="1" xfId="3" applyNumberFormat="1" applyFont="1" applyFill="1" applyBorder="1"/>
    <xf numFmtId="5" fontId="2" fillId="5" borderId="0" xfId="0" applyNumberFormat="1" applyFont="1" applyFill="1" applyBorder="1"/>
    <xf numFmtId="37" fontId="5" fillId="5" borderId="3" xfId="3" applyNumberFormat="1" applyFont="1" applyFill="1" applyBorder="1"/>
    <xf numFmtId="5" fontId="4" fillId="5" borderId="0" xfId="0" applyNumberFormat="1" applyFont="1" applyFill="1" applyBorder="1"/>
    <xf numFmtId="9" fontId="4" fillId="0" borderId="0" xfId="5" applyFont="1" applyBorder="1"/>
    <xf numFmtId="5" fontId="5" fillId="0" borderId="0" xfId="3" applyNumberFormat="1" applyFont="1" applyBorder="1" applyAlignment="1">
      <alignment horizontal="right"/>
    </xf>
    <xf numFmtId="43" fontId="5" fillId="0" borderId="0" xfId="2" applyFont="1" applyBorder="1" applyAlignment="1">
      <alignment horizontal="right"/>
    </xf>
    <xf numFmtId="5" fontId="5" fillId="2" borderId="0" xfId="3" applyNumberFormat="1" applyFont="1" applyFill="1" applyBorder="1" applyAlignment="1">
      <alignment horizontal="right"/>
    </xf>
    <xf numFmtId="37" fontId="5" fillId="0" borderId="0" xfId="3" applyNumberFormat="1" applyFont="1" applyBorder="1" applyAlignment="1">
      <alignment horizontal="right"/>
    </xf>
    <xf numFmtId="165" fontId="2" fillId="0" borderId="0" xfId="5" applyNumberFormat="1" applyFont="1" applyBorder="1"/>
    <xf numFmtId="5" fontId="5" fillId="2" borderId="0" xfId="2" applyNumberFormat="1" applyFont="1" applyFill="1" applyBorder="1"/>
    <xf numFmtId="164" fontId="2" fillId="0" borderId="0" xfId="2" applyNumberFormat="1" applyFont="1" applyFill="1" applyBorder="1"/>
    <xf numFmtId="164" fontId="5" fillId="2" borderId="0" xfId="2" applyNumberFormat="1" applyFont="1" applyFill="1" applyBorder="1"/>
    <xf numFmtId="7" fontId="5" fillId="2" borderId="0" xfId="2" applyNumberFormat="1" applyFont="1" applyFill="1" applyBorder="1"/>
    <xf numFmtId="0" fontId="25"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2" fillId="0" borderId="0" xfId="0" applyFont="1" applyAlignment="1">
      <alignment horizontal="left"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cellXfs>
  <cellStyles count="8">
    <cellStyle name="%" xfId="1"/>
    <cellStyle name="Comma" xfId="2" builtinId="3"/>
    <cellStyle name="Comma 2" xfId="3"/>
    <cellStyle name="Hyperlink" xfId="4" builtinId="8"/>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2</xdr:row>
      <xdr:rowOff>28575</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952500</xdr:colOff>
      <xdr:row>2</xdr:row>
      <xdr:rowOff>66675</xdr:rowOff>
    </xdr:to>
    <xdr:pic>
      <xdr:nvPicPr>
        <xdr:cNvPr id="2069"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9144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1</xdr:row>
      <xdr:rowOff>466725</xdr:rowOff>
    </xdr:to>
    <xdr:pic>
      <xdr:nvPicPr>
        <xdr:cNvPr id="3077"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876300</xdr:colOff>
      <xdr:row>2</xdr:row>
      <xdr:rowOff>323850</xdr:rowOff>
    </xdr:to>
    <xdr:pic>
      <xdr:nvPicPr>
        <xdr:cNvPr id="4101"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857250" cy="628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1057275</xdr:colOff>
      <xdr:row>2</xdr:row>
      <xdr:rowOff>69850</xdr:rowOff>
    </xdr:to>
    <xdr:pic>
      <xdr:nvPicPr>
        <xdr:cNvPr id="3"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twoCellAnchor editAs="oneCell">
    <xdr:from>
      <xdr:col>0</xdr:col>
      <xdr:colOff>28575</xdr:colOff>
      <xdr:row>0</xdr:row>
      <xdr:rowOff>19050</xdr:rowOff>
    </xdr:from>
    <xdr:to>
      <xdr:col>1</xdr:col>
      <xdr:colOff>1181100</xdr:colOff>
      <xdr:row>2</xdr:row>
      <xdr:rowOff>69850</xdr:rowOff>
    </xdr:to>
    <xdr:pic>
      <xdr:nvPicPr>
        <xdr:cNvPr id="4"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733425</xdr:colOff>
      <xdr:row>3</xdr:row>
      <xdr:rowOff>38100</xdr:rowOff>
    </xdr:to>
    <xdr:pic>
      <xdr:nvPicPr>
        <xdr:cNvPr id="5125"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
  <sheetViews>
    <sheetView showGridLines="0" tabSelected="1" zoomScale="80" zoomScaleNormal="80" workbookViewId="0">
      <selection activeCell="I8" sqref="I8"/>
    </sheetView>
  </sheetViews>
  <sheetFormatPr defaultColWidth="9.109375" defaultRowHeight="13.2" x14ac:dyDescent="0.25"/>
  <cols>
    <col min="1" max="1" width="9.109375" style="5"/>
    <col min="2" max="2" width="36.44140625" style="5" customWidth="1"/>
    <col min="3" max="16384" width="9.109375" style="5"/>
  </cols>
  <sheetData>
    <row r="1" spans="1:10" s="57" customFormat="1" x14ac:dyDescent="0.25"/>
    <row r="2" spans="1:10" ht="34.5" customHeight="1" x14ac:dyDescent="0.25"/>
    <row r="3" spans="1:10" ht="34.5" customHeight="1" x14ac:dyDescent="0.25"/>
    <row r="4" spans="1:10" ht="15.6" x14ac:dyDescent="0.3">
      <c r="A4" s="93">
        <v>1</v>
      </c>
      <c r="B4" s="185" t="s">
        <v>14</v>
      </c>
    </row>
    <row r="5" spans="1:10" ht="15.6" x14ac:dyDescent="0.3">
      <c r="A5" s="93">
        <v>2</v>
      </c>
      <c r="B5" s="185" t="s">
        <v>15</v>
      </c>
    </row>
    <row r="6" spans="1:10" ht="15.6" x14ac:dyDescent="0.3">
      <c r="A6" s="93">
        <v>3</v>
      </c>
      <c r="B6" s="185" t="s">
        <v>51</v>
      </c>
    </row>
    <row r="7" spans="1:10" ht="15.6" x14ac:dyDescent="0.3">
      <c r="A7" s="93">
        <v>4</v>
      </c>
      <c r="B7" s="185" t="s">
        <v>182</v>
      </c>
    </row>
    <row r="8" spans="1:10" ht="15.6" x14ac:dyDescent="0.3">
      <c r="A8" s="93">
        <v>5</v>
      </c>
      <c r="B8" s="185" t="s">
        <v>59</v>
      </c>
    </row>
    <row r="9" spans="1:10" s="41" customFormat="1" x14ac:dyDescent="0.25">
      <c r="A9" s="39"/>
      <c r="C9" s="39"/>
      <c r="D9" s="39"/>
      <c r="E9" s="39"/>
      <c r="F9" s="39"/>
      <c r="G9" s="39"/>
      <c r="H9" s="39"/>
      <c r="I9" s="39"/>
      <c r="J9" s="39"/>
    </row>
    <row r="10" spans="1:10" x14ac:dyDescent="0.25">
      <c r="A10" s="39"/>
      <c r="B10" s="40"/>
      <c r="C10" s="39"/>
      <c r="D10" s="39"/>
      <c r="E10" s="39"/>
      <c r="F10" s="39"/>
      <c r="G10" s="39"/>
      <c r="H10" s="39"/>
      <c r="I10" s="39"/>
      <c r="J10" s="39"/>
    </row>
    <row r="11" spans="1:10" x14ac:dyDescent="0.25">
      <c r="A11" s="39"/>
      <c r="B11" s="40"/>
      <c r="C11" s="39"/>
      <c r="D11" s="39"/>
      <c r="E11" s="39"/>
      <c r="F11" s="39"/>
      <c r="G11" s="39"/>
      <c r="H11" s="39"/>
      <c r="I11" s="39"/>
      <c r="J11" s="39"/>
    </row>
    <row r="12" spans="1:10" x14ac:dyDescent="0.25">
      <c r="A12" s="39"/>
      <c r="B12" s="40"/>
      <c r="C12" s="39"/>
      <c r="D12" s="39"/>
      <c r="E12" s="39"/>
      <c r="F12" s="39"/>
      <c r="G12" s="39"/>
      <c r="H12" s="39"/>
      <c r="I12" s="39"/>
      <c r="J12" s="39"/>
    </row>
    <row r="13" spans="1:10" x14ac:dyDescent="0.25">
      <c r="A13" s="39"/>
      <c r="B13" s="40"/>
      <c r="C13" s="39"/>
      <c r="D13" s="39"/>
      <c r="E13" s="39"/>
      <c r="F13" s="39"/>
      <c r="G13" s="39"/>
      <c r="H13" s="39"/>
      <c r="I13" s="39"/>
      <c r="J13" s="39"/>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x14ac:dyDescent="0.25">
      <c r="A16" s="39"/>
      <c r="B16" s="39"/>
      <c r="C16" s="39"/>
      <c r="D16" s="39"/>
      <c r="E16" s="39"/>
      <c r="F16" s="39"/>
      <c r="G16" s="39"/>
      <c r="H16" s="39"/>
      <c r="I16" s="39"/>
      <c r="J16" s="39"/>
    </row>
    <row r="17" spans="1:10" x14ac:dyDescent="0.25">
      <c r="A17" s="41"/>
      <c r="B17" s="41"/>
      <c r="C17" s="41"/>
      <c r="D17" s="41"/>
      <c r="E17" s="41"/>
      <c r="F17" s="41"/>
      <c r="G17" s="41"/>
      <c r="H17" s="41"/>
      <c r="I17" s="41"/>
      <c r="J17" s="41"/>
    </row>
    <row r="18" spans="1:10" x14ac:dyDescent="0.25">
      <c r="A18" s="41"/>
      <c r="B18" s="41"/>
      <c r="C18" s="41"/>
      <c r="D18" s="41"/>
      <c r="E18" s="41"/>
      <c r="F18" s="41"/>
      <c r="G18" s="41"/>
      <c r="H18" s="41"/>
      <c r="I18" s="41"/>
      <c r="J18" s="41"/>
    </row>
  </sheetData>
  <hyperlinks>
    <hyperlink ref="B4" location="'Income Statement'!A1" display="Income Statement"/>
    <hyperlink ref="B5" location="'Balance Sheet'!A1" display="Balance Sheet"/>
    <hyperlink ref="B6" location="Cashflow!A1" display="Cashflow Statement"/>
    <hyperlink ref="B8" location="'Other Metrics'!A1" display="Other metrics"/>
    <hyperlink ref="B7" location="'Revenues and Margins'!A1" display="Revenues and Margins"/>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13"/>
  <sheetViews>
    <sheetView showGridLines="0" view="pageBreakPreview" zoomScale="90" zoomScaleNormal="90" zoomScaleSheetLayoutView="90" workbookViewId="0">
      <pane xSplit="1" ySplit="5" topLeftCell="S27" activePane="bottomRight" state="frozen"/>
      <selection activeCell="W48" sqref="W48"/>
      <selection pane="topRight" activeCell="W48" sqref="W48"/>
      <selection pane="bottomLeft" activeCell="W48" sqref="W48"/>
      <selection pane="bottomRight" activeCell="AA30" sqref="AA30"/>
    </sheetView>
  </sheetViews>
  <sheetFormatPr defaultColWidth="9.109375" defaultRowHeight="13.2" outlineLevelRow="1" outlineLevelCol="1" x14ac:dyDescent="0.25"/>
  <cols>
    <col min="1" max="1" width="62.6640625" style="24" customWidth="1"/>
    <col min="2" max="5" width="10.44140625" style="24" customWidth="1" outlineLevel="1"/>
    <col min="6" max="6" width="10.44140625" style="24" customWidth="1"/>
    <col min="7" max="10" width="10.44140625" style="24" customWidth="1" outlineLevel="1"/>
    <col min="11" max="11" width="10.44140625" style="24" customWidth="1"/>
    <col min="12" max="14" width="10.44140625" style="24" customWidth="1" outlineLevel="1"/>
    <col min="15" max="15" width="10.33203125" style="24" bestFit="1" customWidth="1" outlineLevel="1"/>
    <col min="16" max="16" width="10.33203125" style="24" customWidth="1" outlineLevel="1"/>
    <col min="17" max="18" width="10.44140625" style="24" customWidth="1"/>
    <col min="19" max="19" width="10.44140625" style="24" customWidth="1" outlineLevel="1"/>
    <col min="20" max="20" width="11.109375" style="24" bestFit="1" customWidth="1" outlineLevel="1"/>
    <col min="21" max="21" width="9.88671875" style="24" customWidth="1" outlineLevel="1"/>
    <col min="22" max="22" width="10.109375" style="24" bestFit="1" customWidth="1" outlineLevel="1"/>
    <col min="23" max="24" width="11.44140625" style="24" customWidth="1" outlineLevel="1"/>
    <col min="25" max="25" width="11.5546875" style="24" customWidth="1" outlineLevel="1"/>
    <col min="26" max="26" width="12.88671875" style="24" bestFit="1" customWidth="1" outlineLevel="1"/>
    <col min="27" max="27" width="12.44140625" style="24" bestFit="1" customWidth="1"/>
    <col min="28" max="28" width="11.44140625" style="24" customWidth="1" outlineLevel="1"/>
    <col min="29" max="29" width="12.109375" style="24" bestFit="1" customWidth="1"/>
    <col min="30" max="30" width="12.109375" style="24" customWidth="1"/>
    <col min="31" max="16384" width="9.109375" style="24"/>
  </cols>
  <sheetData>
    <row r="1" spans="1:30" x14ac:dyDescent="0.25">
      <c r="A1" s="101"/>
    </row>
    <row r="2" spans="1:30" ht="30.75" customHeight="1" x14ac:dyDescent="0.25">
      <c r="A2" s="120"/>
    </row>
    <row r="3" spans="1:30" x14ac:dyDescent="0.25">
      <c r="A3" s="101"/>
    </row>
    <row r="4" spans="1:30" s="4" customFormat="1" x14ac:dyDescent="0.25">
      <c r="A4" s="121" t="s">
        <v>14</v>
      </c>
      <c r="C4" s="166"/>
      <c r="E4" s="168"/>
      <c r="F4" s="168">
        <v>2014</v>
      </c>
      <c r="G4" s="174"/>
      <c r="H4" s="176"/>
      <c r="I4" s="177"/>
      <c r="J4" s="178"/>
      <c r="K4" s="178">
        <v>2015</v>
      </c>
      <c r="L4" s="179"/>
      <c r="M4" s="180"/>
      <c r="N4" s="182"/>
      <c r="O4" s="184"/>
      <c r="P4" s="272" t="s">
        <v>199</v>
      </c>
      <c r="Q4" s="184">
        <v>2016</v>
      </c>
      <c r="R4" s="272" t="s">
        <v>199</v>
      </c>
      <c r="T4" s="272" t="s">
        <v>199</v>
      </c>
      <c r="V4" s="272" t="s">
        <v>199</v>
      </c>
      <c r="X4" s="272" t="s">
        <v>199</v>
      </c>
      <c r="Z4" s="272" t="s">
        <v>199</v>
      </c>
      <c r="AA4" s="189">
        <v>2017</v>
      </c>
      <c r="AB4" s="272" t="s">
        <v>199</v>
      </c>
      <c r="AC4" s="200">
        <v>2018</v>
      </c>
      <c r="AD4" s="200"/>
    </row>
    <row r="5" spans="1:30" s="4" customFormat="1" ht="15.6" x14ac:dyDescent="0.25">
      <c r="A5" s="121" t="s">
        <v>73</v>
      </c>
      <c r="B5" s="4" t="s">
        <v>9</v>
      </c>
      <c r="C5" s="166" t="s">
        <v>10</v>
      </c>
      <c r="D5" s="167" t="s">
        <v>11</v>
      </c>
      <c r="E5" s="168" t="s">
        <v>12</v>
      </c>
      <c r="F5" s="168" t="s">
        <v>13</v>
      </c>
      <c r="G5" s="174" t="s">
        <v>9</v>
      </c>
      <c r="H5" s="176" t="s">
        <v>10</v>
      </c>
      <c r="I5" s="177" t="s">
        <v>11</v>
      </c>
      <c r="J5" s="178" t="s">
        <v>12</v>
      </c>
      <c r="K5" s="178" t="s">
        <v>13</v>
      </c>
      <c r="L5" s="179" t="s">
        <v>9</v>
      </c>
      <c r="M5" s="180" t="s">
        <v>10</v>
      </c>
      <c r="N5" s="182" t="s">
        <v>11</v>
      </c>
      <c r="O5" s="184" t="s">
        <v>12</v>
      </c>
      <c r="P5" s="272" t="s">
        <v>207</v>
      </c>
      <c r="Q5" s="184" t="s">
        <v>13</v>
      </c>
      <c r="R5" s="272" t="s">
        <v>208</v>
      </c>
      <c r="S5" s="189" t="s">
        <v>9</v>
      </c>
      <c r="T5" s="272" t="s">
        <v>224</v>
      </c>
      <c r="U5" s="194" t="s">
        <v>10</v>
      </c>
      <c r="V5" s="272" t="s">
        <v>223</v>
      </c>
      <c r="W5" s="200" t="s">
        <v>11</v>
      </c>
      <c r="X5" s="272" t="s">
        <v>225</v>
      </c>
      <c r="Y5" s="200" t="s">
        <v>12</v>
      </c>
      <c r="Z5" s="272" t="s">
        <v>227</v>
      </c>
      <c r="AA5" s="200" t="s">
        <v>13</v>
      </c>
      <c r="AB5" s="272" t="s">
        <v>226</v>
      </c>
      <c r="AC5" s="200" t="s">
        <v>9</v>
      </c>
      <c r="AD5" s="200"/>
    </row>
    <row r="6" spans="1:30" ht="6" customHeight="1" x14ac:dyDescent="0.25">
      <c r="A6" s="101"/>
      <c r="P6" s="273"/>
      <c r="R6" s="273"/>
      <c r="T6" s="273"/>
      <c r="V6" s="273"/>
      <c r="X6" s="273"/>
      <c r="Z6" s="273"/>
      <c r="AB6" s="273"/>
    </row>
    <row r="7" spans="1:30" ht="6" customHeight="1" x14ac:dyDescent="0.25">
      <c r="A7" s="101"/>
      <c r="P7" s="273"/>
      <c r="R7" s="273"/>
      <c r="T7" s="273"/>
      <c r="V7" s="273"/>
      <c r="X7" s="273"/>
      <c r="Z7" s="273"/>
      <c r="AB7" s="273"/>
    </row>
    <row r="8" spans="1:30" s="27" customFormat="1" x14ac:dyDescent="0.25">
      <c r="A8" s="61" t="s">
        <v>1</v>
      </c>
      <c r="B8" s="43">
        <v>121797</v>
      </c>
      <c r="C8" s="43">
        <v>119738</v>
      </c>
      <c r="D8" s="43">
        <v>122457</v>
      </c>
      <c r="E8" s="43">
        <v>135286</v>
      </c>
      <c r="F8" s="43">
        <v>499278</v>
      </c>
      <c r="G8" s="43">
        <v>143510</v>
      </c>
      <c r="H8" s="43">
        <v>155621</v>
      </c>
      <c r="I8" s="43">
        <v>163503</v>
      </c>
      <c r="J8" s="43">
        <v>165858</v>
      </c>
      <c r="K8" s="43">
        <v>628492</v>
      </c>
      <c r="L8" s="43">
        <v>167036</v>
      </c>
      <c r="M8" s="43">
        <v>170478</v>
      </c>
      <c r="N8" s="43">
        <v>171200</v>
      </c>
      <c r="O8" s="43">
        <f>Q8-L8-M8-N8</f>
        <v>177274</v>
      </c>
      <c r="P8" s="274">
        <f>O8</f>
        <v>177274</v>
      </c>
      <c r="Q8" s="43">
        <v>685988</v>
      </c>
      <c r="R8" s="274">
        <f>Q8</f>
        <v>685988</v>
      </c>
      <c r="S8" s="43">
        <v>183033</v>
      </c>
      <c r="T8" s="274">
        <v>183033</v>
      </c>
      <c r="U8" s="43">
        <v>189057</v>
      </c>
      <c r="V8" s="274">
        <v>189057</v>
      </c>
      <c r="W8" s="43">
        <v>192345</v>
      </c>
      <c r="X8" s="279">
        <v>192345</v>
      </c>
      <c r="Y8" s="43">
        <f>+AA8-SUM(S8,U8,W8)</f>
        <v>197875</v>
      </c>
      <c r="Z8" s="274">
        <f>+AB8-SUM(T8,V8,X8)</f>
        <v>197875</v>
      </c>
      <c r="AA8" s="43">
        <v>762310</v>
      </c>
      <c r="AB8" s="279">
        <v>762310</v>
      </c>
      <c r="AC8" s="43">
        <v>206973</v>
      </c>
      <c r="AD8" s="365"/>
    </row>
    <row r="9" spans="1:30" s="27" customFormat="1" x14ac:dyDescent="0.25">
      <c r="A9" s="62" t="s">
        <v>136</v>
      </c>
      <c r="B9" s="34">
        <v>-1.8739476164772007E-2</v>
      </c>
      <c r="C9" s="34">
        <f>C8/B8-1</f>
        <v>-1.6905178288463607E-2</v>
      </c>
      <c r="D9" s="34">
        <f>D8/C8-1</f>
        <v>2.2707912275134134E-2</v>
      </c>
      <c r="E9" s="34">
        <f>E8/D8-1</f>
        <v>0.10476330467021078</v>
      </c>
      <c r="F9" s="35" t="s">
        <v>85</v>
      </c>
      <c r="G9" s="34">
        <f>G8/E8-1</f>
        <v>6.0789734340582102E-2</v>
      </c>
      <c r="H9" s="34">
        <f>H8/G8-1</f>
        <v>8.4391331614521725E-2</v>
      </c>
      <c r="I9" s="34">
        <f>I8/H8-1</f>
        <v>5.064869137198702E-2</v>
      </c>
      <c r="J9" s="34">
        <f>J8/I8-1</f>
        <v>1.4403405442102057E-2</v>
      </c>
      <c r="K9" s="35" t="s">
        <v>85</v>
      </c>
      <c r="L9" s="34">
        <f>L8/J8-1</f>
        <v>7.1024611414582939E-3</v>
      </c>
      <c r="M9" s="34">
        <f>M8/L8-1</f>
        <v>2.0606336358629296E-2</v>
      </c>
      <c r="N9" s="34">
        <f>N8/M8-1</f>
        <v>4.2351505766140551E-3</v>
      </c>
      <c r="O9" s="34">
        <f>O8/N8-1</f>
        <v>3.5478971962616734E-2</v>
      </c>
      <c r="P9" s="282">
        <f>P8/N8-1</f>
        <v>3.5478971962616734E-2</v>
      </c>
      <c r="Q9" s="35" t="s">
        <v>85</v>
      </c>
      <c r="R9" s="282" t="s">
        <v>85</v>
      </c>
      <c r="S9" s="34">
        <f>S8/O8-1</f>
        <v>3.2486433430734429E-2</v>
      </c>
      <c r="T9" s="275">
        <f>T8/O8-1</f>
        <v>3.2486433430734429E-2</v>
      </c>
      <c r="U9" s="34">
        <f t="shared" ref="U9:Z9" si="0">U8/S8-1</f>
        <v>3.2912097818426078E-2</v>
      </c>
      <c r="V9" s="275">
        <f t="shared" si="0"/>
        <v>3.2912097818426078E-2</v>
      </c>
      <c r="W9" s="34">
        <f t="shared" si="0"/>
        <v>1.7391580317047239E-2</v>
      </c>
      <c r="X9" s="275">
        <f t="shared" si="0"/>
        <v>1.7391580317047239E-2</v>
      </c>
      <c r="Y9" s="34">
        <f t="shared" si="0"/>
        <v>2.8750422418050814E-2</v>
      </c>
      <c r="Z9" s="275">
        <f t="shared" si="0"/>
        <v>2.8750422418050814E-2</v>
      </c>
      <c r="AA9" s="35" t="s">
        <v>85</v>
      </c>
      <c r="AB9" s="275" t="s">
        <v>85</v>
      </c>
      <c r="AC9" s="35">
        <f>AC8/Z8-1</f>
        <v>4.5978521794061811E-2</v>
      </c>
      <c r="AD9" s="35"/>
    </row>
    <row r="10" spans="1:30" s="27" customFormat="1" x14ac:dyDescent="0.25">
      <c r="A10" s="62" t="s">
        <v>137</v>
      </c>
      <c r="B10" s="34">
        <v>4.9919831732841313E-2</v>
      </c>
      <c r="C10" s="34">
        <v>3.2152954968622804E-2</v>
      </c>
      <c r="D10" s="34">
        <v>1.1609369251521784E-3</v>
      </c>
      <c r="E10" s="34">
        <v>8.9934983846668315E-2</v>
      </c>
      <c r="F10" s="34">
        <v>4.3527877404629933E-2</v>
      </c>
      <c r="G10" s="34">
        <v>0.17827204282535702</v>
      </c>
      <c r="H10" s="34">
        <v>0.29967929980457342</v>
      </c>
      <c r="I10" s="34">
        <v>0.33518704524853615</v>
      </c>
      <c r="J10" s="34">
        <v>0.22598051535266039</v>
      </c>
      <c r="K10" s="34">
        <f t="shared" ref="K10:O10" si="1">K8/F8-1</f>
        <v>0.25880170966876159</v>
      </c>
      <c r="L10" s="34">
        <f t="shared" si="1"/>
        <v>0.16393282698069811</v>
      </c>
      <c r="M10" s="34">
        <f t="shared" si="1"/>
        <v>9.5469120491450399E-2</v>
      </c>
      <c r="N10" s="34">
        <f t="shared" si="1"/>
        <v>4.7075588827116377E-2</v>
      </c>
      <c r="O10" s="34">
        <f t="shared" si="1"/>
        <v>6.8829962980380799E-2</v>
      </c>
      <c r="P10" s="275">
        <f>P8/J8-1</f>
        <v>6.8829962980380799E-2</v>
      </c>
      <c r="Q10" s="34">
        <f t="shared" ref="Q10" si="2">Q8/K8-1</f>
        <v>9.1482469148374213E-2</v>
      </c>
      <c r="R10" s="275">
        <f>R8/K8-1</f>
        <v>9.1482469148374213E-2</v>
      </c>
      <c r="S10" s="34">
        <f>S8/L8-1</f>
        <v>9.5769774180416212E-2</v>
      </c>
      <c r="T10" s="275">
        <f>T8/L8-1</f>
        <v>9.5769774180416212E-2</v>
      </c>
      <c r="U10" s="34">
        <f>U8/M8-1</f>
        <v>0.10898180410375535</v>
      </c>
      <c r="V10" s="275">
        <f>V8/M8-1</f>
        <v>0.10898180410375535</v>
      </c>
      <c r="W10" s="34">
        <f>W8/N8-1</f>
        <v>0.12351051401869162</v>
      </c>
      <c r="X10" s="275">
        <f>X8/N8-1</f>
        <v>0.12351051401869162</v>
      </c>
      <c r="Y10" s="34">
        <f>Y8/O8-1</f>
        <v>0.11620993490303144</v>
      </c>
      <c r="Z10" s="275">
        <f>Z8/P8-1</f>
        <v>0.11620993490303144</v>
      </c>
      <c r="AA10" s="34">
        <f>AA8/Q8-1</f>
        <v>0.11125850597969644</v>
      </c>
      <c r="AB10" s="275">
        <f>AB8/R8-1</f>
        <v>0.11125850597969644</v>
      </c>
      <c r="AC10" s="34">
        <f>AC8/T8-1</f>
        <v>0.13079608595171366</v>
      </c>
      <c r="AD10" s="34"/>
    </row>
    <row r="11" spans="1:30" s="27" customFormat="1" ht="6" customHeight="1" x14ac:dyDescent="0.25">
      <c r="A11" s="62"/>
      <c r="B11" s="34"/>
      <c r="C11" s="34"/>
      <c r="D11" s="34"/>
      <c r="E11" s="34"/>
      <c r="F11" s="34"/>
      <c r="G11" s="34"/>
      <c r="H11" s="34"/>
      <c r="I11" s="34"/>
      <c r="J11" s="34"/>
      <c r="K11" s="34"/>
      <c r="L11" s="34"/>
      <c r="M11" s="34"/>
      <c r="N11" s="34"/>
      <c r="O11" s="34"/>
      <c r="P11" s="275"/>
      <c r="Q11" s="34"/>
      <c r="R11" s="275"/>
      <c r="S11" s="34"/>
      <c r="T11" s="275"/>
      <c r="V11" s="297"/>
      <c r="X11" s="297"/>
      <c r="Z11" s="297"/>
      <c r="AB11" s="297"/>
    </row>
    <row r="12" spans="1:30" x14ac:dyDescent="0.25">
      <c r="A12" s="63" t="s">
        <v>95</v>
      </c>
      <c r="B12" s="30">
        <v>-74922</v>
      </c>
      <c r="C12" s="30">
        <v>-81259</v>
      </c>
      <c r="D12" s="30">
        <v>-84983</v>
      </c>
      <c r="E12" s="30">
        <f>-(E8-E13)</f>
        <v>-91371</v>
      </c>
      <c r="F12" s="28">
        <v>-332535</v>
      </c>
      <c r="G12" s="30">
        <v>-93125</v>
      </c>
      <c r="H12" s="30">
        <v>-100478</v>
      </c>
      <c r="I12" s="30">
        <v>-103198</v>
      </c>
      <c r="J12" s="30">
        <f>-(J8-J13)</f>
        <v>-106116</v>
      </c>
      <c r="K12" s="28">
        <v>-402917</v>
      </c>
      <c r="L12" s="30">
        <v>-108379</v>
      </c>
      <c r="M12" s="30">
        <v>-112026</v>
      </c>
      <c r="N12" s="30">
        <v>-111767</v>
      </c>
      <c r="O12" s="30">
        <f>Q12-L12-M12-N12</f>
        <v>-115784</v>
      </c>
      <c r="P12" s="276">
        <v>-115022.0639834037</v>
      </c>
      <c r="Q12" s="28">
        <v>-447956</v>
      </c>
      <c r="R12" s="276">
        <v>-446035.61652848363</v>
      </c>
      <c r="S12" s="30">
        <v>-120119</v>
      </c>
      <c r="T12" s="276">
        <v>-119072</v>
      </c>
      <c r="U12" s="30">
        <v>-125449</v>
      </c>
      <c r="V12" s="276">
        <v>-123734</v>
      </c>
      <c r="W12" s="30">
        <v>-124890</v>
      </c>
      <c r="X12" s="276">
        <v>-123077</v>
      </c>
      <c r="Y12" s="270">
        <f>+AA12-SUM(T12,V12,X12)</f>
        <v>-129703</v>
      </c>
      <c r="Z12" s="276">
        <f>+AB12-SUM(T12,V12,X12)</f>
        <v>-129259</v>
      </c>
      <c r="AA12" s="244">
        <v>-495586</v>
      </c>
      <c r="AB12" s="276">
        <v>-495142</v>
      </c>
      <c r="AC12" s="244">
        <v>-138101</v>
      </c>
      <c r="AD12" s="244"/>
    </row>
    <row r="13" spans="1:30" s="27" customFormat="1" x14ac:dyDescent="0.25">
      <c r="A13" s="64" t="s">
        <v>2</v>
      </c>
      <c r="B13" s="161">
        <f>B8+B12</f>
        <v>46875</v>
      </c>
      <c r="C13" s="161">
        <f>C8+C12</f>
        <v>38479</v>
      </c>
      <c r="D13" s="161">
        <f>D8+D12</f>
        <v>37474</v>
      </c>
      <c r="E13" s="161">
        <v>43915</v>
      </c>
      <c r="F13" s="161">
        <f>F8+F12</f>
        <v>166743</v>
      </c>
      <c r="G13" s="161">
        <f>G8+G12</f>
        <v>50385</v>
      </c>
      <c r="H13" s="161">
        <f>H8+H12</f>
        <v>55143</v>
      </c>
      <c r="I13" s="161">
        <f>I8+I12</f>
        <v>60305</v>
      </c>
      <c r="J13" s="161">
        <v>59742</v>
      </c>
      <c r="K13" s="161">
        <f t="shared" ref="K13:R13" si="3">K8+K12</f>
        <v>225575</v>
      </c>
      <c r="L13" s="161">
        <f t="shared" si="3"/>
        <v>58657</v>
      </c>
      <c r="M13" s="161">
        <f t="shared" si="3"/>
        <v>58452</v>
      </c>
      <c r="N13" s="161">
        <f t="shared" si="3"/>
        <v>59433</v>
      </c>
      <c r="O13" s="161">
        <f t="shared" si="3"/>
        <v>61490</v>
      </c>
      <c r="P13" s="278">
        <f t="shared" si="3"/>
        <v>62251.936016596301</v>
      </c>
      <c r="Q13" s="161">
        <f t="shared" si="3"/>
        <v>238032</v>
      </c>
      <c r="R13" s="278">
        <f t="shared" si="3"/>
        <v>239952.38347151637</v>
      </c>
      <c r="S13" s="161">
        <f t="shared" ref="S13:X13" si="4">S8+S12</f>
        <v>62914</v>
      </c>
      <c r="T13" s="278">
        <f t="shared" si="4"/>
        <v>63961</v>
      </c>
      <c r="U13" s="161">
        <f t="shared" si="4"/>
        <v>63608</v>
      </c>
      <c r="V13" s="278">
        <f t="shared" ref="V13" si="5">V8+V12</f>
        <v>65323</v>
      </c>
      <c r="W13" s="161">
        <f t="shared" si="4"/>
        <v>67455</v>
      </c>
      <c r="X13" s="298">
        <f t="shared" si="4"/>
        <v>69268</v>
      </c>
      <c r="Y13" s="161">
        <f t="shared" ref="Y13:AC13" si="6">Y8+Y12</f>
        <v>68172</v>
      </c>
      <c r="Z13" s="298">
        <f t="shared" ref="Z13" si="7">Z8+Z12</f>
        <v>68616</v>
      </c>
      <c r="AA13" s="161">
        <f t="shared" si="6"/>
        <v>266724</v>
      </c>
      <c r="AB13" s="298">
        <f t="shared" ref="AB13" si="8">AB8+AB12</f>
        <v>267168</v>
      </c>
      <c r="AC13" s="161">
        <f t="shared" si="6"/>
        <v>68872</v>
      </c>
      <c r="AD13" s="161"/>
    </row>
    <row r="14" spans="1:30" x14ac:dyDescent="0.25">
      <c r="A14" s="62" t="s">
        <v>68</v>
      </c>
      <c r="B14" s="162">
        <f t="shared" ref="B14:G14" si="9">B13/B8</f>
        <v>0.38486169610088916</v>
      </c>
      <c r="C14" s="162">
        <f t="shared" si="9"/>
        <v>0.32135996926623128</v>
      </c>
      <c r="D14" s="162">
        <f t="shared" si="9"/>
        <v>0.30601762251239212</v>
      </c>
      <c r="E14" s="162">
        <f t="shared" si="9"/>
        <v>0.3246086069511997</v>
      </c>
      <c r="F14" s="34">
        <f t="shared" si="9"/>
        <v>0.33396825015322124</v>
      </c>
      <c r="G14" s="162">
        <f t="shared" si="9"/>
        <v>0.35109051634032473</v>
      </c>
      <c r="H14" s="162">
        <f t="shared" ref="H14:M14" si="10">H13/H8</f>
        <v>0.3543416376967119</v>
      </c>
      <c r="I14" s="162">
        <f t="shared" si="10"/>
        <v>0.36883115294520591</v>
      </c>
      <c r="J14" s="162">
        <f t="shared" si="10"/>
        <v>0.36019968889049669</v>
      </c>
      <c r="K14" s="34">
        <f t="shared" si="10"/>
        <v>0.35891467194490939</v>
      </c>
      <c r="L14" s="162">
        <f t="shared" si="10"/>
        <v>0.35116382097272442</v>
      </c>
      <c r="M14" s="162">
        <f t="shared" si="10"/>
        <v>0.34287122092000138</v>
      </c>
      <c r="N14" s="162">
        <f>N13/N8</f>
        <v>0.34715537383177569</v>
      </c>
      <c r="O14" s="162">
        <f>O13/O8</f>
        <v>0.34686417635975947</v>
      </c>
      <c r="P14" s="275">
        <f>P13/P8</f>
        <v>0.35116224610826346</v>
      </c>
      <c r="Q14" s="34">
        <f t="shared" ref="Q14" si="11">Q13/Q8</f>
        <v>0.34699149256255213</v>
      </c>
      <c r="R14" s="275">
        <f>R13/R8</f>
        <v>0.34979093434800079</v>
      </c>
      <c r="S14" s="162">
        <f t="shared" ref="S14:AC14" si="12">S13/S8</f>
        <v>0.3437303655624942</v>
      </c>
      <c r="T14" s="275">
        <f t="shared" si="12"/>
        <v>0.34945064551201149</v>
      </c>
      <c r="U14" s="162">
        <f t="shared" si="12"/>
        <v>0.33644879586579707</v>
      </c>
      <c r="V14" s="275">
        <f t="shared" si="12"/>
        <v>0.34552013413943944</v>
      </c>
      <c r="W14" s="162">
        <f t="shared" si="12"/>
        <v>0.35069796459486857</v>
      </c>
      <c r="X14" s="275">
        <f t="shared" si="12"/>
        <v>0.36012373599521691</v>
      </c>
      <c r="Y14" s="162">
        <f t="shared" si="12"/>
        <v>0.34452053063802907</v>
      </c>
      <c r="Z14" s="275">
        <f t="shared" ref="Z14" si="13">Z13/Z8</f>
        <v>0.34676437144662037</v>
      </c>
      <c r="AA14" s="162">
        <f t="shared" si="12"/>
        <v>0.34988915270690402</v>
      </c>
      <c r="AB14" s="275">
        <f t="shared" ref="AB14" si="14">AB13/AB8</f>
        <v>0.35047159292151486</v>
      </c>
      <c r="AC14" s="162">
        <f t="shared" si="12"/>
        <v>0.33275837911225137</v>
      </c>
      <c r="AD14" s="162"/>
    </row>
    <row r="15" spans="1:30" ht="6" customHeight="1" x14ac:dyDescent="0.25">
      <c r="A15" s="62"/>
      <c r="B15" s="162"/>
      <c r="C15" s="162"/>
      <c r="D15" s="162"/>
      <c r="E15" s="162"/>
      <c r="F15" s="34"/>
      <c r="G15" s="162"/>
      <c r="H15" s="162"/>
      <c r="I15" s="162"/>
      <c r="J15" s="162"/>
      <c r="K15" s="34"/>
      <c r="L15" s="162"/>
      <c r="M15" s="162"/>
      <c r="N15" s="162"/>
      <c r="O15" s="162"/>
      <c r="P15" s="275"/>
      <c r="Q15" s="34"/>
      <c r="R15" s="275"/>
      <c r="S15" s="162"/>
      <c r="T15" s="275"/>
      <c r="V15" s="273"/>
      <c r="X15" s="273"/>
      <c r="Z15" s="273"/>
      <c r="AB15" s="273"/>
    </row>
    <row r="16" spans="1:30" x14ac:dyDescent="0.25">
      <c r="A16" s="64" t="s">
        <v>63</v>
      </c>
      <c r="B16" s="153"/>
      <c r="C16" s="153"/>
      <c r="D16" s="153"/>
      <c r="E16" s="153"/>
      <c r="F16" s="28"/>
      <c r="G16" s="153"/>
      <c r="H16" s="153"/>
      <c r="I16" s="153"/>
      <c r="J16" s="153"/>
      <c r="K16" s="28"/>
      <c r="L16" s="153"/>
      <c r="M16" s="153"/>
      <c r="N16" s="153"/>
      <c r="O16" s="153"/>
      <c r="P16" s="277"/>
      <c r="Q16" s="28"/>
      <c r="R16" s="277"/>
      <c r="S16" s="153"/>
      <c r="T16" s="277"/>
      <c r="V16" s="273"/>
      <c r="X16" s="273"/>
      <c r="Z16" s="273"/>
      <c r="AB16" s="273"/>
    </row>
    <row r="17" spans="1:30" x14ac:dyDescent="0.25">
      <c r="A17" s="63" t="s">
        <v>3</v>
      </c>
      <c r="B17" s="30">
        <v>-14800</v>
      </c>
      <c r="C17" s="30">
        <v>-16240</v>
      </c>
      <c r="D17" s="30">
        <v>-15952</v>
      </c>
      <c r="E17" s="30">
        <f>F17-B17-C17-D17</f>
        <v>-18389</v>
      </c>
      <c r="F17" s="28">
        <v>-65381</v>
      </c>
      <c r="G17" s="30">
        <v>-18621</v>
      </c>
      <c r="H17" s="30">
        <v>-19990</v>
      </c>
      <c r="I17" s="30">
        <v>-18817</v>
      </c>
      <c r="J17" s="30">
        <f>K17-G17-H17-I17</f>
        <v>-19865</v>
      </c>
      <c r="K17" s="28">
        <v>-77293</v>
      </c>
      <c r="L17" s="30">
        <v>-20618</v>
      </c>
      <c r="M17" s="30">
        <v>-21148</v>
      </c>
      <c r="N17" s="30">
        <v>-21854</v>
      </c>
      <c r="O17" s="30">
        <f>Q17-L17-M17-N17</f>
        <v>-25028</v>
      </c>
      <c r="P17" s="276">
        <v>-24891.320878441675</v>
      </c>
      <c r="Q17" s="28">
        <v>-88648</v>
      </c>
      <c r="R17" s="276">
        <v>-88284.457087975534</v>
      </c>
      <c r="S17" s="30">
        <v>-24224</v>
      </c>
      <c r="T17" s="276">
        <v>-24037</v>
      </c>
      <c r="U17" s="30">
        <v>-24715</v>
      </c>
      <c r="V17" s="276">
        <v>-24425</v>
      </c>
      <c r="W17" s="28">
        <v>-26870</v>
      </c>
      <c r="X17" s="276">
        <v>-26545</v>
      </c>
      <c r="Y17" s="244">
        <f>+AA17-SUM(T17,V17,X17)</f>
        <v>-27560</v>
      </c>
      <c r="Z17" s="276">
        <f>+AB17-SUM(T17,V17,X17)</f>
        <v>-27508</v>
      </c>
      <c r="AA17" s="244">
        <v>-102567</v>
      </c>
      <c r="AB17" s="276">
        <v>-102515</v>
      </c>
      <c r="AC17" s="244">
        <v>-29266</v>
      </c>
      <c r="AD17" s="244"/>
    </row>
    <row r="18" spans="1:30" x14ac:dyDescent="0.25">
      <c r="A18" s="62" t="s">
        <v>138</v>
      </c>
      <c r="B18" s="162">
        <f t="shared" ref="B18:H18" si="15">-B17/B$8</f>
        <v>0.12151366618225408</v>
      </c>
      <c r="C18" s="162">
        <f t="shared" si="15"/>
        <v>0.13562945764920076</v>
      </c>
      <c r="D18" s="162">
        <f t="shared" si="15"/>
        <v>0.13026613423487429</v>
      </c>
      <c r="E18" s="162">
        <f t="shared" si="15"/>
        <v>0.13592685126324972</v>
      </c>
      <c r="F18" s="34">
        <f t="shared" si="15"/>
        <v>0.13095109337883903</v>
      </c>
      <c r="G18" s="162">
        <f t="shared" si="15"/>
        <v>0.12975402410981812</v>
      </c>
      <c r="H18" s="162">
        <f t="shared" si="15"/>
        <v>0.1284531008025909</v>
      </c>
      <c r="I18" s="162">
        <f>-I17/I$8</f>
        <v>0.11508657333504584</v>
      </c>
      <c r="J18" s="162">
        <f>-J17/J$8</f>
        <v>0.11977112952043314</v>
      </c>
      <c r="K18" s="34">
        <f>-K17/K$8</f>
        <v>0.12298167677551981</v>
      </c>
      <c r="L18" s="162">
        <f>-L17/L$8</f>
        <v>0.12343446921621687</v>
      </c>
      <c r="M18" s="162">
        <f t="shared" ref="M18" si="16">-M17/M$8</f>
        <v>0.12405119722192894</v>
      </c>
      <c r="N18" s="162">
        <f t="shared" ref="N18:AA18" si="17">-N17/N$8</f>
        <v>0.12765186915887849</v>
      </c>
      <c r="O18" s="162">
        <f t="shared" si="17"/>
        <v>0.14118257612509449</v>
      </c>
      <c r="P18" s="275">
        <f>-P17/P$8</f>
        <v>0.14041157123121087</v>
      </c>
      <c r="Q18" s="34">
        <f t="shared" si="17"/>
        <v>0.12922675032216308</v>
      </c>
      <c r="R18" s="275">
        <f>-R17/R$8</f>
        <v>0.12869679511591389</v>
      </c>
      <c r="S18" s="162">
        <f t="shared" si="17"/>
        <v>0.13234771871738976</v>
      </c>
      <c r="T18" s="275">
        <f t="shared" si="17"/>
        <v>0.13132604503013118</v>
      </c>
      <c r="U18" s="162">
        <f t="shared" si="17"/>
        <v>0.1307277699318195</v>
      </c>
      <c r="V18" s="275">
        <f t="shared" si="17"/>
        <v>0.12919384101091205</v>
      </c>
      <c r="W18" s="162">
        <f t="shared" si="17"/>
        <v>0.1396968988016325</v>
      </c>
      <c r="X18" s="275">
        <f t="shared" si="17"/>
        <v>0.13800722659803999</v>
      </c>
      <c r="Y18" s="162">
        <f t="shared" si="17"/>
        <v>0.13927984838913454</v>
      </c>
      <c r="Z18" s="275">
        <f t="shared" ref="Z18" si="18">-Z17/Z$8</f>
        <v>0.1390170562223626</v>
      </c>
      <c r="AA18" s="162">
        <f t="shared" si="17"/>
        <v>0.13454762498196271</v>
      </c>
      <c r="AB18" s="275">
        <f t="shared" ref="AB18" si="19">-AB17/AB$8</f>
        <v>0.13447941126313442</v>
      </c>
      <c r="AC18" s="162">
        <f t="shared" ref="AC18" si="20">-AC17/AC$8</f>
        <v>0.14140008600155576</v>
      </c>
      <c r="AD18" s="162"/>
    </row>
    <row r="19" spans="1:30" ht="6" customHeight="1" x14ac:dyDescent="0.25">
      <c r="A19" s="62"/>
      <c r="B19" s="162"/>
      <c r="C19" s="162"/>
      <c r="D19" s="162"/>
      <c r="E19" s="162"/>
      <c r="F19" s="34"/>
      <c r="G19" s="162"/>
      <c r="H19" s="162"/>
      <c r="I19" s="162"/>
      <c r="J19" s="162"/>
      <c r="K19" s="34"/>
      <c r="L19" s="162"/>
      <c r="M19" s="162"/>
      <c r="N19" s="162"/>
      <c r="O19" s="162"/>
      <c r="P19" s="275"/>
      <c r="Q19" s="34"/>
      <c r="R19" s="275"/>
      <c r="S19" s="162"/>
      <c r="T19" s="275"/>
      <c r="V19" s="273"/>
      <c r="X19" s="273"/>
      <c r="Z19" s="273"/>
      <c r="AB19" s="273"/>
    </row>
    <row r="20" spans="1:30" x14ac:dyDescent="0.25">
      <c r="A20" s="63" t="s">
        <v>4</v>
      </c>
      <c r="B20" s="30">
        <v>-10232</v>
      </c>
      <c r="C20" s="30">
        <v>-9463</v>
      </c>
      <c r="D20" s="30">
        <v>-9117</v>
      </c>
      <c r="E20" s="30">
        <f>F20-B20-C20-D20</f>
        <v>-10482</v>
      </c>
      <c r="F20" s="28">
        <v>-39294</v>
      </c>
      <c r="G20" s="30">
        <v>-11243</v>
      </c>
      <c r="H20" s="30">
        <v>-11844</v>
      </c>
      <c r="I20" s="30">
        <v>-12682</v>
      </c>
      <c r="J20" s="30">
        <f>K20-G20-H20-I20</f>
        <v>-13705</v>
      </c>
      <c r="K20" s="28">
        <v>-49474</v>
      </c>
      <c r="L20" s="30">
        <v>-13454</v>
      </c>
      <c r="M20" s="30">
        <v>-12798</v>
      </c>
      <c r="N20" s="30">
        <v>-11623</v>
      </c>
      <c r="O20" s="30">
        <f>Q20-L20-M20-N20</f>
        <v>-12707</v>
      </c>
      <c r="P20" s="276">
        <v>-12685.898911589096</v>
      </c>
      <c r="Q20" s="28">
        <v>-50582</v>
      </c>
      <c r="R20" s="276">
        <v>-50530.893059803959</v>
      </c>
      <c r="S20" s="30">
        <v>-13362</v>
      </c>
      <c r="T20" s="276">
        <v>-13340</v>
      </c>
      <c r="U20" s="30">
        <v>-13127</v>
      </c>
      <c r="V20" s="276">
        <v>-13095</v>
      </c>
      <c r="W20" s="28">
        <v>-12222</v>
      </c>
      <c r="X20" s="276">
        <v>-12196</v>
      </c>
      <c r="Y20" s="244">
        <f>+AA20-SUM(T20,V20,X20)</f>
        <v>-14752</v>
      </c>
      <c r="Z20" s="276">
        <f>+AB20-SUM(T20,V20,X20)</f>
        <v>-14748</v>
      </c>
      <c r="AA20" s="244">
        <v>-53383</v>
      </c>
      <c r="AB20" s="276">
        <v>-53379</v>
      </c>
      <c r="AC20" s="244">
        <v>-13952</v>
      </c>
      <c r="AD20" s="244"/>
    </row>
    <row r="21" spans="1:30" x14ac:dyDescent="0.25">
      <c r="A21" s="62" t="s">
        <v>138</v>
      </c>
      <c r="B21" s="162">
        <f t="shared" ref="B21:H21" si="21">-B20/B$8</f>
        <v>8.4008637322758359E-2</v>
      </c>
      <c r="C21" s="162">
        <f t="shared" si="21"/>
        <v>7.9030884096945003E-2</v>
      </c>
      <c r="D21" s="162">
        <f t="shared" si="21"/>
        <v>7.4450623484161788E-2</v>
      </c>
      <c r="E21" s="162">
        <f t="shared" si="21"/>
        <v>7.7480300991972562E-2</v>
      </c>
      <c r="F21" s="34">
        <f t="shared" si="21"/>
        <v>7.8701645175633619E-2</v>
      </c>
      <c r="G21" s="162">
        <f t="shared" si="21"/>
        <v>7.8342972615148776E-2</v>
      </c>
      <c r="H21" s="162">
        <f t="shared" si="21"/>
        <v>7.6107980285437055E-2</v>
      </c>
      <c r="I21" s="162">
        <f>-I20/I$8</f>
        <v>7.7564326036831124E-2</v>
      </c>
      <c r="J21" s="162">
        <f>-J20/J$8</f>
        <v>8.263092524930965E-2</v>
      </c>
      <c r="K21" s="34">
        <f>-K20/K$8</f>
        <v>7.8718583530100625E-2</v>
      </c>
      <c r="L21" s="162">
        <f>-L20/L$8</f>
        <v>8.0545511147297591E-2</v>
      </c>
      <c r="M21" s="162">
        <f t="shared" ref="M21" si="22">-M20/M$8</f>
        <v>7.5071270193221407E-2</v>
      </c>
      <c r="N21" s="162">
        <f t="shared" ref="N21:AA21" si="23">-N20/N$8</f>
        <v>6.7891355140186918E-2</v>
      </c>
      <c r="O21" s="162">
        <f t="shared" si="23"/>
        <v>7.1679998194884756E-2</v>
      </c>
      <c r="P21" s="275">
        <f t="shared" si="23"/>
        <v>7.1560967268686312E-2</v>
      </c>
      <c r="Q21" s="34">
        <f t="shared" si="23"/>
        <v>7.3735983719831838E-2</v>
      </c>
      <c r="R21" s="275">
        <f t="shared" si="23"/>
        <v>7.366148250378135E-2</v>
      </c>
      <c r="S21" s="162">
        <f t="shared" si="23"/>
        <v>7.300322892593139E-2</v>
      </c>
      <c r="T21" s="275">
        <f t="shared" si="23"/>
        <v>7.2883032021548028E-2</v>
      </c>
      <c r="U21" s="162">
        <f t="shared" si="23"/>
        <v>6.9434086016386592E-2</v>
      </c>
      <c r="V21" s="275">
        <f t="shared" si="23"/>
        <v>6.9264824894079563E-2</v>
      </c>
      <c r="W21" s="162">
        <f t="shared" si="23"/>
        <v>6.3542072837869459E-2</v>
      </c>
      <c r="X21" s="275">
        <f t="shared" si="23"/>
        <v>6.3406899061582048E-2</v>
      </c>
      <c r="Y21" s="162">
        <f t="shared" si="23"/>
        <v>7.4552116234996843E-2</v>
      </c>
      <c r="Z21" s="275">
        <f t="shared" ref="Z21" si="24">-Z20/Z$8</f>
        <v>7.4531901452937463E-2</v>
      </c>
      <c r="AA21" s="162">
        <f t="shared" si="23"/>
        <v>7.0027941388673895E-2</v>
      </c>
      <c r="AB21" s="275">
        <f t="shared" ref="AB21" si="25">-AB20/AB$8</f>
        <v>7.002269417953326E-2</v>
      </c>
      <c r="AC21" s="162">
        <f t="shared" ref="AC21" si="26">-AC20/AC$8</f>
        <v>6.7409758760804545E-2</v>
      </c>
      <c r="AD21" s="162"/>
    </row>
    <row r="22" spans="1:30" ht="6" customHeight="1" x14ac:dyDescent="0.25">
      <c r="A22" s="62"/>
      <c r="B22" s="162"/>
      <c r="C22" s="162"/>
      <c r="D22" s="162"/>
      <c r="E22" s="162"/>
      <c r="F22" s="34"/>
      <c r="G22" s="162"/>
      <c r="H22" s="162"/>
      <c r="I22" s="162"/>
      <c r="J22" s="162"/>
      <c r="K22" s="34"/>
      <c r="L22" s="162"/>
      <c r="M22" s="162"/>
      <c r="N22" s="162"/>
      <c r="O22" s="162"/>
      <c r="P22" s="275"/>
      <c r="Q22" s="34"/>
      <c r="R22" s="275"/>
      <c r="S22" s="162"/>
      <c r="T22" s="275"/>
      <c r="V22" s="273"/>
      <c r="X22" s="273"/>
      <c r="Z22" s="273"/>
      <c r="AB22" s="273"/>
    </row>
    <row r="23" spans="1:30" x14ac:dyDescent="0.25">
      <c r="A23" s="63" t="s">
        <v>5</v>
      </c>
      <c r="B23" s="163">
        <v>-6356</v>
      </c>
      <c r="C23" s="163">
        <v>-6679</v>
      </c>
      <c r="D23" s="163">
        <v>-7014</v>
      </c>
      <c r="E23" s="163">
        <f>F23-B23-C23-D23</f>
        <v>-7979</v>
      </c>
      <c r="F23" s="60">
        <v>-28028</v>
      </c>
      <c r="G23" s="163">
        <v>-7053</v>
      </c>
      <c r="H23" s="163">
        <v>-8061</v>
      </c>
      <c r="I23" s="163">
        <v>-8057</v>
      </c>
      <c r="J23" s="163">
        <f>K23-G23-H23-I23</f>
        <v>-8294</v>
      </c>
      <c r="K23" s="60">
        <v>-31465</v>
      </c>
      <c r="L23" s="163">
        <v>-8133</v>
      </c>
      <c r="M23" s="163">
        <v>-8270</v>
      </c>
      <c r="N23" s="163">
        <v>-8597</v>
      </c>
      <c r="O23" s="163">
        <f>Q23-L23-M23-N23</f>
        <v>-9580</v>
      </c>
      <c r="P23" s="276">
        <v>-9529.542177196905</v>
      </c>
      <c r="Q23" s="60">
        <v>-34580</v>
      </c>
      <c r="R23" s="276">
        <v>-34460.445826269111</v>
      </c>
      <c r="S23" s="163">
        <v>-9426</v>
      </c>
      <c r="T23" s="276">
        <v>-9372</v>
      </c>
      <c r="U23" s="163">
        <v>-9637</v>
      </c>
      <c r="V23" s="276">
        <v>-9535</v>
      </c>
      <c r="W23" s="28">
        <v>-9708</v>
      </c>
      <c r="X23" s="276">
        <v>-9582</v>
      </c>
      <c r="Y23" s="244">
        <f>+AA23-SUM(T23,V23,X23)</f>
        <v>-10060</v>
      </c>
      <c r="Z23" s="276">
        <f>+AB23-SUM(T23,V23,X23)</f>
        <v>-10060</v>
      </c>
      <c r="AA23" s="90">
        <v>-38549</v>
      </c>
      <c r="AB23" s="276">
        <v>-38549</v>
      </c>
      <c r="AC23" s="90">
        <v>-10504</v>
      </c>
      <c r="AD23" s="90"/>
    </row>
    <row r="24" spans="1:30" x14ac:dyDescent="0.25">
      <c r="A24" s="62" t="s">
        <v>138</v>
      </c>
      <c r="B24" s="34">
        <f t="shared" ref="B24:H24" si="27">-B23/B$8</f>
        <v>5.2185193395568034E-2</v>
      </c>
      <c r="C24" s="34">
        <f t="shared" si="27"/>
        <v>5.5780119928510584E-2</v>
      </c>
      <c r="D24" s="34">
        <f t="shared" si="27"/>
        <v>5.7277248340233712E-2</v>
      </c>
      <c r="E24" s="34">
        <f t="shared" si="27"/>
        <v>5.8978756116671346E-2</v>
      </c>
      <c r="F24" s="34">
        <f t="shared" si="27"/>
        <v>5.6137061917408741E-2</v>
      </c>
      <c r="G24" s="34">
        <f t="shared" si="27"/>
        <v>4.9146400947669151E-2</v>
      </c>
      <c r="H24" s="34">
        <f t="shared" si="27"/>
        <v>5.1798921739353944E-2</v>
      </c>
      <c r="I24" s="34">
        <f>-I23/I$8</f>
        <v>4.9277383289603252E-2</v>
      </c>
      <c r="J24" s="34">
        <f>-J23/J$8</f>
        <v>5.0006632179334126E-2</v>
      </c>
      <c r="K24" s="34">
        <f>-K23/K$8</f>
        <v>5.0064280850034684E-2</v>
      </c>
      <c r="L24" s="34">
        <f>-L23/L$8</f>
        <v>4.8690102732345121E-2</v>
      </c>
      <c r="M24" s="34">
        <f t="shared" ref="M24" si="28">-M23/M$8</f>
        <v>4.8510658266755831E-2</v>
      </c>
      <c r="N24" s="34">
        <f t="shared" ref="N24:AA24" si="29">-N23/N$8</f>
        <v>5.0216121495327101E-2</v>
      </c>
      <c r="O24" s="162">
        <f t="shared" si="29"/>
        <v>5.4040637656960412E-2</v>
      </c>
      <c r="P24" s="275">
        <f t="shared" si="29"/>
        <v>5.3756005828248389E-2</v>
      </c>
      <c r="Q24" s="34">
        <f t="shared" si="29"/>
        <v>5.0409045056181739E-2</v>
      </c>
      <c r="R24" s="275">
        <f t="shared" si="29"/>
        <v>5.0234764786365231E-2</v>
      </c>
      <c r="S24" s="34">
        <f t="shared" si="29"/>
        <v>5.1498910032617071E-2</v>
      </c>
      <c r="T24" s="275">
        <f t="shared" si="29"/>
        <v>5.120388126731245E-2</v>
      </c>
      <c r="U24" s="34">
        <f t="shared" si="29"/>
        <v>5.0974044864776233E-2</v>
      </c>
      <c r="V24" s="275">
        <f t="shared" si="29"/>
        <v>5.0434525037422573E-2</v>
      </c>
      <c r="W24" s="34">
        <f t="shared" si="29"/>
        <v>5.0471808469156984E-2</v>
      </c>
      <c r="X24" s="275">
        <f t="shared" si="29"/>
        <v>4.9816735553302662E-2</v>
      </c>
      <c r="Y24" s="162">
        <f t="shared" si="29"/>
        <v>5.0840176879343023E-2</v>
      </c>
      <c r="Z24" s="275">
        <f t="shared" ref="Z24" si="30">-Z23/Z$8</f>
        <v>5.0840176879343023E-2</v>
      </c>
      <c r="AA24" s="34">
        <f t="shared" si="29"/>
        <v>5.0568666290616682E-2</v>
      </c>
      <c r="AB24" s="275">
        <f t="shared" ref="AB24" si="31">-AB23/AB$8</f>
        <v>5.0568666290616682E-2</v>
      </c>
      <c r="AC24" s="34">
        <f t="shared" ref="AC24" si="32">-AC23/AC$8</f>
        <v>5.0750580993656175E-2</v>
      </c>
      <c r="AD24" s="34"/>
    </row>
    <row r="25" spans="1:30" ht="6" customHeight="1" x14ac:dyDescent="0.25">
      <c r="A25" s="62"/>
      <c r="B25" s="34"/>
      <c r="C25" s="34"/>
      <c r="D25" s="34"/>
      <c r="E25" s="34"/>
      <c r="F25" s="34"/>
      <c r="G25" s="34"/>
      <c r="H25" s="34"/>
      <c r="I25" s="34"/>
      <c r="J25" s="34"/>
      <c r="K25" s="34"/>
      <c r="L25" s="34"/>
      <c r="M25" s="34"/>
      <c r="N25" s="34"/>
      <c r="O25" s="34"/>
      <c r="P25" s="275"/>
      <c r="Q25" s="34"/>
      <c r="R25" s="275"/>
      <c r="S25" s="34"/>
      <c r="T25" s="275"/>
      <c r="V25" s="273"/>
      <c r="X25" s="273"/>
      <c r="Z25" s="273"/>
      <c r="AB25" s="273"/>
    </row>
    <row r="26" spans="1:30" s="27" customFormat="1" x14ac:dyDescent="0.25">
      <c r="A26" s="64" t="s">
        <v>6</v>
      </c>
      <c r="B26" s="26">
        <f t="shared" ref="B26:G26" si="33">B17+B20+B23</f>
        <v>-31388</v>
      </c>
      <c r="C26" s="26">
        <f t="shared" si="33"/>
        <v>-32382</v>
      </c>
      <c r="D26" s="26">
        <f t="shared" si="33"/>
        <v>-32083</v>
      </c>
      <c r="E26" s="26">
        <f t="shared" si="33"/>
        <v>-36850</v>
      </c>
      <c r="F26" s="26">
        <f t="shared" si="33"/>
        <v>-132703</v>
      </c>
      <c r="G26" s="26">
        <f t="shared" si="33"/>
        <v>-36917</v>
      </c>
      <c r="H26" s="26">
        <f>H17+H20+H23</f>
        <v>-39895</v>
      </c>
      <c r="I26" s="26">
        <f>I17+I20+I23</f>
        <v>-39556</v>
      </c>
      <c r="J26" s="26">
        <f>J17+J20+J23</f>
        <v>-41864</v>
      </c>
      <c r="K26" s="26">
        <f>K17+K20+K23</f>
        <v>-158232</v>
      </c>
      <c r="L26" s="26">
        <f t="shared" ref="L26" si="34">L17+L20+L23</f>
        <v>-42205</v>
      </c>
      <c r="M26" s="26">
        <f t="shared" ref="M26:R26" si="35">M17+M20+M23</f>
        <v>-42216</v>
      </c>
      <c r="N26" s="26">
        <f t="shared" si="35"/>
        <v>-42074</v>
      </c>
      <c r="O26" s="26">
        <f t="shared" si="35"/>
        <v>-47315</v>
      </c>
      <c r="P26" s="278">
        <f t="shared" si="35"/>
        <v>-47106.761967227678</v>
      </c>
      <c r="Q26" s="26">
        <f t="shared" si="35"/>
        <v>-173810</v>
      </c>
      <c r="R26" s="278">
        <f t="shared" si="35"/>
        <v>-173275.79597404861</v>
      </c>
      <c r="S26" s="26">
        <f t="shared" ref="S26:V26" si="36">S17+S20+S23</f>
        <v>-47012</v>
      </c>
      <c r="T26" s="278">
        <f t="shared" si="36"/>
        <v>-46749</v>
      </c>
      <c r="U26" s="26">
        <f t="shared" si="36"/>
        <v>-47479</v>
      </c>
      <c r="V26" s="278">
        <f t="shared" si="36"/>
        <v>-47055</v>
      </c>
      <c r="W26" s="26">
        <f t="shared" ref="W26:AC26" si="37">W17+W20+W23</f>
        <v>-48800</v>
      </c>
      <c r="X26" s="278">
        <f t="shared" si="37"/>
        <v>-48323</v>
      </c>
      <c r="Y26" s="26">
        <f t="shared" si="37"/>
        <v>-52372</v>
      </c>
      <c r="Z26" s="336">
        <f t="shared" si="37"/>
        <v>-52316</v>
      </c>
      <c r="AA26" s="26">
        <f t="shared" si="37"/>
        <v>-194499</v>
      </c>
      <c r="AB26" s="278">
        <f t="shared" si="37"/>
        <v>-194443</v>
      </c>
      <c r="AC26" s="26">
        <f t="shared" si="37"/>
        <v>-53722</v>
      </c>
      <c r="AD26" s="26"/>
    </row>
    <row r="27" spans="1:30" ht="6" customHeight="1" x14ac:dyDescent="0.25">
      <c r="A27" s="62"/>
      <c r="B27" s="28"/>
      <c r="C27" s="28"/>
      <c r="D27" s="28"/>
      <c r="E27" s="28"/>
      <c r="F27" s="28"/>
      <c r="G27" s="28"/>
      <c r="H27" s="28"/>
      <c r="I27" s="28"/>
      <c r="J27" s="28"/>
      <c r="K27" s="28"/>
      <c r="L27" s="28"/>
      <c r="M27" s="28"/>
      <c r="N27" s="28"/>
      <c r="O27" s="28"/>
      <c r="P27" s="276"/>
      <c r="Q27" s="28"/>
      <c r="R27" s="276"/>
      <c r="S27" s="28"/>
      <c r="T27" s="276"/>
      <c r="V27" s="273"/>
      <c r="X27" s="273"/>
      <c r="Z27" s="273"/>
      <c r="AB27" s="273"/>
    </row>
    <row r="28" spans="1:30" s="27" customFormat="1" x14ac:dyDescent="0.25">
      <c r="A28" s="61" t="s">
        <v>97</v>
      </c>
      <c r="B28" s="43">
        <f t="shared" ref="B28:G28" si="38">B13+B26</f>
        <v>15487</v>
      </c>
      <c r="C28" s="43">
        <f t="shared" si="38"/>
        <v>6097</v>
      </c>
      <c r="D28" s="43">
        <f t="shared" si="38"/>
        <v>5391</v>
      </c>
      <c r="E28" s="43">
        <f t="shared" si="38"/>
        <v>7065</v>
      </c>
      <c r="F28" s="43">
        <f t="shared" si="38"/>
        <v>34040</v>
      </c>
      <c r="G28" s="43">
        <f t="shared" si="38"/>
        <v>13468</v>
      </c>
      <c r="H28" s="43">
        <f>H13+H26</f>
        <v>15248</v>
      </c>
      <c r="I28" s="43">
        <f>I13+I26</f>
        <v>20749</v>
      </c>
      <c r="J28" s="43">
        <f t="shared" ref="J28" si="39">J13+J26</f>
        <v>17878</v>
      </c>
      <c r="K28" s="43">
        <f t="shared" ref="K28:R28" si="40">K13+K26</f>
        <v>67343</v>
      </c>
      <c r="L28" s="43">
        <f t="shared" si="40"/>
        <v>16452</v>
      </c>
      <c r="M28" s="43">
        <f t="shared" si="40"/>
        <v>16236</v>
      </c>
      <c r="N28" s="43">
        <f t="shared" si="40"/>
        <v>17359</v>
      </c>
      <c r="O28" s="43">
        <f t="shared" si="40"/>
        <v>14175</v>
      </c>
      <c r="P28" s="279">
        <f t="shared" si="40"/>
        <v>15145.174049368623</v>
      </c>
      <c r="Q28" s="43">
        <f t="shared" si="40"/>
        <v>64222</v>
      </c>
      <c r="R28" s="279">
        <f t="shared" si="40"/>
        <v>66676.587497467757</v>
      </c>
      <c r="S28" s="43">
        <f t="shared" ref="S28:AA28" si="41">S13+S26</f>
        <v>15902</v>
      </c>
      <c r="T28" s="274">
        <f>T13+T26</f>
        <v>17212</v>
      </c>
      <c r="U28" s="43">
        <f t="shared" si="41"/>
        <v>16129</v>
      </c>
      <c r="V28" s="279">
        <f t="shared" si="41"/>
        <v>18268</v>
      </c>
      <c r="W28" s="43">
        <f t="shared" si="41"/>
        <v>18655</v>
      </c>
      <c r="X28" s="279">
        <f t="shared" si="41"/>
        <v>20945</v>
      </c>
      <c r="Y28" s="43">
        <f t="shared" si="41"/>
        <v>15800</v>
      </c>
      <c r="Z28" s="274">
        <f t="shared" ref="Z28" si="42">Z13+Z26</f>
        <v>16300</v>
      </c>
      <c r="AA28" s="43">
        <f t="shared" si="41"/>
        <v>72225</v>
      </c>
      <c r="AB28" s="279">
        <f t="shared" ref="AB28" si="43">AB13+AB26</f>
        <v>72725</v>
      </c>
      <c r="AC28" s="43">
        <f t="shared" ref="AC28" si="44">AC13+AC26</f>
        <v>15150</v>
      </c>
      <c r="AD28" s="365"/>
    </row>
    <row r="29" spans="1:30" s="27" customFormat="1" x14ac:dyDescent="0.25">
      <c r="A29" s="62" t="s">
        <v>136</v>
      </c>
      <c r="B29" s="34">
        <v>-0.32591360969409966</v>
      </c>
      <c r="C29" s="34">
        <f>C28/B28-1</f>
        <v>-0.60631497384903466</v>
      </c>
      <c r="D29" s="34">
        <f>D28/C28-1</f>
        <v>-0.1157946531080859</v>
      </c>
      <c r="E29" s="34">
        <f>E28/D28-1</f>
        <v>0.31051752921535902</v>
      </c>
      <c r="F29" s="34">
        <v>-0.4951053099970335</v>
      </c>
      <c r="G29" s="34">
        <v>0.90629865534324128</v>
      </c>
      <c r="H29" s="34">
        <v>0.13216513216513226</v>
      </c>
      <c r="I29" s="34">
        <v>0.3607686253934943</v>
      </c>
      <c r="J29" s="34">
        <v>-0.13836811412598193</v>
      </c>
      <c r="K29" s="34">
        <f>K28/F28-1</f>
        <v>0.97834900117508816</v>
      </c>
      <c r="L29" s="34">
        <f>L28/J28-1</f>
        <v>-7.9762837006376541E-2</v>
      </c>
      <c r="M29" s="34">
        <f>M28/L28-1</f>
        <v>-1.3129102844638973E-2</v>
      </c>
      <c r="N29" s="34">
        <f>N28/M28-1</f>
        <v>6.9167282581916734E-2</v>
      </c>
      <c r="O29" s="34">
        <f>O28/N28-1</f>
        <v>-0.18342070395760124</v>
      </c>
      <c r="P29" s="275">
        <f>P28/N28-1</f>
        <v>-0.12753188263329551</v>
      </c>
      <c r="Q29" s="34">
        <f>Q28/K28-1</f>
        <v>-4.634483168258019E-2</v>
      </c>
      <c r="R29" s="275">
        <f>R28/K28-1</f>
        <v>-9.8957947007446423E-3</v>
      </c>
      <c r="S29" s="34">
        <f>S28/O28-1</f>
        <v>0.12183421516754844</v>
      </c>
      <c r="T29" s="275">
        <f>T28/O28-1</f>
        <v>0.21425044091710754</v>
      </c>
      <c r="U29" s="34">
        <f t="shared" ref="U29:Z29" si="45">U28/S28-1</f>
        <v>1.427493397056967E-2</v>
      </c>
      <c r="V29" s="275">
        <f t="shared" si="45"/>
        <v>6.1352544736230641E-2</v>
      </c>
      <c r="W29" s="34">
        <f t="shared" si="45"/>
        <v>0.15661231322462643</v>
      </c>
      <c r="X29" s="275">
        <f t="shared" si="45"/>
        <v>0.1465403985110576</v>
      </c>
      <c r="Y29" s="34">
        <f t="shared" si="45"/>
        <v>-0.15304207987134821</v>
      </c>
      <c r="Z29" s="275">
        <f t="shared" si="45"/>
        <v>-0.22177130580090709</v>
      </c>
      <c r="AA29" s="34">
        <f>AA28/Q28-1</f>
        <v>0.12461461804366114</v>
      </c>
      <c r="AB29" s="275">
        <f>AB28/R28-1</f>
        <v>9.0712688359492644E-2</v>
      </c>
      <c r="AC29" s="34">
        <f>AC28/Z28-1</f>
        <v>-7.055214723926384E-2</v>
      </c>
      <c r="AD29" s="34"/>
    </row>
    <row r="30" spans="1:30" x14ac:dyDescent="0.25">
      <c r="A30" s="62" t="s">
        <v>69</v>
      </c>
      <c r="B30" s="34">
        <f t="shared" ref="B30:H30" si="46">IF(B28/B8&lt;0, "NM",B28/B8)</f>
        <v>0.12715419920030871</v>
      </c>
      <c r="C30" s="34">
        <f t="shared" si="46"/>
        <v>5.0919507591574938E-2</v>
      </c>
      <c r="D30" s="34">
        <f t="shared" si="46"/>
        <v>4.4023616453122319E-2</v>
      </c>
      <c r="E30" s="34">
        <f t="shared" si="46"/>
        <v>5.2222698579306059E-2</v>
      </c>
      <c r="F30" s="34">
        <f t="shared" si="46"/>
        <v>6.8178449681339862E-2</v>
      </c>
      <c r="G30" s="34">
        <f t="shared" si="46"/>
        <v>9.3847118667688662E-2</v>
      </c>
      <c r="H30" s="34">
        <f t="shared" si="46"/>
        <v>9.7981634869329981E-2</v>
      </c>
      <c r="I30" s="34">
        <f>IF(I28/I8&lt;0, "NM",I28/I8)</f>
        <v>0.12690287028372568</v>
      </c>
      <c r="J30" s="34">
        <f>IF(J28/J8&lt;0, "NM",J28/J8)</f>
        <v>0.10779100194141977</v>
      </c>
      <c r="K30" s="34">
        <f>IF(K28/K8&lt;0, "NM",K28/K8)</f>
        <v>0.10715013078925428</v>
      </c>
      <c r="L30" s="34">
        <f t="shared" ref="L30:M30" si="47">IF(L28/L8&lt;0, "NM",L28/L8)</f>
        <v>9.849373787686487E-2</v>
      </c>
      <c r="M30" s="34">
        <f t="shared" si="47"/>
        <v>9.5238095238095233E-2</v>
      </c>
      <c r="N30" s="34">
        <f t="shared" ref="N30:O30" si="48">IF(N28/N8&lt;0, "NM",N28/N8)</f>
        <v>0.10139602803738318</v>
      </c>
      <c r="O30" s="34">
        <f t="shared" si="48"/>
        <v>7.9960964382819813E-2</v>
      </c>
      <c r="P30" s="275">
        <f>IF(P28/P8&lt;0, "NM",P28/P8)</f>
        <v>8.5433701780117915E-2</v>
      </c>
      <c r="Q30" s="34">
        <f>IF(Q28/Q8&lt;0, "NM",Q28/Q8)</f>
        <v>9.3619713464375476E-2</v>
      </c>
      <c r="R30" s="275">
        <f>IF(R28/R8&lt;0, "NM",R28/R8)</f>
        <v>9.7197891941940326E-2</v>
      </c>
      <c r="S30" s="34">
        <f t="shared" ref="S30:Y30" si="49">IF(S28/S8&lt;0, "NM",S28/S8)</f>
        <v>8.6880507886555977E-2</v>
      </c>
      <c r="T30" s="275">
        <f t="shared" si="49"/>
        <v>9.4037687193019831E-2</v>
      </c>
      <c r="U30" s="34">
        <f t="shared" si="49"/>
        <v>8.5312895052814766E-2</v>
      </c>
      <c r="V30" s="275">
        <f t="shared" si="49"/>
        <v>9.6626943197025236E-2</v>
      </c>
      <c r="W30" s="34">
        <f t="shared" si="49"/>
        <v>9.6987184486209674E-2</v>
      </c>
      <c r="X30" s="275">
        <f t="shared" ref="X30" si="50">IF(X28/X8&lt;0, "NM",X28/X8)</f>
        <v>0.10889287478229223</v>
      </c>
      <c r="Y30" s="34">
        <f t="shared" si="49"/>
        <v>7.9848389134554637E-2</v>
      </c>
      <c r="Z30" s="275">
        <f t="shared" ref="Z30" si="51">IF(Z28/Z8&lt;0, "NM",Z28/Z8)</f>
        <v>8.237523689197726E-2</v>
      </c>
      <c r="AA30" s="34">
        <f t="shared" ref="AA30:AB30" si="52">IF(AA28/AA8&lt;0, "NM",AA28/AA8)</f>
        <v>9.4744920045650716E-2</v>
      </c>
      <c r="AB30" s="275">
        <f t="shared" si="52"/>
        <v>9.5400821188230511E-2</v>
      </c>
      <c r="AC30" s="34">
        <f>IF(AC28/AC8&lt;0, "NM",AC28/AC8)</f>
        <v>7.3197953356234871E-2</v>
      </c>
      <c r="AD30" s="34"/>
    </row>
    <row r="31" spans="1:30" s="31" customFormat="1" x14ac:dyDescent="0.25">
      <c r="A31" s="66" t="s">
        <v>7</v>
      </c>
      <c r="B31" s="153"/>
      <c r="C31" s="153"/>
      <c r="D31" s="153"/>
      <c r="E31" s="153"/>
      <c r="F31" s="153"/>
      <c r="G31" s="153"/>
      <c r="H31" s="153"/>
      <c r="I31" s="153"/>
      <c r="J31" s="153"/>
      <c r="K31" s="153"/>
      <c r="L31" s="153"/>
      <c r="M31" s="153"/>
      <c r="N31" s="153"/>
      <c r="O31" s="153"/>
      <c r="P31" s="277"/>
      <c r="Q31" s="153"/>
      <c r="R31" s="277"/>
      <c r="S31" s="153"/>
      <c r="T31" s="277"/>
      <c r="V31" s="273"/>
      <c r="W31" s="271"/>
      <c r="X31" s="299"/>
      <c r="Z31" s="299"/>
      <c r="AB31" s="299"/>
    </row>
    <row r="32" spans="1:30" x14ac:dyDescent="0.25">
      <c r="A32" s="63" t="s">
        <v>16</v>
      </c>
      <c r="B32" s="29">
        <v>-833</v>
      </c>
      <c r="C32" s="29">
        <v>-137</v>
      </c>
      <c r="D32" s="29">
        <v>642</v>
      </c>
      <c r="E32" s="29">
        <f t="shared" ref="E32:E33" si="53">F32-B32-C32-D32</f>
        <v>323</v>
      </c>
      <c r="F32" s="59">
        <v>-5</v>
      </c>
      <c r="G32" s="59">
        <v>1134</v>
      </c>
      <c r="H32" s="59">
        <v>1022</v>
      </c>
      <c r="I32" s="59">
        <v>191</v>
      </c>
      <c r="J32" s="29">
        <f>K32-G32-H32-I32</f>
        <v>397</v>
      </c>
      <c r="K32" s="59">
        <v>2744</v>
      </c>
      <c r="L32" s="59">
        <v>469</v>
      </c>
      <c r="M32" s="59">
        <v>1363</v>
      </c>
      <c r="N32" s="59">
        <v>1741</v>
      </c>
      <c r="O32" s="59">
        <f t="shared" ref="O32:O33" si="54">Q32-L32-M32-N32</f>
        <v>2024</v>
      </c>
      <c r="P32" s="280">
        <v>1053.9190206641981</v>
      </c>
      <c r="Q32" s="59">
        <v>5597</v>
      </c>
      <c r="R32" s="280">
        <v>3142.5163316805683</v>
      </c>
      <c r="S32" s="59">
        <v>1568</v>
      </c>
      <c r="T32" s="280">
        <v>382</v>
      </c>
      <c r="U32" s="59">
        <v>2898</v>
      </c>
      <c r="V32" s="280">
        <v>886</v>
      </c>
      <c r="W32" s="59">
        <v>2801</v>
      </c>
      <c r="X32" s="280">
        <v>637</v>
      </c>
      <c r="Y32" s="68">
        <f>+AA32-SUM(T32,V32,X32)+1</f>
        <v>935</v>
      </c>
      <c r="Z32" s="276">
        <f>+AB32-SUM(T32,V32,X32)+1</f>
        <v>935</v>
      </c>
      <c r="AA32" s="68">
        <v>2839</v>
      </c>
      <c r="AB32" s="280">
        <v>2839</v>
      </c>
      <c r="AC32" s="68">
        <v>615</v>
      </c>
      <c r="AD32" s="68"/>
    </row>
    <row r="33" spans="1:30" x14ac:dyDescent="0.25">
      <c r="A33" s="63" t="s">
        <v>96</v>
      </c>
      <c r="B33" s="30">
        <v>958</v>
      </c>
      <c r="C33" s="30">
        <v>858</v>
      </c>
      <c r="D33" s="30">
        <v>1044</v>
      </c>
      <c r="E33" s="30">
        <f t="shared" si="53"/>
        <v>743</v>
      </c>
      <c r="F33" s="28">
        <v>3603</v>
      </c>
      <c r="G33" s="28">
        <v>1178</v>
      </c>
      <c r="H33" s="28">
        <v>1335</v>
      </c>
      <c r="I33" s="28">
        <v>1787</v>
      </c>
      <c r="J33" s="30">
        <f>K33-G33-H33-I33</f>
        <v>1389</v>
      </c>
      <c r="K33" s="28">
        <v>5689</v>
      </c>
      <c r="L33" s="28">
        <v>2794</v>
      </c>
      <c r="M33" s="28">
        <v>5784</v>
      </c>
      <c r="N33" s="28">
        <v>2596</v>
      </c>
      <c r="O33" s="28">
        <f t="shared" si="54"/>
        <v>2891</v>
      </c>
      <c r="P33" s="276">
        <f>O33</f>
        <v>2891</v>
      </c>
      <c r="Q33" s="28">
        <v>14065</v>
      </c>
      <c r="R33" s="276">
        <f>Q33</f>
        <v>14065</v>
      </c>
      <c r="S33" s="28">
        <v>2877.9354799999987</v>
      </c>
      <c r="T33" s="276">
        <v>2754</v>
      </c>
      <c r="U33" s="28">
        <v>2174</v>
      </c>
      <c r="V33" s="276">
        <v>2047</v>
      </c>
      <c r="W33" s="28">
        <v>2440</v>
      </c>
      <c r="X33" s="276">
        <v>2314</v>
      </c>
      <c r="Y33" s="28">
        <f>+AA33-SUM(T33,V33,X33)-1</f>
        <v>2854</v>
      </c>
      <c r="Z33" s="276">
        <f>+AB33-SUM(T33,V33,X33)-1</f>
        <v>2354</v>
      </c>
      <c r="AA33" s="28">
        <v>9970</v>
      </c>
      <c r="AB33" s="276">
        <v>9470</v>
      </c>
      <c r="AC33" s="28">
        <v>2996</v>
      </c>
      <c r="AD33" s="28"/>
    </row>
    <row r="34" spans="1:30" hidden="1" outlineLevel="1" x14ac:dyDescent="0.25">
      <c r="A34" s="63" t="s">
        <v>8</v>
      </c>
      <c r="B34" s="60">
        <v>0</v>
      </c>
      <c r="C34" s="60">
        <v>0</v>
      </c>
      <c r="D34" s="60">
        <v>0</v>
      </c>
      <c r="E34" s="60"/>
      <c r="F34" s="60">
        <v>0</v>
      </c>
      <c r="G34" s="60">
        <v>0</v>
      </c>
      <c r="H34" s="60">
        <v>0</v>
      </c>
      <c r="I34" s="60">
        <v>0</v>
      </c>
      <c r="J34" s="60"/>
      <c r="K34" s="60">
        <v>0</v>
      </c>
      <c r="L34" s="60">
        <v>0</v>
      </c>
      <c r="M34" s="60">
        <v>0</v>
      </c>
      <c r="N34" s="60">
        <v>0</v>
      </c>
      <c r="O34" s="60">
        <v>0</v>
      </c>
      <c r="P34" s="281"/>
      <c r="Q34" s="60">
        <v>0</v>
      </c>
      <c r="R34" s="281"/>
      <c r="S34" s="60">
        <v>0</v>
      </c>
      <c r="T34" s="281"/>
      <c r="V34" s="273"/>
      <c r="X34" s="273"/>
      <c r="Z34" s="343"/>
      <c r="AB34" s="273"/>
    </row>
    <row r="35" spans="1:30" ht="6" customHeight="1" collapsed="1" x14ac:dyDescent="0.25">
      <c r="A35" s="63"/>
      <c r="B35" s="28"/>
      <c r="C35" s="28"/>
      <c r="D35" s="28"/>
      <c r="E35" s="28"/>
      <c r="F35" s="28"/>
      <c r="G35" s="28"/>
      <c r="H35" s="28"/>
      <c r="I35" s="28"/>
      <c r="J35" s="28"/>
      <c r="K35" s="28"/>
      <c r="L35" s="28"/>
      <c r="M35" s="28"/>
      <c r="N35" s="28"/>
      <c r="O35" s="28"/>
      <c r="P35" s="276"/>
      <c r="Q35" s="28"/>
      <c r="R35" s="276"/>
      <c r="S35" s="28"/>
      <c r="T35" s="276"/>
      <c r="V35" s="273"/>
      <c r="X35" s="273"/>
      <c r="Z35" s="343"/>
      <c r="AB35" s="273"/>
    </row>
    <row r="36" spans="1:30" x14ac:dyDescent="0.25">
      <c r="A36" s="67" t="s">
        <v>98</v>
      </c>
      <c r="B36" s="43">
        <f t="shared" ref="B36:G36" si="55">B28+B33+B32+B34</f>
        <v>15612</v>
      </c>
      <c r="C36" s="43">
        <f t="shared" si="55"/>
        <v>6818</v>
      </c>
      <c r="D36" s="43">
        <f t="shared" si="55"/>
        <v>7077</v>
      </c>
      <c r="E36" s="43">
        <f t="shared" si="55"/>
        <v>8131</v>
      </c>
      <c r="F36" s="43">
        <f t="shared" si="55"/>
        <v>37638</v>
      </c>
      <c r="G36" s="43">
        <f t="shared" si="55"/>
        <v>15780</v>
      </c>
      <c r="H36" s="43">
        <f t="shared" ref="H36" si="56">H28+H33+H32+H34</f>
        <v>17605</v>
      </c>
      <c r="I36" s="43">
        <f>I28+I33+I32+I34</f>
        <v>22727</v>
      </c>
      <c r="J36" s="43">
        <f>J28+J33+J32+J34</f>
        <v>19664</v>
      </c>
      <c r="K36" s="43">
        <f t="shared" ref="K36:M36" si="57">K28+K33+K32+K34</f>
        <v>75776</v>
      </c>
      <c r="L36" s="43">
        <f t="shared" si="57"/>
        <v>19715</v>
      </c>
      <c r="M36" s="43">
        <f t="shared" si="57"/>
        <v>23383</v>
      </c>
      <c r="N36" s="43">
        <f t="shared" ref="N36:AC36" si="58">N28+N33+N32+N34</f>
        <v>21696</v>
      </c>
      <c r="O36" s="43">
        <f t="shared" si="58"/>
        <v>19090</v>
      </c>
      <c r="P36" s="279">
        <f>P28+P33+P32+P34</f>
        <v>19090.093070032821</v>
      </c>
      <c r="Q36" s="43">
        <f t="shared" si="58"/>
        <v>83884</v>
      </c>
      <c r="R36" s="279">
        <f>R28+R33+R32+R34</f>
        <v>83884.103829148327</v>
      </c>
      <c r="S36" s="43">
        <f t="shared" si="58"/>
        <v>20347.93548</v>
      </c>
      <c r="T36" s="279">
        <f t="shared" si="58"/>
        <v>20348</v>
      </c>
      <c r="U36" s="43">
        <f t="shared" si="58"/>
        <v>21201</v>
      </c>
      <c r="V36" s="279">
        <f t="shared" si="58"/>
        <v>21201</v>
      </c>
      <c r="W36" s="43">
        <f t="shared" si="58"/>
        <v>23896</v>
      </c>
      <c r="X36" s="279">
        <f t="shared" si="58"/>
        <v>23896</v>
      </c>
      <c r="Y36" s="43">
        <f t="shared" si="58"/>
        <v>19589</v>
      </c>
      <c r="Z36" s="274">
        <f t="shared" ref="Z36" si="59">Z28+Z33+Z32+Z34</f>
        <v>19589</v>
      </c>
      <c r="AA36" s="43">
        <f t="shared" si="58"/>
        <v>85034</v>
      </c>
      <c r="AB36" s="279">
        <f t="shared" ref="AB36" si="60">AB28+AB33+AB32+AB34</f>
        <v>85034</v>
      </c>
      <c r="AC36" s="43">
        <f t="shared" si="58"/>
        <v>18761</v>
      </c>
      <c r="AD36" s="365"/>
    </row>
    <row r="37" spans="1:30" ht="6" customHeight="1" x14ac:dyDescent="0.25">
      <c r="A37" s="66"/>
      <c r="B37" s="28"/>
      <c r="C37" s="28"/>
      <c r="D37" s="28"/>
      <c r="E37" s="28"/>
      <c r="F37" s="28"/>
      <c r="G37" s="28"/>
      <c r="H37" s="28"/>
      <c r="I37" s="28"/>
      <c r="J37" s="28"/>
      <c r="K37" s="28"/>
      <c r="L37" s="28"/>
      <c r="M37" s="28"/>
      <c r="N37" s="28"/>
      <c r="O37" s="28"/>
      <c r="P37" s="276"/>
      <c r="Q37" s="28"/>
      <c r="R37" s="276"/>
      <c r="S37" s="28"/>
      <c r="T37" s="276"/>
      <c r="V37" s="273"/>
      <c r="X37" s="273"/>
      <c r="Z37" s="273"/>
      <c r="AB37" s="273"/>
    </row>
    <row r="38" spans="1:30" x14ac:dyDescent="0.25">
      <c r="A38" s="63" t="s">
        <v>61</v>
      </c>
      <c r="B38" s="29">
        <v>-4465</v>
      </c>
      <c r="C38" s="29">
        <v>944</v>
      </c>
      <c r="D38" s="29">
        <v>-1002</v>
      </c>
      <c r="E38" s="29">
        <f t="shared" ref="E38" si="61">F38-B38-C38-D38</f>
        <v>-670</v>
      </c>
      <c r="F38" s="59">
        <v>-5193</v>
      </c>
      <c r="G38" s="29">
        <f>-4869-1285-59</f>
        <v>-6213</v>
      </c>
      <c r="H38" s="29">
        <v>-5531</v>
      </c>
      <c r="I38" s="29">
        <v>-7565</v>
      </c>
      <c r="J38" s="29">
        <f>K38-G38-H38-I38</f>
        <v>-4902</v>
      </c>
      <c r="K38" s="59">
        <v>-24211</v>
      </c>
      <c r="L38" s="29">
        <v>-5895</v>
      </c>
      <c r="M38" s="29">
        <v>-7008</v>
      </c>
      <c r="N38" s="29">
        <v>-5646</v>
      </c>
      <c r="O38" s="59">
        <f t="shared" ref="O38" si="62">Q38-L38-M38-N38</f>
        <v>-3602</v>
      </c>
      <c r="P38" s="280">
        <f>O38</f>
        <v>-3602</v>
      </c>
      <c r="Q38" s="59">
        <v>-22151</v>
      </c>
      <c r="R38" s="280">
        <f>Q38</f>
        <v>-22151</v>
      </c>
      <c r="S38" s="29">
        <v>-3560</v>
      </c>
      <c r="T38" s="280">
        <v>-3560</v>
      </c>
      <c r="U38" s="29">
        <v>-823</v>
      </c>
      <c r="V38" s="280">
        <v>-823</v>
      </c>
      <c r="W38" s="29">
        <v>-2819</v>
      </c>
      <c r="X38" s="280">
        <v>-2819</v>
      </c>
      <c r="Y38" s="68">
        <f>+AA38-SUM(T38,V38,X38)</f>
        <v>-28944</v>
      </c>
      <c r="Z38" s="276">
        <f>+AB38-SUM(T38,V38,X38)</f>
        <v>-28944</v>
      </c>
      <c r="AA38" s="29">
        <v>-36146</v>
      </c>
      <c r="AB38" s="280">
        <v>-36146</v>
      </c>
      <c r="AC38" s="29">
        <v>4453</v>
      </c>
      <c r="AD38" s="29"/>
    </row>
    <row r="39" spans="1:30" outlineLevel="1" x14ac:dyDescent="0.25">
      <c r="A39" s="63" t="s">
        <v>222</v>
      </c>
      <c r="B39" s="60">
        <v>0</v>
      </c>
      <c r="C39" s="60">
        <v>0</v>
      </c>
      <c r="D39" s="60">
        <v>0</v>
      </c>
      <c r="E39" s="60"/>
      <c r="F39" s="60">
        <v>0</v>
      </c>
      <c r="G39" s="60">
        <v>0</v>
      </c>
      <c r="H39" s="60">
        <v>0</v>
      </c>
      <c r="I39" s="60">
        <v>0</v>
      </c>
      <c r="J39" s="60"/>
      <c r="K39" s="60">
        <v>0</v>
      </c>
      <c r="L39" s="60">
        <v>0</v>
      </c>
      <c r="M39" s="60">
        <v>0</v>
      </c>
      <c r="N39" s="60">
        <v>0</v>
      </c>
      <c r="O39" s="60">
        <v>0</v>
      </c>
      <c r="P39" s="281">
        <f>O39</f>
        <v>0</v>
      </c>
      <c r="Q39" s="60">
        <v>0</v>
      </c>
      <c r="R39" s="281"/>
      <c r="S39" s="60">
        <v>0</v>
      </c>
      <c r="T39" s="281">
        <v>0</v>
      </c>
      <c r="U39" s="60">
        <v>0</v>
      </c>
      <c r="V39" s="281">
        <v>0</v>
      </c>
      <c r="W39" s="60">
        <v>0</v>
      </c>
      <c r="X39" s="281">
        <v>0</v>
      </c>
      <c r="Y39" s="28">
        <f>+AA39-SUM(T39,V39,X39)</f>
        <v>0</v>
      </c>
      <c r="Z39" s="281">
        <f>+AB39-SUM(T39,V39,X39)</f>
        <v>0</v>
      </c>
      <c r="AA39" s="24">
        <v>0</v>
      </c>
      <c r="AB39" s="281">
        <v>0</v>
      </c>
      <c r="AC39" s="28">
        <v>56</v>
      </c>
      <c r="AD39" s="28"/>
    </row>
    <row r="40" spans="1:30" x14ac:dyDescent="0.25">
      <c r="A40" s="66" t="s">
        <v>97</v>
      </c>
      <c r="B40" s="60">
        <f t="shared" ref="B40:G40" si="63">B36+B38+B39</f>
        <v>11147</v>
      </c>
      <c r="C40" s="60">
        <f t="shared" si="63"/>
        <v>7762</v>
      </c>
      <c r="D40" s="60">
        <f t="shared" si="63"/>
        <v>6075</v>
      </c>
      <c r="E40" s="60">
        <f t="shared" si="63"/>
        <v>7461</v>
      </c>
      <c r="F40" s="60">
        <f t="shared" si="63"/>
        <v>32445</v>
      </c>
      <c r="G40" s="60">
        <f t="shared" si="63"/>
        <v>9567</v>
      </c>
      <c r="H40" s="60">
        <f t="shared" ref="H40" si="64">H36+H38+H39</f>
        <v>12074</v>
      </c>
      <c r="I40" s="60">
        <f>I36+I38+I39</f>
        <v>15162</v>
      </c>
      <c r="J40" s="60">
        <f>J36+J38+J39</f>
        <v>14762</v>
      </c>
      <c r="K40" s="60">
        <f>K36+K38+K39</f>
        <v>51565</v>
      </c>
      <c r="L40" s="60">
        <f>L36+L38+L39</f>
        <v>13820</v>
      </c>
      <c r="M40" s="60">
        <f t="shared" ref="M40:N40" si="65">M36+M38+M39</f>
        <v>16375</v>
      </c>
      <c r="N40" s="60">
        <f t="shared" si="65"/>
        <v>16050</v>
      </c>
      <c r="O40" s="60">
        <f t="shared" ref="O40" si="66">O36+O38+O39</f>
        <v>15488</v>
      </c>
      <c r="P40" s="281">
        <f>P36+P38+P39</f>
        <v>15488.093070032821</v>
      </c>
      <c r="Q40" s="60">
        <f t="shared" ref="Q40:AA40" si="67">Q36+Q38+Q39</f>
        <v>61733</v>
      </c>
      <c r="R40" s="281">
        <f t="shared" si="67"/>
        <v>61733.103829148327</v>
      </c>
      <c r="S40" s="60">
        <f t="shared" si="67"/>
        <v>16787.93548</v>
      </c>
      <c r="T40" s="281">
        <f t="shared" si="67"/>
        <v>16788</v>
      </c>
      <c r="U40" s="60">
        <f t="shared" si="67"/>
        <v>20378</v>
      </c>
      <c r="V40" s="281">
        <f t="shared" si="67"/>
        <v>20378</v>
      </c>
      <c r="W40" s="60">
        <f t="shared" si="67"/>
        <v>21077</v>
      </c>
      <c r="X40" s="281">
        <f t="shared" ref="X40" si="68">X36+X38+X39</f>
        <v>21077</v>
      </c>
      <c r="Y40" s="60">
        <f t="shared" ref="Y40:Y41" si="69">+AA40-SUM(T40,V40,X40)</f>
        <v>-9355</v>
      </c>
      <c r="Z40" s="276">
        <f>+AB40-SUM(T40,V40,X40)</f>
        <v>-9355</v>
      </c>
      <c r="AA40" s="60">
        <f t="shared" si="67"/>
        <v>48888</v>
      </c>
      <c r="AB40" s="281">
        <f t="shared" ref="AB40" si="70">AB36+AB38+AB39</f>
        <v>48888</v>
      </c>
      <c r="AC40" s="60">
        <f>AC36+AC38-AC39</f>
        <v>23158</v>
      </c>
      <c r="AD40" s="60"/>
    </row>
    <row r="41" spans="1:30" x14ac:dyDescent="0.25">
      <c r="A41" s="66" t="s">
        <v>99</v>
      </c>
      <c r="B41" s="60">
        <v>0</v>
      </c>
      <c r="C41" s="60">
        <v>0</v>
      </c>
      <c r="D41" s="60">
        <v>0</v>
      </c>
      <c r="E41" s="60">
        <v>0</v>
      </c>
      <c r="F41" s="60">
        <v>0</v>
      </c>
      <c r="G41" s="60">
        <v>0</v>
      </c>
      <c r="H41" s="60">
        <v>0</v>
      </c>
      <c r="I41" s="60">
        <v>0</v>
      </c>
      <c r="J41" s="60">
        <v>0</v>
      </c>
      <c r="K41" s="60">
        <v>0</v>
      </c>
      <c r="L41" s="60">
        <v>0</v>
      </c>
      <c r="M41" s="60">
        <v>0</v>
      </c>
      <c r="N41" s="60">
        <v>0</v>
      </c>
      <c r="O41" s="60">
        <v>0</v>
      </c>
      <c r="P41" s="281">
        <f>O41</f>
        <v>0</v>
      </c>
      <c r="Q41" s="60">
        <v>0</v>
      </c>
      <c r="R41" s="281">
        <v>0</v>
      </c>
      <c r="S41" s="60">
        <v>0</v>
      </c>
      <c r="T41" s="281">
        <v>0</v>
      </c>
      <c r="U41" s="60">
        <v>0</v>
      </c>
      <c r="V41" s="281">
        <v>0</v>
      </c>
      <c r="W41" s="60">
        <v>0</v>
      </c>
      <c r="X41" s="281">
        <v>0</v>
      </c>
      <c r="Y41" s="28">
        <f t="shared" si="69"/>
        <v>0</v>
      </c>
      <c r="Z41" s="281">
        <f>+AB41-SUM(T41,V41,X41)</f>
        <v>0</v>
      </c>
      <c r="AA41" s="24">
        <v>0</v>
      </c>
      <c r="AB41" s="281">
        <v>0</v>
      </c>
    </row>
    <row r="42" spans="1:30" ht="6" customHeight="1" x14ac:dyDescent="0.25">
      <c r="A42" s="66"/>
      <c r="B42" s="28"/>
      <c r="C42" s="28"/>
      <c r="D42" s="28"/>
      <c r="E42" s="28"/>
      <c r="F42" s="28"/>
      <c r="G42" s="28"/>
      <c r="H42" s="28"/>
      <c r="I42" s="28"/>
      <c r="J42" s="28"/>
      <c r="K42" s="28"/>
      <c r="L42" s="28"/>
      <c r="M42" s="28"/>
      <c r="N42" s="28"/>
      <c r="O42" s="28"/>
      <c r="P42" s="276"/>
      <c r="Q42" s="28"/>
      <c r="R42" s="276"/>
      <c r="S42" s="28"/>
      <c r="T42" s="276"/>
      <c r="V42" s="273"/>
      <c r="X42" s="273"/>
      <c r="Z42" s="273"/>
      <c r="AB42" s="273"/>
    </row>
    <row r="43" spans="1:30" x14ac:dyDescent="0.25">
      <c r="A43" s="67" t="s">
        <v>100</v>
      </c>
      <c r="B43" s="43">
        <f t="shared" ref="B43:G43" si="71">B40+B41</f>
        <v>11147</v>
      </c>
      <c r="C43" s="43">
        <f t="shared" si="71"/>
        <v>7762</v>
      </c>
      <c r="D43" s="43">
        <f t="shared" si="71"/>
        <v>6075</v>
      </c>
      <c r="E43" s="43">
        <f t="shared" si="71"/>
        <v>7461</v>
      </c>
      <c r="F43" s="43">
        <f t="shared" si="71"/>
        <v>32445</v>
      </c>
      <c r="G43" s="43">
        <f t="shared" si="71"/>
        <v>9567</v>
      </c>
      <c r="H43" s="43">
        <f t="shared" ref="H43" si="72">H40+H41</f>
        <v>12074</v>
      </c>
      <c r="I43" s="43">
        <f>I40+I41</f>
        <v>15162</v>
      </c>
      <c r="J43" s="43">
        <f>J40+J41</f>
        <v>14762</v>
      </c>
      <c r="K43" s="43">
        <f t="shared" ref="K43:M43" si="73">K40+K41</f>
        <v>51565</v>
      </c>
      <c r="L43" s="43">
        <f t="shared" si="73"/>
        <v>13820</v>
      </c>
      <c r="M43" s="43">
        <f t="shared" si="73"/>
        <v>16375</v>
      </c>
      <c r="N43" s="43">
        <f t="shared" ref="N43:AA43" si="74">N40+N41</f>
        <v>16050</v>
      </c>
      <c r="O43" s="43">
        <f t="shared" si="74"/>
        <v>15488</v>
      </c>
      <c r="P43" s="279">
        <f>P40+P41</f>
        <v>15488.093070032821</v>
      </c>
      <c r="Q43" s="43">
        <f t="shared" si="74"/>
        <v>61733</v>
      </c>
      <c r="R43" s="279">
        <f t="shared" si="74"/>
        <v>61733.103829148327</v>
      </c>
      <c r="S43" s="43">
        <f t="shared" si="74"/>
        <v>16787.93548</v>
      </c>
      <c r="T43" s="279">
        <f t="shared" si="74"/>
        <v>16788</v>
      </c>
      <c r="U43" s="43">
        <f t="shared" si="74"/>
        <v>20378</v>
      </c>
      <c r="V43" s="279">
        <f t="shared" si="74"/>
        <v>20378</v>
      </c>
      <c r="W43" s="43">
        <f t="shared" si="74"/>
        <v>21077</v>
      </c>
      <c r="X43" s="279">
        <f t="shared" si="74"/>
        <v>21077</v>
      </c>
      <c r="Y43" s="43">
        <f t="shared" si="74"/>
        <v>-9355</v>
      </c>
      <c r="Z43" s="274">
        <f t="shared" ref="Z43" si="75">Z40+Z41</f>
        <v>-9355</v>
      </c>
      <c r="AA43" s="43">
        <f t="shared" si="74"/>
        <v>48888</v>
      </c>
      <c r="AB43" s="279">
        <f t="shared" ref="AB43" si="76">AB40+AB41</f>
        <v>48888</v>
      </c>
      <c r="AC43" s="43">
        <f>AC40+AC41</f>
        <v>23158</v>
      </c>
      <c r="AD43" s="365"/>
    </row>
    <row r="44" spans="1:30" s="27" customFormat="1" x14ac:dyDescent="0.25">
      <c r="A44" s="62" t="s">
        <v>138</v>
      </c>
      <c r="B44" s="35">
        <f t="shared" ref="B44:H44" si="77">B43/B8</f>
        <v>9.1521137630647717E-2</v>
      </c>
      <c r="C44" s="35">
        <f t="shared" si="77"/>
        <v>6.4824867627653715E-2</v>
      </c>
      <c r="D44" s="35">
        <f t="shared" si="77"/>
        <v>4.9609250594086086E-2</v>
      </c>
      <c r="E44" s="35">
        <f t="shared" si="77"/>
        <v>5.5149830728974177E-2</v>
      </c>
      <c r="F44" s="35">
        <f t="shared" si="77"/>
        <v>6.498383666013724E-2</v>
      </c>
      <c r="G44" s="35">
        <f t="shared" si="77"/>
        <v>6.6664343948156929E-2</v>
      </c>
      <c r="H44" s="35">
        <f t="shared" si="77"/>
        <v>7.7585929919483876E-2</v>
      </c>
      <c r="I44" s="35">
        <f t="shared" ref="I44:N44" si="78">I43/I8</f>
        <v>9.27322434450744E-2</v>
      </c>
      <c r="J44" s="35">
        <f t="shared" si="78"/>
        <v>8.90038466640138E-2</v>
      </c>
      <c r="K44" s="35">
        <f t="shared" si="78"/>
        <v>8.2045594852440451E-2</v>
      </c>
      <c r="L44" s="35">
        <f t="shared" si="78"/>
        <v>8.2736655571254106E-2</v>
      </c>
      <c r="M44" s="35">
        <f t="shared" si="78"/>
        <v>9.6053449711986302E-2</v>
      </c>
      <c r="N44" s="35">
        <f t="shared" si="78"/>
        <v>9.375E-2</v>
      </c>
      <c r="O44" s="35">
        <f t="shared" ref="O44:S44" si="79">O43/O8</f>
        <v>8.7367577873799881E-2</v>
      </c>
      <c r="P44" s="282">
        <f t="shared" si="79"/>
        <v>8.7368102880472157E-2</v>
      </c>
      <c r="Q44" s="35">
        <f t="shared" si="79"/>
        <v>8.9991370111430519E-2</v>
      </c>
      <c r="R44" s="282">
        <f t="shared" si="79"/>
        <v>8.9991521468521796E-2</v>
      </c>
      <c r="S44" s="35">
        <f t="shared" si="79"/>
        <v>9.1720812531073628E-2</v>
      </c>
      <c r="T44" s="282">
        <f t="shared" ref="T44" si="80">T43/T8</f>
        <v>9.1721165035813221E-2</v>
      </c>
      <c r="U44" s="35">
        <f t="shared" ref="U44:AA44" si="81">U43/U8</f>
        <v>0.10778759844914497</v>
      </c>
      <c r="V44" s="282">
        <f t="shared" ref="V44" si="82">V43/V8</f>
        <v>0.10778759844914497</v>
      </c>
      <c r="W44" s="35">
        <f t="shared" si="81"/>
        <v>0.10957914164652058</v>
      </c>
      <c r="X44" s="282">
        <f t="shared" ref="X44" si="83">X43/X8</f>
        <v>0.10957914164652058</v>
      </c>
      <c r="Y44" s="35">
        <f t="shared" si="81"/>
        <v>-4.7277321541377135E-2</v>
      </c>
      <c r="Z44" s="282">
        <f t="shared" ref="Z44" si="84">Z43/Z8</f>
        <v>-4.7277321541377135E-2</v>
      </c>
      <c r="AA44" s="35">
        <f t="shared" si="81"/>
        <v>6.4131390116881584E-2</v>
      </c>
      <c r="AB44" s="282">
        <f t="shared" ref="AB44" si="85">AB43/AB8</f>
        <v>6.4131390116881584E-2</v>
      </c>
      <c r="AC44" s="35">
        <f t="shared" ref="AC44" si="86">AC43/AC8</f>
        <v>0.11188899035139849</v>
      </c>
      <c r="AD44" s="35"/>
    </row>
    <row r="45" spans="1:30" s="27" customFormat="1" x14ac:dyDescent="0.25">
      <c r="A45" s="62" t="s">
        <v>136</v>
      </c>
      <c r="B45" s="34">
        <v>-0.29711835550791366</v>
      </c>
      <c r="C45" s="34">
        <f>C43/B43-1</f>
        <v>-0.30366914864986094</v>
      </c>
      <c r="D45" s="34">
        <f>D43/C43-1</f>
        <v>-0.21734089152280345</v>
      </c>
      <c r="E45" s="34">
        <f>E43/D43-1</f>
        <v>0.22814814814814821</v>
      </c>
      <c r="F45" s="35" t="s">
        <v>85</v>
      </c>
      <c r="G45" s="34">
        <v>0.28226779252110967</v>
      </c>
      <c r="H45" s="34">
        <v>0.26204661858471834</v>
      </c>
      <c r="I45" s="34">
        <v>0.25575617028325337</v>
      </c>
      <c r="J45" s="34">
        <v>-2.6381743833267413E-2</v>
      </c>
      <c r="K45" s="35" t="s">
        <v>85</v>
      </c>
      <c r="L45" s="34">
        <f>L43/J43-1</f>
        <v>-6.3812491532312721E-2</v>
      </c>
      <c r="M45" s="34">
        <f>M43/L43-1</f>
        <v>0.18487698986975398</v>
      </c>
      <c r="N45" s="34">
        <f>N43/M43-1</f>
        <v>-1.984732824427482E-2</v>
      </c>
      <c r="O45" s="34">
        <f>O43/N43-1</f>
        <v>-3.5015576323987552E-2</v>
      </c>
      <c r="P45" s="275">
        <f>P43/N43-1</f>
        <v>-3.5009777568048572E-2</v>
      </c>
      <c r="Q45" s="35" t="s">
        <v>85</v>
      </c>
      <c r="R45" s="282" t="s">
        <v>85</v>
      </c>
      <c r="S45" s="34">
        <f>S43/O43-1</f>
        <v>8.3931784607438109E-2</v>
      </c>
      <c r="T45" s="275">
        <f>T43/O43-1</f>
        <v>8.3935950413223104E-2</v>
      </c>
      <c r="U45" s="34">
        <f t="shared" ref="U45:Z45" si="87">U43/S43-1</f>
        <v>0.21384788643469332</v>
      </c>
      <c r="V45" s="275">
        <f t="shared" si="87"/>
        <v>0.21384322134858236</v>
      </c>
      <c r="W45" s="34">
        <f t="shared" si="87"/>
        <v>3.430169790951032E-2</v>
      </c>
      <c r="X45" s="275">
        <f t="shared" si="87"/>
        <v>3.430169790951032E-2</v>
      </c>
      <c r="Y45" s="34">
        <f t="shared" si="87"/>
        <v>-1.4438487450775728</v>
      </c>
      <c r="Z45" s="275">
        <f t="shared" si="87"/>
        <v>-1.4438487450775728</v>
      </c>
      <c r="AA45" s="35" t="s">
        <v>85</v>
      </c>
      <c r="AB45" s="275" t="s">
        <v>85</v>
      </c>
      <c r="AC45" s="35">
        <f>AC43/Z43-1</f>
        <v>-3.4754676643506146</v>
      </c>
      <c r="AD45" s="35"/>
    </row>
    <row r="46" spans="1:30" s="27" customFormat="1" ht="13.8" thickBot="1" x14ac:dyDescent="0.3">
      <c r="A46" s="118" t="s">
        <v>137</v>
      </c>
      <c r="B46" s="83">
        <v>0.14187666461790616</v>
      </c>
      <c r="C46" s="83">
        <v>-0.15959289735816373</v>
      </c>
      <c r="D46" s="83">
        <v>-0.54116314199395776</v>
      </c>
      <c r="E46" s="83">
        <v>-0.52954158521974914</v>
      </c>
      <c r="F46" s="83">
        <v>-0.32542570222675016</v>
      </c>
      <c r="G46" s="83">
        <v>-0.14174217278191437</v>
      </c>
      <c r="H46" s="83">
        <v>0.5555269260499871</v>
      </c>
      <c r="I46" s="83">
        <v>1.4958024691358025</v>
      </c>
      <c r="J46" s="83">
        <v>0.97855515346468303</v>
      </c>
      <c r="K46" s="83">
        <f t="shared" ref="K46:O46" si="88">K43/F43-1</f>
        <v>0.5893049776544923</v>
      </c>
      <c r="L46" s="83">
        <f t="shared" si="88"/>
        <v>0.4445489704191492</v>
      </c>
      <c r="M46" s="83">
        <f t="shared" si="88"/>
        <v>0.35621997680967366</v>
      </c>
      <c r="N46" s="83">
        <f t="shared" si="88"/>
        <v>5.8567471309853625E-2</v>
      </c>
      <c r="O46" s="83">
        <f t="shared" si="88"/>
        <v>4.9180327868852514E-2</v>
      </c>
      <c r="P46" s="283">
        <f>P43/J43-1</f>
        <v>4.9186632572335798E-2</v>
      </c>
      <c r="Q46" s="83">
        <f>Q43/K43-1</f>
        <v>0.19718801512653927</v>
      </c>
      <c r="R46" s="283">
        <f>R43/K43-1</f>
        <v>0.19719002868512225</v>
      </c>
      <c r="S46" s="83">
        <f>S43/L43-1</f>
        <v>0.21475654703328506</v>
      </c>
      <c r="T46" s="283">
        <f>T43/L43-1</f>
        <v>0.21476121562952244</v>
      </c>
      <c r="U46" s="83">
        <f>U43/M43-1</f>
        <v>0.24445801526717559</v>
      </c>
      <c r="V46" s="283">
        <f>V43/M43-1</f>
        <v>0.24445801526717559</v>
      </c>
      <c r="W46" s="83">
        <f>W43/N43-1</f>
        <v>0.31320872274143308</v>
      </c>
      <c r="X46" s="283">
        <f>X43/N43-1</f>
        <v>0.31320872274143308</v>
      </c>
      <c r="Y46" s="83">
        <f>Y43/O43-1</f>
        <v>-1.6040160123966942</v>
      </c>
      <c r="Z46" s="283">
        <f>Z43/P43-1</f>
        <v>-1.6040123827832975</v>
      </c>
      <c r="AA46" s="83">
        <f>AA43/Q43-1</f>
        <v>-0.20807347771856222</v>
      </c>
      <c r="AB46" s="283">
        <f>AB43/R43-1</f>
        <v>-0.20807480966287162</v>
      </c>
      <c r="AC46" s="83">
        <f>AC43/T43-1</f>
        <v>0.37943769359066004</v>
      </c>
      <c r="AD46" s="114"/>
    </row>
    <row r="47" spans="1:30" s="27" customFormat="1" x14ac:dyDescent="0.25">
      <c r="A47" s="63" t="s">
        <v>153</v>
      </c>
      <c r="B47" s="34"/>
      <c r="C47" s="34"/>
      <c r="D47" s="34"/>
      <c r="E47" s="34"/>
      <c r="F47" s="34"/>
      <c r="G47" s="34"/>
      <c r="H47" s="34"/>
      <c r="I47" s="34"/>
      <c r="J47" s="34"/>
      <c r="K47" s="34"/>
      <c r="L47" s="34"/>
      <c r="M47" s="34"/>
      <c r="N47" s="34"/>
      <c r="O47" s="34"/>
      <c r="P47" s="275"/>
      <c r="Q47" s="34"/>
      <c r="R47" s="275"/>
      <c r="S47" s="34"/>
      <c r="T47" s="275"/>
      <c r="V47" s="297"/>
      <c r="X47" s="297"/>
      <c r="Z47" s="297"/>
      <c r="AB47" s="297"/>
    </row>
    <row r="48" spans="1:30" s="27" customFormat="1" x14ac:dyDescent="0.25">
      <c r="A48" s="94" t="s">
        <v>104</v>
      </c>
      <c r="B48" s="34"/>
      <c r="C48" s="34"/>
      <c r="D48" s="34"/>
      <c r="E48" s="34"/>
      <c r="F48" s="34"/>
      <c r="G48" s="34"/>
      <c r="H48" s="34"/>
      <c r="I48" s="34"/>
      <c r="J48" s="34"/>
      <c r="K48" s="34"/>
      <c r="L48" s="34"/>
      <c r="M48" s="34"/>
      <c r="N48" s="34"/>
      <c r="O48" s="34"/>
      <c r="P48" s="275"/>
      <c r="Q48" s="34"/>
      <c r="R48" s="275"/>
      <c r="S48" s="34"/>
      <c r="T48" s="275"/>
      <c r="V48" s="297"/>
      <c r="X48" s="297"/>
      <c r="Z48" s="297"/>
      <c r="AB48" s="297"/>
    </row>
    <row r="49" spans="1:30" x14ac:dyDescent="0.25">
      <c r="A49" s="95" t="s">
        <v>102</v>
      </c>
      <c r="B49" s="32">
        <f>B40/B57</f>
        <v>0.34273689183817058</v>
      </c>
      <c r="C49" s="32">
        <f>C40/C57</f>
        <v>0.23655867986079374</v>
      </c>
      <c r="D49" s="32">
        <f>D40/D57</f>
        <v>0.18470392914247283</v>
      </c>
      <c r="E49" s="32">
        <v>0.22581134155108998</v>
      </c>
      <c r="F49" s="32">
        <f>SUM(B49:E49)</f>
        <v>0.98981084239252703</v>
      </c>
      <c r="G49" s="32">
        <f t="shared" ref="G49:L49" si="89">G40/G57</f>
        <v>0.28784827914663724</v>
      </c>
      <c r="H49" s="32">
        <f t="shared" si="89"/>
        <v>0.36131224625933367</v>
      </c>
      <c r="I49" s="32">
        <f t="shared" si="89"/>
        <v>0.45521535887243075</v>
      </c>
      <c r="J49" s="32">
        <f t="shared" si="89"/>
        <v>0.44421419513388732</v>
      </c>
      <c r="K49" s="32">
        <f t="shared" si="89"/>
        <v>1.5485866490016549</v>
      </c>
      <c r="L49" s="32">
        <f t="shared" si="89"/>
        <v>0.41402002461184167</v>
      </c>
      <c r="M49" s="32">
        <f t="shared" ref="M49:N49" si="90">M40/M57</f>
        <v>0.48704035245407334</v>
      </c>
      <c r="N49" s="32">
        <f t="shared" si="90"/>
        <v>0.47733193026925808</v>
      </c>
      <c r="O49" s="32">
        <f t="shared" ref="O49:S49" si="91">O40/O57</f>
        <v>0.46042932701085321</v>
      </c>
      <c r="P49" s="284">
        <f t="shared" si="91"/>
        <v>0.46043209380918587</v>
      </c>
      <c r="Q49" s="32">
        <f t="shared" si="91"/>
        <v>1.8391325874492377</v>
      </c>
      <c r="R49" s="284">
        <f t="shared" si="91"/>
        <v>1.8391356806987189</v>
      </c>
      <c r="S49" s="32">
        <f t="shared" si="91"/>
        <v>0.49602560028571968</v>
      </c>
      <c r="T49" s="284">
        <f t="shared" ref="T49" si="92">T40/T57</f>
        <v>0.49602750662922263</v>
      </c>
      <c r="U49" s="32">
        <f t="shared" ref="U49:AA49" si="93">U40/U57</f>
        <v>0.60255499452548877</v>
      </c>
      <c r="V49" s="284">
        <f t="shared" ref="V49" si="94">V40/V57</f>
        <v>0.60255499452548877</v>
      </c>
      <c r="W49" s="32">
        <f t="shared" si="93"/>
        <v>0.6228727188115103</v>
      </c>
      <c r="X49" s="284">
        <f t="shared" ref="X49" si="95">X40/X57</f>
        <v>0.6228727188115103</v>
      </c>
      <c r="Y49" s="32">
        <f t="shared" si="93"/>
        <v>-0.2744471334388337</v>
      </c>
      <c r="Z49" s="284">
        <f t="shared" ref="Z49" si="96">Z40/Z57</f>
        <v>-0.2744471334388337</v>
      </c>
      <c r="AA49" s="32">
        <f t="shared" si="93"/>
        <v>1.4422125448102174</v>
      </c>
      <c r="AB49" s="284">
        <f t="shared" ref="AB49" si="97">AB40/AB57</f>
        <v>1.4422125448102174</v>
      </c>
      <c r="AC49" s="32">
        <f t="shared" ref="AC49" si="98">AC40/AC57</f>
        <v>0.67229349829364671</v>
      </c>
      <c r="AD49" s="32"/>
    </row>
    <row r="50" spans="1:30" x14ac:dyDescent="0.25">
      <c r="A50" s="95" t="s">
        <v>103</v>
      </c>
      <c r="B50" s="82">
        <f>B41/B57</f>
        <v>0</v>
      </c>
      <c r="C50" s="82">
        <f>C41/C57</f>
        <v>0</v>
      </c>
      <c r="D50" s="82">
        <f>D41/D57</f>
        <v>0</v>
      </c>
      <c r="E50" s="82">
        <f>E41/E57</f>
        <v>0</v>
      </c>
      <c r="F50" s="82">
        <f>SUM(B50:E50)</f>
        <v>0</v>
      </c>
      <c r="G50" s="82">
        <f>G41/G57</f>
        <v>0</v>
      </c>
      <c r="H50" s="82">
        <f>H41/H57</f>
        <v>0</v>
      </c>
      <c r="I50" s="82">
        <f>I41/I57</f>
        <v>0</v>
      </c>
      <c r="J50" s="82">
        <f>J41/J57</f>
        <v>0</v>
      </c>
      <c r="K50" s="82">
        <f>SUM(G50:J50)</f>
        <v>0</v>
      </c>
      <c r="L50" s="82">
        <f>L41/L57</f>
        <v>0</v>
      </c>
      <c r="M50" s="82">
        <f>M41/M57</f>
        <v>0</v>
      </c>
      <c r="N50" s="82">
        <f>N41/N57</f>
        <v>0</v>
      </c>
      <c r="O50" s="82">
        <f>O41/O57</f>
        <v>0</v>
      </c>
      <c r="P50" s="285">
        <f>O50</f>
        <v>0</v>
      </c>
      <c r="Q50" s="82">
        <f>SUM(L50:O50)</f>
        <v>0</v>
      </c>
      <c r="R50" s="285">
        <f>Q50</f>
        <v>0</v>
      </c>
      <c r="S50" s="82">
        <f t="shared" ref="S50:AA50" si="99">S41/S57</f>
        <v>0</v>
      </c>
      <c r="T50" s="285">
        <f t="shared" si="99"/>
        <v>0</v>
      </c>
      <c r="U50" s="82">
        <f t="shared" si="99"/>
        <v>0</v>
      </c>
      <c r="V50" s="285">
        <f t="shared" si="99"/>
        <v>0</v>
      </c>
      <c r="W50" s="82">
        <f t="shared" si="99"/>
        <v>0</v>
      </c>
      <c r="X50" s="285">
        <f t="shared" si="99"/>
        <v>0</v>
      </c>
      <c r="Y50" s="82">
        <f t="shared" si="99"/>
        <v>0</v>
      </c>
      <c r="Z50" s="285">
        <f t="shared" ref="Z50" si="100">Z41/Z57</f>
        <v>0</v>
      </c>
      <c r="AA50" s="82">
        <f t="shared" si="99"/>
        <v>0</v>
      </c>
      <c r="AB50" s="285">
        <f t="shared" ref="AB50" si="101">AB41/AB57</f>
        <v>0</v>
      </c>
      <c r="AC50" s="82">
        <f t="shared" ref="AC50" si="102">AC41/AC57</f>
        <v>0</v>
      </c>
      <c r="AD50" s="82"/>
    </row>
    <row r="51" spans="1:30" x14ac:dyDescent="0.25">
      <c r="A51" s="99" t="s">
        <v>105</v>
      </c>
      <c r="B51" s="98">
        <f t="shared" ref="B51:H51" si="103">SUM(B49:B50)</f>
        <v>0.34273689183817058</v>
      </c>
      <c r="C51" s="98">
        <f t="shared" si="103"/>
        <v>0.23655867986079374</v>
      </c>
      <c r="D51" s="160">
        <f t="shared" si="103"/>
        <v>0.18470392914247283</v>
      </c>
      <c r="E51" s="160">
        <f t="shared" si="103"/>
        <v>0.22581134155108998</v>
      </c>
      <c r="F51" s="160">
        <f t="shared" si="103"/>
        <v>0.98981084239252703</v>
      </c>
      <c r="G51" s="98">
        <f t="shared" si="103"/>
        <v>0.28784827914663724</v>
      </c>
      <c r="H51" s="98">
        <f t="shared" si="103"/>
        <v>0.36131224625933367</v>
      </c>
      <c r="I51" s="98">
        <f t="shared" ref="I51:K51" si="104">SUM(I49:I50)</f>
        <v>0.45521535887243075</v>
      </c>
      <c r="J51" s="160">
        <f t="shared" si="104"/>
        <v>0.44421419513388732</v>
      </c>
      <c r="K51" s="160">
        <f t="shared" si="104"/>
        <v>1.5485866490016549</v>
      </c>
      <c r="L51" s="160">
        <f>SUM(L49:L50)</f>
        <v>0.41402002461184167</v>
      </c>
      <c r="M51" s="98">
        <f t="shared" ref="M51:N51" si="105">SUM(M49:M50)</f>
        <v>0.48704035245407334</v>
      </c>
      <c r="N51" s="98">
        <f t="shared" si="105"/>
        <v>0.47733193026925808</v>
      </c>
      <c r="O51" s="98">
        <f t="shared" ref="O51:R51" si="106">SUM(O49:O50)</f>
        <v>0.46042932701085321</v>
      </c>
      <c r="P51" s="286">
        <f t="shared" si="106"/>
        <v>0.46043209380918587</v>
      </c>
      <c r="Q51" s="160">
        <f t="shared" si="106"/>
        <v>1.8391325874492377</v>
      </c>
      <c r="R51" s="286">
        <f t="shared" si="106"/>
        <v>1.8391356806987189</v>
      </c>
      <c r="S51" s="160">
        <f t="shared" ref="S51:AA51" si="107">SUM(S49:S50)</f>
        <v>0.49602560028571968</v>
      </c>
      <c r="T51" s="286">
        <f t="shared" si="107"/>
        <v>0.49602750662922263</v>
      </c>
      <c r="U51" s="160">
        <f t="shared" si="107"/>
        <v>0.60255499452548877</v>
      </c>
      <c r="V51" s="286">
        <f t="shared" si="107"/>
        <v>0.60255499452548877</v>
      </c>
      <c r="W51" s="160">
        <f t="shared" si="107"/>
        <v>0.6228727188115103</v>
      </c>
      <c r="X51" s="286">
        <f t="shared" si="107"/>
        <v>0.6228727188115103</v>
      </c>
      <c r="Y51" s="160">
        <f t="shared" si="107"/>
        <v>-0.2744471334388337</v>
      </c>
      <c r="Z51" s="286">
        <f t="shared" ref="Z51" si="108">SUM(Z49:Z50)</f>
        <v>-0.2744471334388337</v>
      </c>
      <c r="AA51" s="160">
        <f t="shared" si="107"/>
        <v>1.4422125448102174</v>
      </c>
      <c r="AB51" s="286">
        <f t="shared" ref="AB51" si="109">SUM(AB49:AB50)</f>
        <v>1.4422125448102174</v>
      </c>
      <c r="AC51" s="160">
        <f t="shared" ref="AC51" si="110">SUM(AC49:AC50)</f>
        <v>0.67229349829364671</v>
      </c>
      <c r="AD51" s="160"/>
    </row>
    <row r="52" spans="1:30" x14ac:dyDescent="0.25">
      <c r="A52" s="94" t="s">
        <v>101</v>
      </c>
      <c r="B52" s="82"/>
      <c r="C52" s="82"/>
      <c r="D52" s="82"/>
      <c r="E52" s="82"/>
      <c r="F52" s="82"/>
      <c r="G52" s="82"/>
      <c r="H52" s="82"/>
      <c r="I52" s="82"/>
      <c r="J52" s="82"/>
      <c r="K52" s="82"/>
      <c r="L52" s="82"/>
      <c r="M52" s="82"/>
      <c r="N52" s="82"/>
      <c r="O52" s="82"/>
      <c r="P52" s="285"/>
      <c r="Q52" s="82"/>
      <c r="R52" s="285"/>
      <c r="S52" s="82"/>
      <c r="T52" s="285"/>
      <c r="V52" s="273"/>
      <c r="X52" s="273"/>
      <c r="Z52" s="273"/>
      <c r="AB52" s="273"/>
    </row>
    <row r="53" spans="1:30" x14ac:dyDescent="0.25">
      <c r="A53" s="95" t="s">
        <v>102</v>
      </c>
      <c r="B53" s="32">
        <f>B40/B58</f>
        <v>0.33345753532761802</v>
      </c>
      <c r="C53" s="32">
        <f>C40/C58</f>
        <v>0.23050651117871052</v>
      </c>
      <c r="D53" s="32">
        <f>D40/D58</f>
        <v>0.18039197066294768</v>
      </c>
      <c r="E53" s="32">
        <v>0.22063376148273953</v>
      </c>
      <c r="F53" s="169">
        <f t="shared" ref="F53:F54" si="111">SUM(B53:E53)</f>
        <v>0.96498977865201563</v>
      </c>
      <c r="G53" s="32">
        <f t="shared" ref="G53:L53" si="112">G40/G58</f>
        <v>0.28095289990702743</v>
      </c>
      <c r="H53" s="32">
        <f t="shared" si="112"/>
        <v>0.35295864612374794</v>
      </c>
      <c r="I53" s="32">
        <f t="shared" si="112"/>
        <v>0.44358450640139618</v>
      </c>
      <c r="J53" s="32">
        <f t="shared" si="112"/>
        <v>0.43072143822996489</v>
      </c>
      <c r="K53" s="32">
        <f t="shared" si="112"/>
        <v>1.5087040357408652</v>
      </c>
      <c r="L53" s="32">
        <f t="shared" si="112"/>
        <v>0.40230955962730514</v>
      </c>
      <c r="M53" s="32">
        <f t="shared" ref="M53:N53" si="113">M40/M58</f>
        <v>0.47449464559162169</v>
      </c>
      <c r="N53" s="32">
        <f t="shared" si="113"/>
        <v>0.46286303406532886</v>
      </c>
      <c r="O53" s="32">
        <f t="shared" ref="O53:S53" si="114">O40/O58</f>
        <v>0.44615608691317349</v>
      </c>
      <c r="P53" s="284">
        <f t="shared" si="114"/>
        <v>0.44615876794117271</v>
      </c>
      <c r="Q53" s="32">
        <f t="shared" si="114"/>
        <v>1.7860842509619095</v>
      </c>
      <c r="R53" s="284">
        <f t="shared" si="114"/>
        <v>1.7860872549890363</v>
      </c>
      <c r="S53" s="32">
        <f t="shared" si="114"/>
        <v>0.47816776051142845</v>
      </c>
      <c r="T53" s="284">
        <f t="shared" ref="T53" si="115">T40/T58</f>
        <v>0.47816959822303656</v>
      </c>
      <c r="U53" s="32">
        <f t="shared" ref="U53:AA53" si="116">U40/U58</f>
        <v>0.58234128152395892</v>
      </c>
      <c r="V53" s="284">
        <f t="shared" ref="V53" si="117">V40/V58</f>
        <v>0.58234128152395892</v>
      </c>
      <c r="W53" s="32">
        <f t="shared" si="116"/>
        <v>0.60144411941537002</v>
      </c>
      <c r="X53" s="284">
        <f t="shared" ref="X53" si="118">X40/X58</f>
        <v>0.60144411941537002</v>
      </c>
      <c r="Y53" s="32">
        <f t="shared" si="116"/>
        <v>-0.2744471334388337</v>
      </c>
      <c r="Z53" s="284">
        <f t="shared" ref="Z53" si="119">Z40/Z58</f>
        <v>-0.2744471334388337</v>
      </c>
      <c r="AA53" s="32">
        <f t="shared" si="116"/>
        <v>1.3924154699406848</v>
      </c>
      <c r="AB53" s="284">
        <f t="shared" ref="AB53" si="120">AB40/AB58</f>
        <v>1.3924154699406848</v>
      </c>
      <c r="AC53" s="32">
        <f t="shared" ref="AC53" si="121">AC40/AC58</f>
        <v>0.65597962049944525</v>
      </c>
      <c r="AD53" s="32"/>
    </row>
    <row r="54" spans="1:30" x14ac:dyDescent="0.25">
      <c r="A54" s="95" t="s">
        <v>103</v>
      </c>
      <c r="B54" s="82">
        <f>B41/B58</f>
        <v>0</v>
      </c>
      <c r="C54" s="82">
        <f>C41/C58</f>
        <v>0</v>
      </c>
      <c r="D54" s="82">
        <f>D41/D58</f>
        <v>0</v>
      </c>
      <c r="E54" s="82">
        <f>E41/E58</f>
        <v>0</v>
      </c>
      <c r="F54" s="82">
        <f t="shared" si="111"/>
        <v>0</v>
      </c>
      <c r="G54" s="82">
        <f>G41/G58</f>
        <v>0</v>
      </c>
      <c r="H54" s="82">
        <f>H41/H58</f>
        <v>0</v>
      </c>
      <c r="I54" s="82">
        <f>I41/I58</f>
        <v>0</v>
      </c>
      <c r="J54" s="82">
        <f>J41/J58</f>
        <v>0</v>
      </c>
      <c r="K54" s="82">
        <f t="shared" ref="K54" si="122">SUM(G54:J54)</f>
        <v>0</v>
      </c>
      <c r="L54" s="82">
        <f>L41/L58</f>
        <v>0</v>
      </c>
      <c r="M54" s="82">
        <f>M41/M58</f>
        <v>0</v>
      </c>
      <c r="N54" s="82">
        <f>N41/N58</f>
        <v>0</v>
      </c>
      <c r="O54" s="82">
        <f>O41/O58</f>
        <v>0</v>
      </c>
      <c r="P54" s="285">
        <f>O54</f>
        <v>0</v>
      </c>
      <c r="Q54" s="82">
        <f t="shared" ref="Q54" si="123">SUM(L54:O54)</f>
        <v>0</v>
      </c>
      <c r="R54" s="285">
        <f>Q54</f>
        <v>0</v>
      </c>
      <c r="S54" s="82">
        <f t="shared" ref="S54:AA54" si="124">S41/S58</f>
        <v>0</v>
      </c>
      <c r="T54" s="285">
        <f t="shared" si="124"/>
        <v>0</v>
      </c>
      <c r="U54" s="82">
        <f t="shared" si="124"/>
        <v>0</v>
      </c>
      <c r="V54" s="285">
        <f t="shared" si="124"/>
        <v>0</v>
      </c>
      <c r="W54" s="82">
        <f t="shared" si="124"/>
        <v>0</v>
      </c>
      <c r="X54" s="285">
        <f t="shared" si="124"/>
        <v>0</v>
      </c>
      <c r="Y54" s="82">
        <f t="shared" si="124"/>
        <v>0</v>
      </c>
      <c r="Z54" s="285">
        <f t="shared" ref="Z54" si="125">Z41/Z58</f>
        <v>0</v>
      </c>
      <c r="AA54" s="82">
        <f t="shared" si="124"/>
        <v>0</v>
      </c>
      <c r="AB54" s="285">
        <f t="shared" ref="AB54" si="126">AB41/AB58</f>
        <v>0</v>
      </c>
      <c r="AC54" s="82">
        <f t="shared" ref="AC54" si="127">AC41/AC58</f>
        <v>0</v>
      </c>
      <c r="AD54" s="82"/>
    </row>
    <row r="55" spans="1:30" x14ac:dyDescent="0.25">
      <c r="A55" s="99" t="s">
        <v>105</v>
      </c>
      <c r="B55" s="96">
        <f t="shared" ref="B55:G55" si="128">SUM(B53:B54)</f>
        <v>0.33345753532761802</v>
      </c>
      <c r="C55" s="96">
        <f t="shared" si="128"/>
        <v>0.23050651117871052</v>
      </c>
      <c r="D55" s="96">
        <f t="shared" si="128"/>
        <v>0.18039197066294768</v>
      </c>
      <c r="E55" s="96">
        <f t="shared" si="128"/>
        <v>0.22063376148273953</v>
      </c>
      <c r="F55" s="165">
        <f t="shared" si="128"/>
        <v>0.96498977865201563</v>
      </c>
      <c r="G55" s="96">
        <f t="shared" si="128"/>
        <v>0.28095289990702743</v>
      </c>
      <c r="H55" s="96">
        <f t="shared" ref="H55:L55" si="129">SUM(H53:H54)</f>
        <v>0.35295864612374794</v>
      </c>
      <c r="I55" s="96">
        <f t="shared" si="129"/>
        <v>0.44358450640139618</v>
      </c>
      <c r="J55" s="96">
        <f t="shared" si="129"/>
        <v>0.43072143822996489</v>
      </c>
      <c r="K55" s="165">
        <f t="shared" si="129"/>
        <v>1.5087040357408652</v>
      </c>
      <c r="L55" s="96">
        <f t="shared" si="129"/>
        <v>0.40230955962730514</v>
      </c>
      <c r="M55" s="96">
        <f t="shared" ref="M55:N55" si="130">SUM(M53:M54)</f>
        <v>0.47449464559162169</v>
      </c>
      <c r="N55" s="96">
        <f t="shared" si="130"/>
        <v>0.46286303406532886</v>
      </c>
      <c r="O55" s="96">
        <f t="shared" ref="O55:S55" si="131">SUM(O53:O54)</f>
        <v>0.44615608691317349</v>
      </c>
      <c r="P55" s="287">
        <f t="shared" si="131"/>
        <v>0.44615876794117271</v>
      </c>
      <c r="Q55" s="165">
        <f t="shared" si="131"/>
        <v>1.7860842509619095</v>
      </c>
      <c r="R55" s="286">
        <f t="shared" si="131"/>
        <v>1.7860872549890363</v>
      </c>
      <c r="S55" s="160">
        <f t="shared" si="131"/>
        <v>0.47816776051142845</v>
      </c>
      <c r="T55" s="286">
        <f t="shared" ref="T55" si="132">SUM(T53:T54)</f>
        <v>0.47816959822303656</v>
      </c>
      <c r="U55" s="160">
        <f t="shared" ref="U55:AA55" si="133">SUM(U53:U54)</f>
        <v>0.58234128152395892</v>
      </c>
      <c r="V55" s="286">
        <f t="shared" ref="V55" si="134">SUM(V53:V54)</f>
        <v>0.58234128152395892</v>
      </c>
      <c r="W55" s="160">
        <f t="shared" si="133"/>
        <v>0.60144411941537002</v>
      </c>
      <c r="X55" s="286">
        <f t="shared" ref="X55" si="135">SUM(X53:X54)</f>
        <v>0.60144411941537002</v>
      </c>
      <c r="Y55" s="160">
        <f t="shared" si="133"/>
        <v>-0.2744471334388337</v>
      </c>
      <c r="Z55" s="286">
        <f t="shared" ref="Z55" si="136">SUM(Z53:Z54)</f>
        <v>-0.2744471334388337</v>
      </c>
      <c r="AA55" s="160">
        <f t="shared" si="133"/>
        <v>1.3924154699406848</v>
      </c>
      <c r="AB55" s="286">
        <f t="shared" ref="AB55" si="137">SUM(AB53:AB54)</f>
        <v>1.3924154699406848</v>
      </c>
      <c r="AC55" s="160">
        <f t="shared" ref="AC55" si="138">SUM(AC53:AC54)</f>
        <v>0.65597962049944525</v>
      </c>
      <c r="AD55" s="160"/>
    </row>
    <row r="56" spans="1:30" x14ac:dyDescent="0.25">
      <c r="A56" s="66" t="s">
        <v>106</v>
      </c>
      <c r="B56" s="33"/>
      <c r="C56" s="33"/>
      <c r="D56" s="33"/>
      <c r="E56" s="33"/>
      <c r="F56" s="33"/>
      <c r="G56" s="33"/>
      <c r="H56" s="33"/>
      <c r="I56" s="33"/>
      <c r="J56" s="33"/>
      <c r="K56" s="33"/>
      <c r="L56" s="33"/>
      <c r="M56" s="33"/>
      <c r="N56" s="33"/>
      <c r="O56" s="33"/>
      <c r="P56" s="288"/>
      <c r="Q56" s="33"/>
      <c r="R56" s="288"/>
      <c r="S56" s="33"/>
      <c r="T56" s="288"/>
      <c r="V56" s="273"/>
      <c r="X56" s="273"/>
      <c r="Z56" s="273"/>
      <c r="AB56" s="273"/>
    </row>
    <row r="57" spans="1:30" x14ac:dyDescent="0.25">
      <c r="A57" s="63" t="s">
        <v>104</v>
      </c>
      <c r="B57" s="30">
        <v>32523.490366666618</v>
      </c>
      <c r="C57" s="30">
        <v>32812.154703296692</v>
      </c>
      <c r="D57" s="30">
        <v>32890.47519565218</v>
      </c>
      <c r="E57" s="30">
        <v>32986.276315217394</v>
      </c>
      <c r="F57" s="28">
        <v>32804.606438356059</v>
      </c>
      <c r="G57" s="30">
        <v>33236.259144444375</v>
      </c>
      <c r="H57" s="30">
        <v>33417.079340659344</v>
      </c>
      <c r="I57" s="30">
        <v>33307.312032608701</v>
      </c>
      <c r="J57" s="30">
        <v>33231.716054347824</v>
      </c>
      <c r="K57" s="28">
        <v>33298.104457534231</v>
      </c>
      <c r="L57" s="30">
        <v>33380.027965934103</v>
      </c>
      <c r="M57" s="30">
        <v>33621.444131868149</v>
      </c>
      <c r="N57" s="30">
        <v>33624.400510869571</v>
      </c>
      <c r="O57" s="30">
        <v>33638.170054347815</v>
      </c>
      <c r="P57" s="276">
        <f>O57</f>
        <v>33638.170054347815</v>
      </c>
      <c r="Q57" s="28">
        <v>33566.367330601119</v>
      </c>
      <c r="R57" s="276">
        <f>Q57</f>
        <v>33566.367330601119</v>
      </c>
      <c r="S57" s="30">
        <v>33844.897259999983</v>
      </c>
      <c r="T57" s="276">
        <v>33844.897259999983</v>
      </c>
      <c r="U57" s="30">
        <v>33819.319705494512</v>
      </c>
      <c r="V57" s="276">
        <v>33819.319705494512</v>
      </c>
      <c r="W57" s="30">
        <v>33838.373978260854</v>
      </c>
      <c r="X57" s="276">
        <v>33838.373978260854</v>
      </c>
      <c r="Y57" s="28">
        <v>34086.710554347832</v>
      </c>
      <c r="Z57" s="276">
        <v>34086.710554347832</v>
      </c>
      <c r="AA57" s="28">
        <v>33897.916209315204</v>
      </c>
      <c r="AB57" s="276">
        <v>33897.916209315204</v>
      </c>
      <c r="AC57" s="28">
        <v>34446.264999999999</v>
      </c>
      <c r="AD57" s="28"/>
    </row>
    <row r="58" spans="1:30" ht="13.8" thickBot="1" x14ac:dyDescent="0.3">
      <c r="A58" s="97" t="s">
        <v>101</v>
      </c>
      <c r="B58" s="80">
        <v>33428.544324386632</v>
      </c>
      <c r="C58" s="80">
        <v>33673.669174499635</v>
      </c>
      <c r="D58" s="80">
        <v>33676.665195652182</v>
      </c>
      <c r="E58" s="80">
        <f>33761462.1843862/1000</f>
        <v>33761.462184386204</v>
      </c>
      <c r="F58" s="79">
        <v>33636.592628804719</v>
      </c>
      <c r="G58" s="80">
        <v>34051.970999999998</v>
      </c>
      <c r="H58" s="80">
        <v>34207.973462610214</v>
      </c>
      <c r="I58" s="80">
        <v>34180.634763379276</v>
      </c>
      <c r="J58" s="80">
        <v>34272.731026957787</v>
      </c>
      <c r="K58" s="79">
        <v>34178.340336100751</v>
      </c>
      <c r="L58" s="80">
        <v>34351.656999656399</v>
      </c>
      <c r="M58" s="80">
        <v>34510.399963698008</v>
      </c>
      <c r="N58" s="80">
        <v>34675.484579169679</v>
      </c>
      <c r="O58" s="80">
        <v>34714.308409769881</v>
      </c>
      <c r="P58" s="289">
        <f>O58</f>
        <v>34714.308409769881</v>
      </c>
      <c r="Q58" s="79">
        <v>34563.319152919699</v>
      </c>
      <c r="R58" s="289">
        <f>Q58</f>
        <v>34563.319152919699</v>
      </c>
      <c r="S58" s="80">
        <v>35108.881999999998</v>
      </c>
      <c r="T58" s="289">
        <v>35108.881999999998</v>
      </c>
      <c r="U58" s="80">
        <v>34993.225873789612</v>
      </c>
      <c r="V58" s="289">
        <v>34993.225873789612</v>
      </c>
      <c r="W58" s="80">
        <v>35043.987162910104</v>
      </c>
      <c r="X58" s="289">
        <v>35043.987162910104</v>
      </c>
      <c r="Y58" s="80">
        <v>34086.710554347832</v>
      </c>
      <c r="Z58" s="289">
        <v>34086.710554347832</v>
      </c>
      <c r="AA58" s="80">
        <v>35110.210318248312</v>
      </c>
      <c r="AB58" s="289">
        <v>35110.210318248312</v>
      </c>
      <c r="AC58" s="80">
        <v>35302.925999999999</v>
      </c>
      <c r="AD58" s="366"/>
    </row>
    <row r="59" spans="1:30" ht="6" customHeight="1" x14ac:dyDescent="0.25">
      <c r="A59" s="66"/>
      <c r="B59" s="28"/>
      <c r="C59" s="28"/>
      <c r="D59" s="28"/>
      <c r="E59" s="28"/>
      <c r="F59" s="28"/>
      <c r="G59" s="28"/>
      <c r="H59" s="28"/>
      <c r="I59" s="28"/>
      <c r="J59" s="28"/>
      <c r="K59" s="28"/>
      <c r="L59" s="28"/>
      <c r="M59" s="28"/>
      <c r="N59" s="28"/>
      <c r="O59" s="28"/>
      <c r="P59" s="276"/>
      <c r="Q59" s="28"/>
      <c r="R59" s="276"/>
      <c r="S59" s="28"/>
      <c r="T59" s="276"/>
      <c r="V59" s="273"/>
      <c r="X59" s="273"/>
      <c r="Z59" s="273"/>
      <c r="AB59" s="273"/>
    </row>
    <row r="60" spans="1:30" x14ac:dyDescent="0.25">
      <c r="A60" s="64" t="s">
        <v>93</v>
      </c>
      <c r="B60" s="28"/>
      <c r="C60" s="28"/>
      <c r="D60" s="28"/>
      <c r="E60" s="28"/>
      <c r="F60" s="28"/>
      <c r="G60" s="28"/>
      <c r="H60" s="28"/>
      <c r="I60" s="28"/>
      <c r="J60" s="28"/>
      <c r="K60" s="28"/>
      <c r="L60" s="28"/>
      <c r="M60" s="28"/>
      <c r="N60" s="28"/>
      <c r="O60" s="28"/>
      <c r="P60" s="276"/>
      <c r="Q60" s="28"/>
      <c r="R60" s="276"/>
      <c r="S60" s="28"/>
      <c r="T60" s="276"/>
      <c r="V60" s="273"/>
      <c r="X60" s="273"/>
      <c r="Z60" s="273"/>
      <c r="AB60" s="273"/>
    </row>
    <row r="61" spans="1:30" x14ac:dyDescent="0.25">
      <c r="A61" s="61" t="s">
        <v>1</v>
      </c>
      <c r="B61" s="43">
        <v>121797</v>
      </c>
      <c r="C61" s="43">
        <f t="shared" ref="C61:H61" si="139">C8</f>
        <v>119738</v>
      </c>
      <c r="D61" s="43">
        <f t="shared" si="139"/>
        <v>122457</v>
      </c>
      <c r="E61" s="43">
        <f t="shared" si="139"/>
        <v>135286</v>
      </c>
      <c r="F61" s="43">
        <f t="shared" si="139"/>
        <v>499278</v>
      </c>
      <c r="G61" s="43">
        <f t="shared" si="139"/>
        <v>143510</v>
      </c>
      <c r="H61" s="43">
        <f t="shared" si="139"/>
        <v>155621</v>
      </c>
      <c r="I61" s="43">
        <f t="shared" ref="I61:M61" si="140">I8</f>
        <v>163503</v>
      </c>
      <c r="J61" s="43">
        <f t="shared" si="140"/>
        <v>165858</v>
      </c>
      <c r="K61" s="43">
        <f t="shared" si="140"/>
        <v>628492</v>
      </c>
      <c r="L61" s="43">
        <f t="shared" si="140"/>
        <v>167036</v>
      </c>
      <c r="M61" s="43">
        <f t="shared" si="140"/>
        <v>170478</v>
      </c>
      <c r="N61" s="43">
        <f t="shared" ref="N61:AC61" si="141">N8</f>
        <v>171200</v>
      </c>
      <c r="O61" s="43">
        <f t="shared" si="141"/>
        <v>177274</v>
      </c>
      <c r="P61" s="279">
        <f t="shared" si="141"/>
        <v>177274</v>
      </c>
      <c r="Q61" s="43">
        <f t="shared" si="141"/>
        <v>685988</v>
      </c>
      <c r="R61" s="279">
        <f t="shared" si="141"/>
        <v>685988</v>
      </c>
      <c r="S61" s="43">
        <f t="shared" si="141"/>
        <v>183033</v>
      </c>
      <c r="T61" s="279">
        <f t="shared" ref="T61" si="142">T8</f>
        <v>183033</v>
      </c>
      <c r="U61" s="43">
        <f t="shared" si="141"/>
        <v>189057</v>
      </c>
      <c r="V61" s="279">
        <f t="shared" si="141"/>
        <v>189057</v>
      </c>
      <c r="W61" s="43">
        <f t="shared" si="141"/>
        <v>192345</v>
      </c>
      <c r="X61" s="279">
        <f t="shared" ref="X61" si="143">X8</f>
        <v>192345</v>
      </c>
      <c r="Y61" s="43">
        <f t="shared" si="141"/>
        <v>197875</v>
      </c>
      <c r="Z61" s="274">
        <f t="shared" ref="Z61" si="144">Z8</f>
        <v>197875</v>
      </c>
      <c r="AA61" s="43">
        <f t="shared" si="141"/>
        <v>762310</v>
      </c>
      <c r="AB61" s="279">
        <f t="shared" ref="AB61" si="145">AB8</f>
        <v>762310</v>
      </c>
      <c r="AC61" s="43">
        <f t="shared" si="141"/>
        <v>206973</v>
      </c>
      <c r="AD61" s="365"/>
    </row>
    <row r="62" spans="1:30" x14ac:dyDescent="0.25">
      <c r="A62" s="65" t="s">
        <v>162</v>
      </c>
      <c r="B62" s="28">
        <v>2471</v>
      </c>
      <c r="C62" s="28">
        <v>5718</v>
      </c>
      <c r="D62" s="28">
        <v>9626</v>
      </c>
      <c r="E62" s="28">
        <v>8532</v>
      </c>
      <c r="F62" s="28">
        <v>26347</v>
      </c>
      <c r="G62" s="28">
        <v>0</v>
      </c>
      <c r="H62" s="28">
        <v>0</v>
      </c>
      <c r="I62" s="28">
        <v>0</v>
      </c>
      <c r="J62" s="28">
        <v>0</v>
      </c>
      <c r="K62" s="28">
        <f>J62+I62+H62+G62</f>
        <v>0</v>
      </c>
      <c r="L62" s="28">
        <v>0</v>
      </c>
      <c r="M62" s="28">
        <v>0</v>
      </c>
      <c r="N62" s="28">
        <v>0</v>
      </c>
      <c r="O62" s="28">
        <v>0</v>
      </c>
      <c r="P62" s="276">
        <v>0</v>
      </c>
      <c r="Q62" s="28">
        <f>O62+N62+M62+L62</f>
        <v>0</v>
      </c>
      <c r="R62" s="276">
        <f>Q62</f>
        <v>0</v>
      </c>
      <c r="S62" s="28">
        <v>0</v>
      </c>
      <c r="T62" s="276">
        <v>0</v>
      </c>
      <c r="U62" s="28">
        <v>0</v>
      </c>
      <c r="V62" s="276"/>
      <c r="W62" s="28">
        <v>0</v>
      </c>
      <c r="X62" s="276">
        <v>0</v>
      </c>
      <c r="Y62" s="28">
        <v>0</v>
      </c>
      <c r="Z62" s="276">
        <v>0</v>
      </c>
      <c r="AA62" s="28">
        <v>0</v>
      </c>
      <c r="AB62" s="276">
        <v>0</v>
      </c>
      <c r="AC62" s="28">
        <v>0</v>
      </c>
      <c r="AD62" s="28"/>
    </row>
    <row r="63" spans="1:30" ht="13.5" customHeight="1" x14ac:dyDescent="0.25">
      <c r="A63" s="61" t="s">
        <v>163</v>
      </c>
      <c r="B63" s="43">
        <f t="shared" ref="B63:C63" si="146">B61+B62</f>
        <v>124268</v>
      </c>
      <c r="C63" s="43">
        <f t="shared" si="146"/>
        <v>125456</v>
      </c>
      <c r="D63" s="43">
        <f>D61+D62</f>
        <v>132083</v>
      </c>
      <c r="E63" s="43">
        <f>E61+E62</f>
        <v>143818</v>
      </c>
      <c r="F63" s="43">
        <f>F61+F62</f>
        <v>525625</v>
      </c>
      <c r="G63" s="43">
        <f t="shared" ref="G63:H63" si="147">G61+G62</f>
        <v>143510</v>
      </c>
      <c r="H63" s="43">
        <f t="shared" si="147"/>
        <v>155621</v>
      </c>
      <c r="I63" s="43">
        <f t="shared" ref="I63" si="148">I61+I62</f>
        <v>163503</v>
      </c>
      <c r="J63" s="43">
        <f>J61+J62</f>
        <v>165858</v>
      </c>
      <c r="K63" s="43">
        <f>K61+K62</f>
        <v>628492</v>
      </c>
      <c r="L63" s="43">
        <f>L61+L62</f>
        <v>167036</v>
      </c>
      <c r="M63" s="43">
        <f t="shared" ref="M63:N63" si="149">M61+M62</f>
        <v>170478</v>
      </c>
      <c r="N63" s="43">
        <f t="shared" si="149"/>
        <v>171200</v>
      </c>
      <c r="O63" s="43">
        <f t="shared" ref="O63" si="150">O61+O62</f>
        <v>177274</v>
      </c>
      <c r="P63" s="279">
        <f t="shared" ref="P63:AA63" si="151">P61+P62</f>
        <v>177274</v>
      </c>
      <c r="Q63" s="43">
        <f t="shared" si="151"/>
        <v>685988</v>
      </c>
      <c r="R63" s="279">
        <f t="shared" si="151"/>
        <v>685988</v>
      </c>
      <c r="S63" s="43">
        <f t="shared" si="151"/>
        <v>183033</v>
      </c>
      <c r="T63" s="279">
        <f t="shared" ref="T63" si="152">T61+T62</f>
        <v>183033</v>
      </c>
      <c r="U63" s="43">
        <f t="shared" si="151"/>
        <v>189057</v>
      </c>
      <c r="V63" s="279">
        <f t="shared" ref="V63" si="153">V61+V62</f>
        <v>189057</v>
      </c>
      <c r="W63" s="43">
        <f t="shared" si="151"/>
        <v>192345</v>
      </c>
      <c r="X63" s="279">
        <f t="shared" ref="X63" si="154">X61+X62</f>
        <v>192345</v>
      </c>
      <c r="Y63" s="43">
        <f t="shared" si="151"/>
        <v>197875</v>
      </c>
      <c r="Z63" s="274">
        <f t="shared" ref="Z63" si="155">Z61+Z62</f>
        <v>197875</v>
      </c>
      <c r="AA63" s="43">
        <f t="shared" si="151"/>
        <v>762310</v>
      </c>
      <c r="AB63" s="279">
        <f t="shared" ref="AB63" si="156">AB61+AB62</f>
        <v>762310</v>
      </c>
      <c r="AC63" s="43">
        <f t="shared" ref="AC63" si="157">AC61+AC62</f>
        <v>206973</v>
      </c>
      <c r="AD63" s="365"/>
    </row>
    <row r="64" spans="1:30" ht="6.75" customHeight="1" x14ac:dyDescent="0.25">
      <c r="A64" s="64"/>
      <c r="B64" s="28"/>
      <c r="C64" s="28"/>
      <c r="D64" s="28"/>
      <c r="E64" s="28"/>
      <c r="F64" s="28"/>
      <c r="G64" s="28"/>
      <c r="H64" s="28"/>
      <c r="I64" s="28"/>
      <c r="J64" s="28"/>
      <c r="K64" s="28"/>
      <c r="L64" s="28"/>
      <c r="M64" s="28"/>
      <c r="N64" s="28"/>
      <c r="O64" s="28"/>
      <c r="P64" s="276"/>
      <c r="Q64" s="28"/>
      <c r="R64" s="276"/>
      <c r="S64" s="28"/>
      <c r="T64" s="276"/>
      <c r="V64" s="273"/>
      <c r="X64" s="273"/>
      <c r="Z64" s="273"/>
      <c r="AB64" s="273"/>
    </row>
    <row r="65" spans="1:30" s="27" customFormat="1" x14ac:dyDescent="0.25">
      <c r="A65" s="61" t="s">
        <v>71</v>
      </c>
      <c r="B65" s="43">
        <f t="shared" ref="B65:G65" si="158">B28</f>
        <v>15487</v>
      </c>
      <c r="C65" s="43">
        <f t="shared" si="158"/>
        <v>6097</v>
      </c>
      <c r="D65" s="43">
        <f t="shared" si="158"/>
        <v>5391</v>
      </c>
      <c r="E65" s="43">
        <f t="shared" si="158"/>
        <v>7065</v>
      </c>
      <c r="F65" s="43">
        <f t="shared" si="158"/>
        <v>34040</v>
      </c>
      <c r="G65" s="43">
        <f t="shared" si="158"/>
        <v>13468</v>
      </c>
      <c r="H65" s="43">
        <f t="shared" ref="H65:L65" si="159">H28</f>
        <v>15248</v>
      </c>
      <c r="I65" s="43">
        <f t="shared" si="159"/>
        <v>20749</v>
      </c>
      <c r="J65" s="43">
        <f>J28</f>
        <v>17878</v>
      </c>
      <c r="K65" s="43">
        <f t="shared" si="159"/>
        <v>67343</v>
      </c>
      <c r="L65" s="43">
        <f t="shared" si="159"/>
        <v>16452</v>
      </c>
      <c r="M65" s="43">
        <f t="shared" ref="M65:N65" si="160">M28</f>
        <v>16236</v>
      </c>
      <c r="N65" s="43">
        <f t="shared" si="160"/>
        <v>17359</v>
      </c>
      <c r="O65" s="43">
        <f t="shared" ref="O65:U65" si="161">O28</f>
        <v>14175</v>
      </c>
      <c r="P65" s="279">
        <f t="shared" si="161"/>
        <v>15145.174049368623</v>
      </c>
      <c r="Q65" s="43">
        <f t="shared" si="161"/>
        <v>64222</v>
      </c>
      <c r="R65" s="279">
        <f t="shared" si="161"/>
        <v>66676.587497467757</v>
      </c>
      <c r="S65" s="43">
        <f t="shared" si="161"/>
        <v>15902</v>
      </c>
      <c r="T65" s="274">
        <f>T28</f>
        <v>17212</v>
      </c>
      <c r="U65" s="43">
        <f t="shared" si="161"/>
        <v>16129</v>
      </c>
      <c r="V65" s="279">
        <f t="shared" ref="V65" si="162">V28</f>
        <v>18268</v>
      </c>
      <c r="W65" s="43">
        <f t="shared" ref="W65:AA65" si="163">W28</f>
        <v>18655</v>
      </c>
      <c r="X65" s="279">
        <f t="shared" ref="X65" si="164">X28</f>
        <v>20945</v>
      </c>
      <c r="Y65" s="43">
        <f t="shared" si="163"/>
        <v>15800</v>
      </c>
      <c r="Z65" s="274">
        <f t="shared" ref="Z65" si="165">Z28</f>
        <v>16300</v>
      </c>
      <c r="AA65" s="43">
        <f t="shared" si="163"/>
        <v>72225</v>
      </c>
      <c r="AB65" s="279">
        <f t="shared" ref="AB65" si="166">AB28</f>
        <v>72725</v>
      </c>
      <c r="AC65" s="43">
        <f t="shared" ref="AC65" si="167">AC28</f>
        <v>15150</v>
      </c>
      <c r="AD65" s="365"/>
    </row>
    <row r="66" spans="1:30" x14ac:dyDescent="0.25">
      <c r="A66" s="65" t="s">
        <v>217</v>
      </c>
      <c r="B66" s="60">
        <v>1536.3753999999999</v>
      </c>
      <c r="C66" s="60">
        <v>1488.9848000000002</v>
      </c>
      <c r="D66" s="60">
        <v>1441</v>
      </c>
      <c r="E66" s="60">
        <v>2157</v>
      </c>
      <c r="F66" s="60">
        <v>6623</v>
      </c>
      <c r="G66" s="60">
        <v>2059</v>
      </c>
      <c r="H66" s="60">
        <v>2808</v>
      </c>
      <c r="I66" s="60">
        <v>2642</v>
      </c>
      <c r="J66" s="60">
        <v>2717</v>
      </c>
      <c r="K66" s="60">
        <v>10226</v>
      </c>
      <c r="L66" s="60">
        <v>2715</v>
      </c>
      <c r="M66" s="60">
        <f>2717+1</f>
        <v>2718</v>
      </c>
      <c r="N66" s="60">
        <v>2848</v>
      </c>
      <c r="O66" s="59">
        <v>3592.1</v>
      </c>
      <c r="P66" s="281">
        <f>O66</f>
        <v>3592.1</v>
      </c>
      <c r="Q66" s="60">
        <f>SUM(L66:O66)</f>
        <v>11873.1</v>
      </c>
      <c r="R66" s="281">
        <f>Q66</f>
        <v>11873.1</v>
      </c>
      <c r="S66" s="60">
        <v>3498</v>
      </c>
      <c r="T66" s="281">
        <v>3498</v>
      </c>
      <c r="U66" s="60">
        <v>3507</v>
      </c>
      <c r="V66" s="281">
        <v>3507</v>
      </c>
      <c r="W66" s="60">
        <v>3487</v>
      </c>
      <c r="X66" s="281">
        <v>3487</v>
      </c>
      <c r="Y66" s="28">
        <f>+AA66-SUM(T66,V66,X66)</f>
        <v>3483</v>
      </c>
      <c r="Z66" s="276">
        <f>+AB66-SUM(T66,V66,X66)</f>
        <v>3483</v>
      </c>
      <c r="AA66" s="60">
        <v>13975</v>
      </c>
      <c r="AB66" s="281">
        <v>13975</v>
      </c>
      <c r="AC66" s="60">
        <v>3947</v>
      </c>
      <c r="AD66" s="60"/>
    </row>
    <row r="67" spans="1:30" x14ac:dyDescent="0.25">
      <c r="A67" s="65" t="s">
        <v>218</v>
      </c>
      <c r="B67" s="60">
        <v>4176</v>
      </c>
      <c r="C67" s="60">
        <v>1966</v>
      </c>
      <c r="D67" s="60">
        <v>2376</v>
      </c>
      <c r="E67" s="60">
        <v>2493</v>
      </c>
      <c r="F67" s="60">
        <v>11011</v>
      </c>
      <c r="G67" s="60">
        <v>4255</v>
      </c>
      <c r="H67" s="60">
        <v>3553</v>
      </c>
      <c r="I67" s="60">
        <v>4471</v>
      </c>
      <c r="J67" s="60">
        <v>3767.6945391242807</v>
      </c>
      <c r="K67" s="60">
        <v>16047</v>
      </c>
      <c r="L67" s="60">
        <v>5808.8470505205478</v>
      </c>
      <c r="M67" s="60">
        <v>4450</v>
      </c>
      <c r="N67" s="60">
        <v>4484</v>
      </c>
      <c r="O67" s="59">
        <v>5027.2230380716428</v>
      </c>
      <c r="P67" s="281">
        <f>O67</f>
        <v>5027.2230380716428</v>
      </c>
      <c r="Q67" s="60">
        <f>SUM(L67:O67)</f>
        <v>19770.070088592191</v>
      </c>
      <c r="R67" s="281">
        <f>Q67</f>
        <v>19770.070088592191</v>
      </c>
      <c r="S67" s="60">
        <v>5956</v>
      </c>
      <c r="T67" s="281">
        <v>5956</v>
      </c>
      <c r="U67" s="60">
        <v>5107</v>
      </c>
      <c r="V67" s="281">
        <v>5107</v>
      </c>
      <c r="W67" s="60">
        <v>5708</v>
      </c>
      <c r="X67" s="281">
        <v>5708</v>
      </c>
      <c r="Y67" s="28">
        <f>+AA67-SUM(T67,V67,X67)</f>
        <v>6270</v>
      </c>
      <c r="Z67" s="276">
        <f t="shared" ref="Z67:Z68" si="168">+AB67-SUM(T67,V67,X67)</f>
        <v>6270</v>
      </c>
      <c r="AA67" s="60">
        <v>23041</v>
      </c>
      <c r="AB67" s="281">
        <v>23041</v>
      </c>
      <c r="AC67" s="60">
        <v>5074</v>
      </c>
      <c r="AD67" s="60"/>
    </row>
    <row r="68" spans="1:30" x14ac:dyDescent="0.25">
      <c r="A68" s="65" t="s">
        <v>162</v>
      </c>
      <c r="B68" s="112">
        <v>2471</v>
      </c>
      <c r="C68" s="112">
        <f>C62</f>
        <v>5718</v>
      </c>
      <c r="D68" s="112">
        <f>D62</f>
        <v>9626</v>
      </c>
      <c r="E68" s="112">
        <f>E62</f>
        <v>8532</v>
      </c>
      <c r="F68" s="112">
        <f>F62</f>
        <v>26347</v>
      </c>
      <c r="G68" s="112">
        <v>0</v>
      </c>
      <c r="H68" s="112">
        <v>0</v>
      </c>
      <c r="I68" s="112">
        <v>0</v>
      </c>
      <c r="J68" s="112">
        <f>J62</f>
        <v>0</v>
      </c>
      <c r="K68" s="112">
        <f>K62</f>
        <v>0</v>
      </c>
      <c r="L68" s="112">
        <v>0</v>
      </c>
      <c r="M68" s="112">
        <v>0</v>
      </c>
      <c r="N68" s="112">
        <v>0</v>
      </c>
      <c r="O68" s="112">
        <v>0</v>
      </c>
      <c r="P68" s="290">
        <v>0</v>
      </c>
      <c r="Q68" s="112">
        <f>Q62</f>
        <v>0</v>
      </c>
      <c r="R68" s="290"/>
      <c r="S68" s="112">
        <v>0</v>
      </c>
      <c r="T68" s="290">
        <v>0</v>
      </c>
      <c r="U68" s="112">
        <v>0</v>
      </c>
      <c r="V68" s="290">
        <v>0</v>
      </c>
      <c r="W68" s="112">
        <v>0</v>
      </c>
      <c r="X68" s="290">
        <v>0</v>
      </c>
      <c r="Y68" s="28">
        <f>+AA68-SUM(S68:W68)</f>
        <v>0</v>
      </c>
      <c r="Z68" s="281">
        <f t="shared" si="168"/>
        <v>0</v>
      </c>
      <c r="AA68" s="112">
        <v>0</v>
      </c>
      <c r="AB68" s="290">
        <v>0</v>
      </c>
      <c r="AC68" s="112">
        <v>0</v>
      </c>
      <c r="AD68" s="112"/>
    </row>
    <row r="69" spans="1:30" x14ac:dyDescent="0.25">
      <c r="A69" s="65" t="s">
        <v>239</v>
      </c>
      <c r="B69" s="112">
        <v>0</v>
      </c>
      <c r="C69" s="112">
        <v>0</v>
      </c>
      <c r="D69" s="112">
        <v>0</v>
      </c>
      <c r="E69" s="112">
        <v>0</v>
      </c>
      <c r="F69" s="112">
        <v>0</v>
      </c>
      <c r="G69" s="112">
        <v>0</v>
      </c>
      <c r="H69" s="112">
        <v>0</v>
      </c>
      <c r="I69" s="112">
        <v>0</v>
      </c>
      <c r="J69" s="112">
        <v>0</v>
      </c>
      <c r="K69" s="112">
        <v>0</v>
      </c>
      <c r="L69" s="112">
        <v>0</v>
      </c>
      <c r="M69" s="112">
        <v>0</v>
      </c>
      <c r="N69" s="112">
        <v>0</v>
      </c>
      <c r="O69" s="112">
        <v>0</v>
      </c>
      <c r="P69" s="290">
        <v>0</v>
      </c>
      <c r="Q69" s="112">
        <v>0</v>
      </c>
      <c r="R69" s="290">
        <v>0</v>
      </c>
      <c r="S69" s="112">
        <v>0</v>
      </c>
      <c r="T69" s="290">
        <v>0</v>
      </c>
      <c r="U69" s="112">
        <v>0</v>
      </c>
      <c r="V69" s="290">
        <v>0</v>
      </c>
      <c r="W69" s="112">
        <v>0</v>
      </c>
      <c r="X69" s="290">
        <v>0</v>
      </c>
      <c r="Y69" s="28">
        <v>0</v>
      </c>
      <c r="Z69" s="290">
        <v>0</v>
      </c>
      <c r="AA69" s="112">
        <v>0</v>
      </c>
      <c r="AB69" s="290">
        <v>0</v>
      </c>
      <c r="AC69" s="112">
        <v>2400</v>
      </c>
      <c r="AD69" s="112"/>
    </row>
    <row r="70" spans="1:30" s="27" customFormat="1" x14ac:dyDescent="0.25">
      <c r="A70" s="61" t="s">
        <v>72</v>
      </c>
      <c r="B70" s="43">
        <f t="shared" ref="B70:AA70" si="169">B28+B67+B66+B68</f>
        <v>23670.375400000001</v>
      </c>
      <c r="C70" s="43">
        <f t="shared" si="169"/>
        <v>15269.9848</v>
      </c>
      <c r="D70" s="43">
        <f t="shared" si="169"/>
        <v>18834</v>
      </c>
      <c r="E70" s="43">
        <f t="shared" si="169"/>
        <v>20247</v>
      </c>
      <c r="F70" s="43">
        <f t="shared" si="169"/>
        <v>78021</v>
      </c>
      <c r="G70" s="43">
        <f t="shared" si="169"/>
        <v>19782</v>
      </c>
      <c r="H70" s="43">
        <f t="shared" si="169"/>
        <v>21609</v>
      </c>
      <c r="I70" s="43">
        <f t="shared" si="169"/>
        <v>27862</v>
      </c>
      <c r="J70" s="43">
        <f t="shared" si="169"/>
        <v>24362.694539124281</v>
      </c>
      <c r="K70" s="43">
        <f t="shared" si="169"/>
        <v>93616</v>
      </c>
      <c r="L70" s="43">
        <f t="shared" si="169"/>
        <v>24975.847050520548</v>
      </c>
      <c r="M70" s="43">
        <f t="shared" si="169"/>
        <v>23404</v>
      </c>
      <c r="N70" s="43">
        <f t="shared" si="169"/>
        <v>24691</v>
      </c>
      <c r="O70" s="43">
        <f t="shared" si="169"/>
        <v>22794.323038071641</v>
      </c>
      <c r="P70" s="279">
        <f t="shared" si="169"/>
        <v>23764.497087440264</v>
      </c>
      <c r="Q70" s="43">
        <f t="shared" si="169"/>
        <v>95865.170088592189</v>
      </c>
      <c r="R70" s="279">
        <f t="shared" si="169"/>
        <v>98319.757586059946</v>
      </c>
      <c r="S70" s="43">
        <f t="shared" si="169"/>
        <v>25356</v>
      </c>
      <c r="T70" s="279">
        <f>T28+T67+T66+T68</f>
        <v>26666</v>
      </c>
      <c r="U70" s="43">
        <f t="shared" si="169"/>
        <v>24743</v>
      </c>
      <c r="V70" s="279">
        <f t="shared" si="169"/>
        <v>26882</v>
      </c>
      <c r="W70" s="43">
        <f t="shared" si="169"/>
        <v>27850</v>
      </c>
      <c r="X70" s="279">
        <f t="shared" si="169"/>
        <v>30140</v>
      </c>
      <c r="Y70" s="43">
        <f t="shared" si="169"/>
        <v>25553</v>
      </c>
      <c r="Z70" s="274">
        <f t="shared" ref="Z70" si="170">Z28+Z67+Z66+Z68</f>
        <v>26053</v>
      </c>
      <c r="AA70" s="43">
        <f t="shared" si="169"/>
        <v>109241</v>
      </c>
      <c r="AB70" s="279">
        <f t="shared" ref="AB70" si="171">AB28+AB67+AB66+AB68</f>
        <v>109741</v>
      </c>
      <c r="AC70" s="43">
        <f>AC28+AC67+AC66+AC68+AC69</f>
        <v>26571</v>
      </c>
      <c r="AD70" s="365"/>
    </row>
    <row r="71" spans="1:30" x14ac:dyDescent="0.25">
      <c r="A71" s="116" t="s">
        <v>62</v>
      </c>
      <c r="B71" s="114">
        <f t="shared" ref="B71:AC71" si="172">IF(B70/B63&lt;0, "NM",B70/B63)</f>
        <v>0.19047844497376637</v>
      </c>
      <c r="C71" s="114">
        <f t="shared" si="172"/>
        <v>0.12171585894656294</v>
      </c>
      <c r="D71" s="114">
        <f t="shared" si="172"/>
        <v>0.14259215796128191</v>
      </c>
      <c r="E71" s="114">
        <f t="shared" si="172"/>
        <v>0.14078209959810317</v>
      </c>
      <c r="F71" s="114">
        <f t="shared" si="172"/>
        <v>0.14843472057074911</v>
      </c>
      <c r="G71" s="114">
        <f t="shared" si="172"/>
        <v>0.13784405267925581</v>
      </c>
      <c r="H71" s="114">
        <f t="shared" si="172"/>
        <v>0.1388565810526857</v>
      </c>
      <c r="I71" s="114">
        <f t="shared" si="172"/>
        <v>0.17040665920502987</v>
      </c>
      <c r="J71" s="114">
        <f t="shared" si="172"/>
        <v>0.14688887204189294</v>
      </c>
      <c r="K71" s="114">
        <f t="shared" si="172"/>
        <v>0.14895336774374215</v>
      </c>
      <c r="L71" s="114">
        <f t="shared" si="172"/>
        <v>0.14952373770037924</v>
      </c>
      <c r="M71" s="114">
        <f t="shared" si="172"/>
        <v>0.13728457630896657</v>
      </c>
      <c r="N71" s="114">
        <f t="shared" si="172"/>
        <v>0.14422313084112148</v>
      </c>
      <c r="O71" s="114">
        <f t="shared" si="172"/>
        <v>0.12858243757162158</v>
      </c>
      <c r="P71" s="291">
        <f t="shared" si="172"/>
        <v>0.13405517496891967</v>
      </c>
      <c r="Q71" s="114">
        <f t="shared" si="172"/>
        <v>0.1397475904660026</v>
      </c>
      <c r="R71" s="291">
        <f t="shared" si="172"/>
        <v>0.14332576894356744</v>
      </c>
      <c r="S71" s="114">
        <f t="shared" si="172"/>
        <v>0.13853239579747914</v>
      </c>
      <c r="T71" s="291">
        <f t="shared" si="172"/>
        <v>0.14568957510394301</v>
      </c>
      <c r="U71" s="114">
        <f t="shared" si="172"/>
        <v>0.13087587341383816</v>
      </c>
      <c r="V71" s="291">
        <f t="shared" si="172"/>
        <v>0.14218992155804863</v>
      </c>
      <c r="W71" s="114">
        <f t="shared" si="172"/>
        <v>0.14479191036938835</v>
      </c>
      <c r="X71" s="291">
        <f t="shared" si="172"/>
        <v>0.15669760066547089</v>
      </c>
      <c r="Y71" s="114">
        <f t="shared" si="172"/>
        <v>0.12913708149084019</v>
      </c>
      <c r="Z71" s="291">
        <f t="shared" ref="Z71" si="173">IF(Z70/Z63&lt;0, "NM",Z70/Z63)</f>
        <v>0.13166392924826278</v>
      </c>
      <c r="AA71" s="114">
        <f t="shared" si="172"/>
        <v>0.14330259343311777</v>
      </c>
      <c r="AB71" s="291">
        <f t="shared" ref="AB71" si="174">IF(AB70/AB63&lt;0, "NM",AB70/AB63)</f>
        <v>0.14395849457569754</v>
      </c>
      <c r="AC71" s="114">
        <f t="shared" si="172"/>
        <v>0.1283790639358757</v>
      </c>
      <c r="AD71" s="114"/>
    </row>
    <row r="72" spans="1:30" s="27" customFormat="1" x14ac:dyDescent="0.25">
      <c r="A72" s="62" t="s">
        <v>136</v>
      </c>
      <c r="B72" s="34">
        <v>-0.13047529589820084</v>
      </c>
      <c r="C72" s="34">
        <f>C70/B70-1</f>
        <v>-0.35489046785459943</v>
      </c>
      <c r="D72" s="34">
        <f>D70/C70-1</f>
        <v>0.23340004896403044</v>
      </c>
      <c r="E72" s="34">
        <f>E70/D70-1</f>
        <v>7.5023892959541261E-2</v>
      </c>
      <c r="F72" s="35" t="s">
        <v>85</v>
      </c>
      <c r="G72" s="34">
        <f>G70/E70-1</f>
        <v>-2.2966365387464771E-2</v>
      </c>
      <c r="H72" s="34">
        <f>H70/G70-1</f>
        <v>9.2356687898089262E-2</v>
      </c>
      <c r="I72" s="34">
        <f>I70/H70-1</f>
        <v>0.28937016983664221</v>
      </c>
      <c r="J72" s="34">
        <f>J70/I70-1</f>
        <v>-0.12559419499230917</v>
      </c>
      <c r="K72" s="35" t="s">
        <v>85</v>
      </c>
      <c r="L72" s="34">
        <f>L70/J70-1</f>
        <v>2.5167680463735298E-2</v>
      </c>
      <c r="M72" s="34">
        <f>M70/L70-1</f>
        <v>-6.2934684350887227E-2</v>
      </c>
      <c r="N72" s="34">
        <f>N70/M70-1</f>
        <v>5.4990599897453363E-2</v>
      </c>
      <c r="O72" s="34">
        <f>O70/N70-1</f>
        <v>-7.6816530797795046E-2</v>
      </c>
      <c r="P72" s="275">
        <f>P70/N70-1</f>
        <v>-3.7523912055394071E-2</v>
      </c>
      <c r="Q72" s="35" t="s">
        <v>85</v>
      </c>
      <c r="R72" s="282" t="s">
        <v>85</v>
      </c>
      <c r="S72" s="34">
        <f>S70/O70-1</f>
        <v>0.11238223471913522</v>
      </c>
      <c r="T72" s="275">
        <f>T70/O70-1</f>
        <v>0.16985268461194436</v>
      </c>
      <c r="U72" s="34">
        <f t="shared" ref="U72:Z72" si="175">U70/S70-1</f>
        <v>-2.4175737498028038E-2</v>
      </c>
      <c r="V72" s="275">
        <f t="shared" si="175"/>
        <v>8.1002025050627147E-3</v>
      </c>
      <c r="W72" s="34">
        <f t="shared" si="175"/>
        <v>0.12557086852847266</v>
      </c>
      <c r="X72" s="275">
        <f t="shared" si="175"/>
        <v>0.12119633955806863</v>
      </c>
      <c r="Y72" s="34">
        <f t="shared" si="175"/>
        <v>-8.24775583482944E-2</v>
      </c>
      <c r="Z72" s="275">
        <f t="shared" si="175"/>
        <v>-0.13560053085600532</v>
      </c>
      <c r="AA72" s="35" t="s">
        <v>85</v>
      </c>
      <c r="AB72" s="275" t="s">
        <v>85</v>
      </c>
      <c r="AC72" s="35">
        <f>AC70/Z70-1</f>
        <v>1.9882547115495308E-2</v>
      </c>
      <c r="AD72" s="35"/>
    </row>
    <row r="73" spans="1:30" ht="13.8" thickBot="1" x14ac:dyDescent="0.3">
      <c r="A73" s="118" t="s">
        <v>137</v>
      </c>
      <c r="B73" s="83">
        <v>0.36160280024389957</v>
      </c>
      <c r="C73" s="83">
        <v>-0.11642770265187674</v>
      </c>
      <c r="D73" s="83">
        <v>-0.21570750395602567</v>
      </c>
      <c r="E73" s="83">
        <v>-0.25623204590371107</v>
      </c>
      <c r="F73" s="83">
        <v>-9.174936701492975E-2</v>
      </c>
      <c r="G73" s="83">
        <v>-0.16427180956327381</v>
      </c>
      <c r="H73" s="83">
        <v>0.41512911001718877</v>
      </c>
      <c r="I73" s="83">
        <v>0.47934586386322597</v>
      </c>
      <c r="J73" s="83">
        <v>0.20327428948112214</v>
      </c>
      <c r="K73" s="83">
        <f t="shared" ref="K73:O73" si="176">K70/F70-1</f>
        <v>0.19988208302892807</v>
      </c>
      <c r="L73" s="83">
        <f t="shared" si="176"/>
        <v>0.26255419323225904</v>
      </c>
      <c r="M73" s="83">
        <f t="shared" si="176"/>
        <v>8.3067240501642825E-2</v>
      </c>
      <c r="N73" s="83">
        <f t="shared" si="176"/>
        <v>-0.11381092527456749</v>
      </c>
      <c r="O73" s="83">
        <f t="shared" si="176"/>
        <v>-6.4375945712161542E-2</v>
      </c>
      <c r="P73" s="283">
        <f>P70/J70-1</f>
        <v>-2.4553829656377535E-2</v>
      </c>
      <c r="Q73" s="83">
        <f>Q70/K70-1</f>
        <v>2.4025488042558774E-2</v>
      </c>
      <c r="R73" s="283">
        <f>R70/K70-1</f>
        <v>5.0245231435437798E-2</v>
      </c>
      <c r="S73" s="83">
        <f>S70/L70-1</f>
        <v>1.5220823090023261E-2</v>
      </c>
      <c r="T73" s="283">
        <f>T70/L70-1</f>
        <v>6.767149662874905E-2</v>
      </c>
      <c r="U73" s="83">
        <f>U70/M70-1</f>
        <v>5.7212442317552625E-2</v>
      </c>
      <c r="V73" s="283">
        <f>V70/M70-1</f>
        <v>0.14860707571355314</v>
      </c>
      <c r="W73" s="83">
        <f>W70/N70-1</f>
        <v>0.12794135514964977</v>
      </c>
      <c r="X73" s="283">
        <f>X70/N70-1</f>
        <v>0.22068769997164961</v>
      </c>
      <c r="Y73" s="83">
        <f>Y70/O70-1</f>
        <v>0.12102473748927522</v>
      </c>
      <c r="Z73" s="283">
        <f>Z70/P70-1</f>
        <v>9.6299235962760132E-2</v>
      </c>
      <c r="AA73" s="83">
        <f>AA70/Q70-1</f>
        <v>0.13952752495037313</v>
      </c>
      <c r="AB73" s="283">
        <f>AB70/R70-1</f>
        <v>0.11616426539643321</v>
      </c>
      <c r="AC73" s="83">
        <f>AC70/T70-1</f>
        <v>-3.5625890647266178E-3</v>
      </c>
      <c r="AD73" s="114"/>
    </row>
    <row r="74" spans="1:30" ht="6" customHeight="1" x14ac:dyDescent="0.25">
      <c r="A74" s="119"/>
      <c r="B74" s="34"/>
      <c r="C74" s="34"/>
      <c r="D74" s="34"/>
      <c r="E74" s="34"/>
      <c r="F74" s="34"/>
      <c r="G74" s="34"/>
      <c r="H74" s="34"/>
      <c r="I74" s="34"/>
      <c r="J74" s="34"/>
      <c r="K74" s="34"/>
      <c r="L74" s="34"/>
      <c r="M74" s="34"/>
      <c r="N74" s="34"/>
      <c r="O74" s="34"/>
      <c r="P74" s="275"/>
      <c r="Q74" s="34"/>
      <c r="R74" s="275"/>
      <c r="S74" s="34"/>
      <c r="T74" s="275"/>
      <c r="V74" s="273"/>
      <c r="X74" s="273"/>
      <c r="Z74" s="273"/>
      <c r="AB74" s="273"/>
    </row>
    <row r="75" spans="1:30" x14ac:dyDescent="0.25">
      <c r="A75" s="61" t="s">
        <v>71</v>
      </c>
      <c r="B75" s="43">
        <f t="shared" ref="B75:AA75" si="177">B65</f>
        <v>15487</v>
      </c>
      <c r="C75" s="43">
        <f t="shared" si="177"/>
        <v>6097</v>
      </c>
      <c r="D75" s="43">
        <f t="shared" si="177"/>
        <v>5391</v>
      </c>
      <c r="E75" s="43">
        <f t="shared" si="177"/>
        <v>7065</v>
      </c>
      <c r="F75" s="43">
        <f t="shared" si="177"/>
        <v>34040</v>
      </c>
      <c r="G75" s="43">
        <f t="shared" si="177"/>
        <v>13468</v>
      </c>
      <c r="H75" s="43">
        <f t="shared" si="177"/>
        <v>15248</v>
      </c>
      <c r="I75" s="43">
        <f t="shared" si="177"/>
        <v>20749</v>
      </c>
      <c r="J75" s="43">
        <f t="shared" si="177"/>
        <v>17878</v>
      </c>
      <c r="K75" s="43">
        <f t="shared" si="177"/>
        <v>67343</v>
      </c>
      <c r="L75" s="43">
        <f t="shared" si="177"/>
        <v>16452</v>
      </c>
      <c r="M75" s="43">
        <f t="shared" si="177"/>
        <v>16236</v>
      </c>
      <c r="N75" s="43">
        <f t="shared" si="177"/>
        <v>17359</v>
      </c>
      <c r="O75" s="43">
        <f t="shared" si="177"/>
        <v>14175</v>
      </c>
      <c r="P75" s="279">
        <f t="shared" si="177"/>
        <v>15145.174049368623</v>
      </c>
      <c r="Q75" s="43">
        <f t="shared" si="177"/>
        <v>64222</v>
      </c>
      <c r="R75" s="279">
        <f t="shared" si="177"/>
        <v>66676.587497467757</v>
      </c>
      <c r="S75" s="43">
        <f t="shared" si="177"/>
        <v>15902</v>
      </c>
      <c r="T75" s="279">
        <f t="shared" si="177"/>
        <v>17212</v>
      </c>
      <c r="U75" s="43">
        <f t="shared" si="177"/>
        <v>16129</v>
      </c>
      <c r="V75" s="279">
        <f t="shared" si="177"/>
        <v>18268</v>
      </c>
      <c r="W75" s="43">
        <f t="shared" si="177"/>
        <v>18655</v>
      </c>
      <c r="X75" s="279">
        <f t="shared" si="177"/>
        <v>20945</v>
      </c>
      <c r="Y75" s="43">
        <f t="shared" si="177"/>
        <v>15800</v>
      </c>
      <c r="Z75" s="335">
        <f t="shared" ref="Z75" si="178">Z65</f>
        <v>16300</v>
      </c>
      <c r="AA75" s="43">
        <f t="shared" si="177"/>
        <v>72225</v>
      </c>
      <c r="AB75" s="279">
        <f t="shared" ref="AB75" si="179">AB65</f>
        <v>72725</v>
      </c>
      <c r="AC75" s="43">
        <f t="shared" ref="AC75" si="180">AC65</f>
        <v>15150</v>
      </c>
      <c r="AD75" s="365"/>
    </row>
    <row r="76" spans="1:30" x14ac:dyDescent="0.25">
      <c r="A76" s="65" t="s">
        <v>133</v>
      </c>
      <c r="B76" s="90">
        <f t="shared" ref="B76:AA76" si="181">-B23-B66</f>
        <v>4819.6246000000001</v>
      </c>
      <c r="C76" s="90">
        <f t="shared" si="181"/>
        <v>5190.0151999999998</v>
      </c>
      <c r="D76" s="90">
        <f t="shared" si="181"/>
        <v>5573</v>
      </c>
      <c r="E76" s="90">
        <f t="shared" si="181"/>
        <v>5822</v>
      </c>
      <c r="F76" s="90">
        <f t="shared" si="181"/>
        <v>21405</v>
      </c>
      <c r="G76" s="90">
        <f t="shared" si="181"/>
        <v>4994</v>
      </c>
      <c r="H76" s="90">
        <f t="shared" si="181"/>
        <v>5253</v>
      </c>
      <c r="I76" s="90">
        <f t="shared" si="181"/>
        <v>5415</v>
      </c>
      <c r="J76" s="90">
        <f t="shared" si="181"/>
        <v>5577</v>
      </c>
      <c r="K76" s="90">
        <f t="shared" si="181"/>
        <v>21239</v>
      </c>
      <c r="L76" s="90">
        <f t="shared" si="181"/>
        <v>5418</v>
      </c>
      <c r="M76" s="90">
        <f t="shared" si="181"/>
        <v>5552</v>
      </c>
      <c r="N76" s="90">
        <f t="shared" si="181"/>
        <v>5749</v>
      </c>
      <c r="O76" s="90">
        <f t="shared" si="181"/>
        <v>5987.9</v>
      </c>
      <c r="P76" s="292">
        <f t="shared" si="181"/>
        <v>5937.4421771969046</v>
      </c>
      <c r="Q76" s="90">
        <f t="shared" si="181"/>
        <v>22706.9</v>
      </c>
      <c r="R76" s="292">
        <f t="shared" si="181"/>
        <v>22587.345826269113</v>
      </c>
      <c r="S76" s="90">
        <f t="shared" si="181"/>
        <v>5928</v>
      </c>
      <c r="T76" s="292">
        <f t="shared" si="181"/>
        <v>5874</v>
      </c>
      <c r="U76" s="90">
        <f t="shared" si="181"/>
        <v>6130</v>
      </c>
      <c r="V76" s="292">
        <f t="shared" si="181"/>
        <v>6028</v>
      </c>
      <c r="W76" s="90">
        <f t="shared" si="181"/>
        <v>6221</v>
      </c>
      <c r="X76" s="292">
        <f t="shared" si="181"/>
        <v>6095</v>
      </c>
      <c r="Y76" s="90">
        <f t="shared" si="181"/>
        <v>6577</v>
      </c>
      <c r="Z76" s="276">
        <f t="shared" ref="Z76" si="182">-Z23-Z66</f>
        <v>6577</v>
      </c>
      <c r="AA76" s="90">
        <f t="shared" si="181"/>
        <v>24574</v>
      </c>
      <c r="AB76" s="292">
        <f t="shared" ref="AB76" si="183">-AB23-AB66</f>
        <v>24574</v>
      </c>
      <c r="AC76" s="90">
        <f t="shared" ref="AC76" si="184">-AC23-AC66</f>
        <v>6557</v>
      </c>
      <c r="AD76" s="90"/>
    </row>
    <row r="77" spans="1:30" x14ac:dyDescent="0.25">
      <c r="A77" s="65" t="s">
        <v>217</v>
      </c>
      <c r="B77" s="90">
        <f t="shared" ref="B77:AA77" si="185">B66</f>
        <v>1536.3753999999999</v>
      </c>
      <c r="C77" s="90">
        <f t="shared" si="185"/>
        <v>1488.9848000000002</v>
      </c>
      <c r="D77" s="90">
        <f t="shared" si="185"/>
        <v>1441</v>
      </c>
      <c r="E77" s="90">
        <f t="shared" si="185"/>
        <v>2157</v>
      </c>
      <c r="F77" s="90">
        <f t="shared" si="185"/>
        <v>6623</v>
      </c>
      <c r="G77" s="90">
        <f t="shared" si="185"/>
        <v>2059</v>
      </c>
      <c r="H77" s="90">
        <f t="shared" si="185"/>
        <v>2808</v>
      </c>
      <c r="I77" s="90">
        <f t="shared" si="185"/>
        <v>2642</v>
      </c>
      <c r="J77" s="90">
        <f t="shared" si="185"/>
        <v>2717</v>
      </c>
      <c r="K77" s="90">
        <f t="shared" si="185"/>
        <v>10226</v>
      </c>
      <c r="L77" s="90">
        <f t="shared" si="185"/>
        <v>2715</v>
      </c>
      <c r="M77" s="90">
        <f t="shared" si="185"/>
        <v>2718</v>
      </c>
      <c r="N77" s="90">
        <f t="shared" si="185"/>
        <v>2848</v>
      </c>
      <c r="O77" s="164">
        <f t="shared" si="185"/>
        <v>3592.1</v>
      </c>
      <c r="P77" s="292">
        <f t="shared" si="185"/>
        <v>3592.1</v>
      </c>
      <c r="Q77" s="90">
        <f t="shared" si="185"/>
        <v>11873.1</v>
      </c>
      <c r="R77" s="292">
        <f t="shared" si="185"/>
        <v>11873.1</v>
      </c>
      <c r="S77" s="90">
        <f t="shared" si="185"/>
        <v>3498</v>
      </c>
      <c r="T77" s="292">
        <f t="shared" si="185"/>
        <v>3498</v>
      </c>
      <c r="U77" s="90">
        <f t="shared" si="185"/>
        <v>3507</v>
      </c>
      <c r="V77" s="292">
        <f t="shared" si="185"/>
        <v>3507</v>
      </c>
      <c r="W77" s="90">
        <f t="shared" si="185"/>
        <v>3487</v>
      </c>
      <c r="X77" s="292">
        <f t="shared" si="185"/>
        <v>3487</v>
      </c>
      <c r="Y77" s="90">
        <f t="shared" si="185"/>
        <v>3483</v>
      </c>
      <c r="Z77" s="276">
        <f t="shared" ref="Z77" si="186">Z66</f>
        <v>3483</v>
      </c>
      <c r="AA77" s="90">
        <f t="shared" si="185"/>
        <v>13975</v>
      </c>
      <c r="AB77" s="292">
        <f t="shared" ref="AB77" si="187">AB66</f>
        <v>13975</v>
      </c>
      <c r="AC77" s="90">
        <f t="shared" ref="AC77" si="188">AC66</f>
        <v>3947</v>
      </c>
      <c r="AD77" s="90"/>
    </row>
    <row r="78" spans="1:30" x14ac:dyDescent="0.25">
      <c r="A78" s="65" t="s">
        <v>218</v>
      </c>
      <c r="B78" s="90">
        <f t="shared" ref="B78:AA78" si="189">B67</f>
        <v>4176</v>
      </c>
      <c r="C78" s="90">
        <f t="shared" si="189"/>
        <v>1966</v>
      </c>
      <c r="D78" s="90">
        <f t="shared" si="189"/>
        <v>2376</v>
      </c>
      <c r="E78" s="90">
        <f t="shared" si="189"/>
        <v>2493</v>
      </c>
      <c r="F78" s="90">
        <f t="shared" si="189"/>
        <v>11011</v>
      </c>
      <c r="G78" s="90">
        <f t="shared" si="189"/>
        <v>4255</v>
      </c>
      <c r="H78" s="90">
        <f t="shared" si="189"/>
        <v>3553</v>
      </c>
      <c r="I78" s="90">
        <f t="shared" si="189"/>
        <v>4471</v>
      </c>
      <c r="J78" s="90">
        <f t="shared" si="189"/>
        <v>3767.6945391242807</v>
      </c>
      <c r="K78" s="90">
        <f t="shared" si="189"/>
        <v>16047</v>
      </c>
      <c r="L78" s="90">
        <f t="shared" si="189"/>
        <v>5808.8470505205478</v>
      </c>
      <c r="M78" s="90">
        <f t="shared" si="189"/>
        <v>4450</v>
      </c>
      <c r="N78" s="90">
        <f t="shared" si="189"/>
        <v>4484</v>
      </c>
      <c r="O78" s="30">
        <f t="shared" si="189"/>
        <v>5027.2230380716428</v>
      </c>
      <c r="P78" s="292">
        <f t="shared" si="189"/>
        <v>5027.2230380716428</v>
      </c>
      <c r="Q78" s="90">
        <f t="shared" si="189"/>
        <v>19770.070088592191</v>
      </c>
      <c r="R78" s="292">
        <f t="shared" si="189"/>
        <v>19770.070088592191</v>
      </c>
      <c r="S78" s="90">
        <f t="shared" si="189"/>
        <v>5956</v>
      </c>
      <c r="T78" s="292">
        <f t="shared" si="189"/>
        <v>5956</v>
      </c>
      <c r="U78" s="90">
        <f t="shared" si="189"/>
        <v>5107</v>
      </c>
      <c r="V78" s="292">
        <f t="shared" si="189"/>
        <v>5107</v>
      </c>
      <c r="W78" s="90">
        <f t="shared" si="189"/>
        <v>5708</v>
      </c>
      <c r="X78" s="292">
        <f t="shared" si="189"/>
        <v>5708</v>
      </c>
      <c r="Y78" s="90">
        <f t="shared" si="189"/>
        <v>6270</v>
      </c>
      <c r="Z78" s="276">
        <f t="shared" ref="Z78" si="190">Z67</f>
        <v>6270</v>
      </c>
      <c r="AA78" s="90">
        <f t="shared" si="189"/>
        <v>23041</v>
      </c>
      <c r="AB78" s="292">
        <f t="shared" ref="AB78" si="191">AB67</f>
        <v>23041</v>
      </c>
      <c r="AC78" s="90">
        <f t="shared" ref="AC78" si="192">AC67</f>
        <v>5074</v>
      </c>
      <c r="AD78" s="90"/>
    </row>
    <row r="79" spans="1:30" x14ac:dyDescent="0.25">
      <c r="A79" s="65" t="s">
        <v>160</v>
      </c>
      <c r="B79" s="90">
        <f t="shared" ref="B79:S79" si="193">B68</f>
        <v>2471</v>
      </c>
      <c r="C79" s="90">
        <f t="shared" si="193"/>
        <v>5718</v>
      </c>
      <c r="D79" s="90">
        <f t="shared" si="193"/>
        <v>9626</v>
      </c>
      <c r="E79" s="90">
        <f t="shared" si="193"/>
        <v>8532</v>
      </c>
      <c r="F79" s="112">
        <f t="shared" si="193"/>
        <v>26347</v>
      </c>
      <c r="G79" s="33">
        <f t="shared" si="193"/>
        <v>0</v>
      </c>
      <c r="H79" s="33">
        <f t="shared" si="193"/>
        <v>0</v>
      </c>
      <c r="I79" s="33">
        <f t="shared" si="193"/>
        <v>0</v>
      </c>
      <c r="J79" s="33">
        <f t="shared" si="193"/>
        <v>0</v>
      </c>
      <c r="K79" s="262">
        <f t="shared" si="193"/>
        <v>0</v>
      </c>
      <c r="L79" s="33">
        <f t="shared" si="193"/>
        <v>0</v>
      </c>
      <c r="M79" s="33">
        <f t="shared" si="193"/>
        <v>0</v>
      </c>
      <c r="N79" s="33">
        <f t="shared" si="193"/>
        <v>0</v>
      </c>
      <c r="O79" s="33">
        <f t="shared" si="193"/>
        <v>0</v>
      </c>
      <c r="P79" s="288">
        <f t="shared" si="193"/>
        <v>0</v>
      </c>
      <c r="Q79" s="262">
        <f t="shared" si="193"/>
        <v>0</v>
      </c>
      <c r="R79" s="288">
        <f t="shared" si="193"/>
        <v>0</v>
      </c>
      <c r="S79" s="33">
        <f t="shared" si="193"/>
        <v>0</v>
      </c>
      <c r="T79" s="288"/>
      <c r="U79" s="33">
        <f t="shared" ref="U79:AA79" si="194">U68</f>
        <v>0</v>
      </c>
      <c r="V79" s="288">
        <f t="shared" si="194"/>
        <v>0</v>
      </c>
      <c r="W79" s="33">
        <f t="shared" si="194"/>
        <v>0</v>
      </c>
      <c r="X79" s="288">
        <f t="shared" si="194"/>
        <v>0</v>
      </c>
      <c r="Y79" s="33">
        <f t="shared" si="194"/>
        <v>0</v>
      </c>
      <c r="Z79" s="276">
        <f t="shared" ref="Z79" si="195">Z68</f>
        <v>0</v>
      </c>
      <c r="AA79" s="33">
        <f t="shared" si="194"/>
        <v>0</v>
      </c>
      <c r="AB79" s="288">
        <f t="shared" ref="AB79" si="196">AB68</f>
        <v>0</v>
      </c>
      <c r="AC79" s="33">
        <f t="shared" ref="AC79:AC80" si="197">AC68</f>
        <v>0</v>
      </c>
      <c r="AD79" s="33"/>
    </row>
    <row r="80" spans="1:30" x14ac:dyDescent="0.25">
      <c r="A80" s="65" t="s">
        <v>238</v>
      </c>
      <c r="B80" s="90">
        <v>0</v>
      </c>
      <c r="C80" s="90">
        <v>0</v>
      </c>
      <c r="D80" s="90">
        <v>0</v>
      </c>
      <c r="E80" s="90">
        <v>0</v>
      </c>
      <c r="F80" s="112">
        <v>0</v>
      </c>
      <c r="G80" s="33">
        <v>0</v>
      </c>
      <c r="H80" s="33">
        <v>0</v>
      </c>
      <c r="I80" s="33">
        <v>0</v>
      </c>
      <c r="J80" s="33">
        <v>0</v>
      </c>
      <c r="K80" s="262">
        <v>0</v>
      </c>
      <c r="L80" s="33">
        <v>0</v>
      </c>
      <c r="M80" s="33">
        <v>0</v>
      </c>
      <c r="N80" s="33">
        <v>0</v>
      </c>
      <c r="O80" s="33">
        <v>0</v>
      </c>
      <c r="P80" s="288">
        <v>0</v>
      </c>
      <c r="Q80" s="262">
        <v>0</v>
      </c>
      <c r="R80" s="288">
        <v>0</v>
      </c>
      <c r="S80" s="33">
        <v>0</v>
      </c>
      <c r="T80" s="288">
        <v>0</v>
      </c>
      <c r="U80" s="33">
        <v>0</v>
      </c>
      <c r="V80" s="288">
        <v>0</v>
      </c>
      <c r="W80" s="33">
        <v>0</v>
      </c>
      <c r="X80" s="288">
        <v>0</v>
      </c>
      <c r="Y80" s="33">
        <v>0</v>
      </c>
      <c r="Z80" s="276">
        <v>0</v>
      </c>
      <c r="AA80" s="33">
        <v>0</v>
      </c>
      <c r="AB80" s="288">
        <v>0</v>
      </c>
      <c r="AC80" s="28">
        <f t="shared" si="197"/>
        <v>2400</v>
      </c>
      <c r="AD80" s="28"/>
    </row>
    <row r="81" spans="1:30" x14ac:dyDescent="0.25">
      <c r="A81" s="61" t="s">
        <v>130</v>
      </c>
      <c r="B81" s="43">
        <f t="shared" ref="B81:AA81" si="198">B75+B76+B77+B78+B79</f>
        <v>28490</v>
      </c>
      <c r="C81" s="43">
        <f t="shared" si="198"/>
        <v>20460</v>
      </c>
      <c r="D81" s="43">
        <f t="shared" si="198"/>
        <v>24407</v>
      </c>
      <c r="E81" s="43">
        <f t="shared" si="198"/>
        <v>26069</v>
      </c>
      <c r="F81" s="43">
        <f t="shared" si="198"/>
        <v>99426</v>
      </c>
      <c r="G81" s="43">
        <f t="shared" si="198"/>
        <v>24776</v>
      </c>
      <c r="H81" s="43">
        <f t="shared" si="198"/>
        <v>26862</v>
      </c>
      <c r="I81" s="43">
        <f t="shared" si="198"/>
        <v>33277</v>
      </c>
      <c r="J81" s="43">
        <f t="shared" si="198"/>
        <v>29939.694539124281</v>
      </c>
      <c r="K81" s="43">
        <f t="shared" si="198"/>
        <v>114855</v>
      </c>
      <c r="L81" s="43">
        <f t="shared" si="198"/>
        <v>30393.847050520548</v>
      </c>
      <c r="M81" s="43">
        <f t="shared" si="198"/>
        <v>28956</v>
      </c>
      <c r="N81" s="43">
        <f t="shared" si="198"/>
        <v>30440</v>
      </c>
      <c r="O81" s="43">
        <f t="shared" si="198"/>
        <v>28782.223038071643</v>
      </c>
      <c r="P81" s="279">
        <f t="shared" si="198"/>
        <v>29701.939264637171</v>
      </c>
      <c r="Q81" s="43">
        <f t="shared" si="198"/>
        <v>118572.07008859218</v>
      </c>
      <c r="R81" s="279">
        <f t="shared" si="198"/>
        <v>120907.10341232907</v>
      </c>
      <c r="S81" s="43">
        <f t="shared" si="198"/>
        <v>31284</v>
      </c>
      <c r="T81" s="279">
        <f t="shared" si="198"/>
        <v>32540</v>
      </c>
      <c r="U81" s="43">
        <f t="shared" si="198"/>
        <v>30873</v>
      </c>
      <c r="V81" s="279">
        <f t="shared" si="198"/>
        <v>32910</v>
      </c>
      <c r="W81" s="43">
        <f t="shared" si="198"/>
        <v>34071</v>
      </c>
      <c r="X81" s="279">
        <f t="shared" si="198"/>
        <v>36235</v>
      </c>
      <c r="Y81" s="43">
        <f t="shared" si="198"/>
        <v>32130</v>
      </c>
      <c r="Z81" s="274">
        <f t="shared" ref="Z81" si="199">Z75+Z76+Z77+Z78+Z79</f>
        <v>32630</v>
      </c>
      <c r="AA81" s="43">
        <f t="shared" si="198"/>
        <v>133815</v>
      </c>
      <c r="AB81" s="279">
        <f t="shared" ref="AB81" si="200">AB75+AB76+AB77+AB78+AB79</f>
        <v>134315</v>
      </c>
      <c r="AC81" s="43">
        <f>AC75+AC76+AC77+AC78+AC79+AC80</f>
        <v>33128</v>
      </c>
      <c r="AD81" s="365"/>
    </row>
    <row r="82" spans="1:30" x14ac:dyDescent="0.25">
      <c r="A82" s="116" t="s">
        <v>131</v>
      </c>
      <c r="B82" s="111">
        <f t="shared" ref="B82:AA82" si="201">IF(B81/B63&lt;0, "NM",B81/B63)</f>
        <v>0.22926256156049829</v>
      </c>
      <c r="C82" s="111">
        <f t="shared" si="201"/>
        <v>0.16308506568039791</v>
      </c>
      <c r="D82" s="111">
        <f t="shared" si="201"/>
        <v>0.18478532437936751</v>
      </c>
      <c r="E82" s="111">
        <f t="shared" si="201"/>
        <v>0.18126381954970866</v>
      </c>
      <c r="F82" s="111">
        <f t="shared" si="201"/>
        <v>0.18915766944114148</v>
      </c>
      <c r="G82" s="111">
        <f t="shared" si="201"/>
        <v>0.17264302139223747</v>
      </c>
      <c r="H82" s="111">
        <f t="shared" si="201"/>
        <v>0.17261166552072021</v>
      </c>
      <c r="I82" s="111">
        <f t="shared" si="201"/>
        <v>0.20352531757827075</v>
      </c>
      <c r="J82" s="111">
        <f t="shared" si="201"/>
        <v>0.18051402126592797</v>
      </c>
      <c r="K82" s="111">
        <f t="shared" si="201"/>
        <v>0.18274695620628426</v>
      </c>
      <c r="L82" s="111">
        <f t="shared" si="201"/>
        <v>0.18195985925501418</v>
      </c>
      <c r="M82" s="111">
        <f t="shared" si="201"/>
        <v>0.16985182838841376</v>
      </c>
      <c r="N82" s="111">
        <f t="shared" si="201"/>
        <v>0.177803738317757</v>
      </c>
      <c r="O82" s="111">
        <f t="shared" si="201"/>
        <v>0.1623600925012785</v>
      </c>
      <c r="P82" s="293">
        <f t="shared" si="201"/>
        <v>0.16754819806986457</v>
      </c>
      <c r="Q82" s="111">
        <f t="shared" si="201"/>
        <v>0.17284860681031181</v>
      </c>
      <c r="R82" s="293">
        <f t="shared" si="201"/>
        <v>0.1762525050180602</v>
      </c>
      <c r="S82" s="111">
        <f t="shared" si="201"/>
        <v>0.17091999803314156</v>
      </c>
      <c r="T82" s="293">
        <f t="shared" si="201"/>
        <v>0.1777821485743008</v>
      </c>
      <c r="U82" s="111">
        <f t="shared" si="201"/>
        <v>0.16329995715577841</v>
      </c>
      <c r="V82" s="293">
        <f t="shared" si="201"/>
        <v>0.17407448547263524</v>
      </c>
      <c r="W82" s="111">
        <f t="shared" si="201"/>
        <v>0.17713483584184669</v>
      </c>
      <c r="X82" s="293">
        <f t="shared" si="201"/>
        <v>0.18838545322207492</v>
      </c>
      <c r="Y82" s="111">
        <f t="shared" si="201"/>
        <v>0.16237523689197725</v>
      </c>
      <c r="Z82" s="293">
        <f t="shared" ref="Z82" si="202">IF(Z81/Z63&lt;0, "NM",Z81/Z63)</f>
        <v>0.16490208464939987</v>
      </c>
      <c r="AA82" s="111">
        <f t="shared" si="201"/>
        <v>0.17553882278862928</v>
      </c>
      <c r="AB82" s="293">
        <f t="shared" ref="AB82" si="203">IF(AB81/AB63&lt;0, "NM",AB81/AB63)</f>
        <v>0.17619472393120908</v>
      </c>
      <c r="AC82" s="111">
        <f t="shared" ref="AC82" si="204">IF(AC81/AC63&lt;0, "NM",AC81/AC63)</f>
        <v>0.16005952467230025</v>
      </c>
      <c r="AD82" s="111"/>
    </row>
    <row r="83" spans="1:30" x14ac:dyDescent="0.25">
      <c r="A83" s="62" t="s">
        <v>136</v>
      </c>
      <c r="B83" s="114">
        <v>-0.10295404882902293</v>
      </c>
      <c r="C83" s="114">
        <f>C81/B81-1</f>
        <v>-0.28185328185328185</v>
      </c>
      <c r="D83" s="114">
        <f>D81/C81-1</f>
        <v>0.19291300097751707</v>
      </c>
      <c r="E83" s="114">
        <f>E81/D81-1</f>
        <v>6.8095218584832251E-2</v>
      </c>
      <c r="F83" s="111" t="s">
        <v>85</v>
      </c>
      <c r="G83" s="114">
        <f>G81/E81-1</f>
        <v>-4.9599140741877323E-2</v>
      </c>
      <c r="H83" s="114">
        <f>H81/G81-1</f>
        <v>8.4194381659670636E-2</v>
      </c>
      <c r="I83" s="114">
        <f>I81/H81-1</f>
        <v>0.23881319335864792</v>
      </c>
      <c r="J83" s="114">
        <f>J81/I81-1</f>
        <v>-0.10028865164755596</v>
      </c>
      <c r="K83" s="111" t="s">
        <v>85</v>
      </c>
      <c r="L83" s="114">
        <f>L81/J81-1</f>
        <v>1.5168909315450563E-2</v>
      </c>
      <c r="M83" s="114">
        <f>M81/L81-1</f>
        <v>-4.7307175301980142E-2</v>
      </c>
      <c r="N83" s="114">
        <f>N81/M81-1</f>
        <v>5.1250172675783912E-2</v>
      </c>
      <c r="O83" s="114">
        <f>O81/N81-1</f>
        <v>-5.446047838135204E-2</v>
      </c>
      <c r="P83" s="291">
        <f>P81/N81-1</f>
        <v>-2.4246410491551518E-2</v>
      </c>
      <c r="Q83" s="111" t="s">
        <v>85</v>
      </c>
      <c r="R83" s="293" t="s">
        <v>85</v>
      </c>
      <c r="S83" s="114">
        <f>S81/O81-1</f>
        <v>8.6920908041715039E-2</v>
      </c>
      <c r="T83" s="291">
        <f>T81/O81-1</f>
        <v>0.13055895498265579</v>
      </c>
      <c r="U83" s="114">
        <f t="shared" ref="U83:Z83" si="205">U81/S81-1</f>
        <v>-1.3137706175680886E-2</v>
      </c>
      <c r="V83" s="291">
        <f t="shared" si="205"/>
        <v>1.1370620774431517E-2</v>
      </c>
      <c r="W83" s="114">
        <f t="shared" si="205"/>
        <v>0.10358565737051784</v>
      </c>
      <c r="X83" s="291">
        <f t="shared" si="205"/>
        <v>0.10103312063202674</v>
      </c>
      <c r="Y83" s="114">
        <f t="shared" si="205"/>
        <v>-5.6969270053711329E-2</v>
      </c>
      <c r="Z83" s="291">
        <f t="shared" si="205"/>
        <v>-9.9489443907823882E-2</v>
      </c>
      <c r="AA83" s="111" t="s">
        <v>85</v>
      </c>
      <c r="AB83" s="293" t="s">
        <v>85</v>
      </c>
      <c r="AC83" s="111">
        <f>AC81/Z81-1</f>
        <v>1.5262028807845551E-2</v>
      </c>
      <c r="AD83" s="111"/>
    </row>
    <row r="84" spans="1:30" ht="13.8" thickBot="1" x14ac:dyDescent="0.3">
      <c r="A84" s="118" t="s">
        <v>137</v>
      </c>
      <c r="B84" s="83">
        <v>0.27974773382684548</v>
      </c>
      <c r="C84" s="83">
        <v>-7.2048663473413432E-2</v>
      </c>
      <c r="D84" s="83">
        <v>-0.14207880769095571</v>
      </c>
      <c r="E84" s="83">
        <v>-0.17918248855471386</v>
      </c>
      <c r="F84" s="83">
        <v>-4.8733170257015068E-2</v>
      </c>
      <c r="G84" s="83">
        <v>-0.13036153036153031</v>
      </c>
      <c r="H84" s="83">
        <v>0.31290322580645169</v>
      </c>
      <c r="I84" s="83">
        <v>0.36342033023312981</v>
      </c>
      <c r="J84" s="83">
        <v>0.14847882692563119</v>
      </c>
      <c r="K84" s="83">
        <f>K81/F81-1</f>
        <v>0.15518073743286465</v>
      </c>
      <c r="L84" s="83">
        <f t="shared" ref="L84:M84" si="206">L81/G81-1</f>
        <v>0.22674552189701913</v>
      </c>
      <c r="M84" s="83">
        <f t="shared" si="206"/>
        <v>7.79539870448962E-2</v>
      </c>
      <c r="N84" s="83">
        <f>N81/I81-1</f>
        <v>-8.5254079394176174E-2</v>
      </c>
      <c r="O84" s="83">
        <f>O81/J81-1</f>
        <v>-3.8660097201061561E-2</v>
      </c>
      <c r="P84" s="283">
        <f>P81/J81-1</f>
        <v>-7.9411389510477548E-3</v>
      </c>
      <c r="Q84" s="83">
        <f>Q81/K81-1</f>
        <v>3.2363154312761155E-2</v>
      </c>
      <c r="R84" s="283">
        <f>R81/K81-1</f>
        <v>5.2693425730957033E-2</v>
      </c>
      <c r="S84" s="83">
        <f t="shared" ref="S84" si="207">S81/L81-1</f>
        <v>2.9287274756625736E-2</v>
      </c>
      <c r="T84" s="283">
        <f>T81/L81-1</f>
        <v>7.0611428224670814E-2</v>
      </c>
      <c r="U84" s="83">
        <f>U81/M81-1</f>
        <v>6.6203895565685844E-2</v>
      </c>
      <c r="V84" s="283">
        <f>V81/M81-1</f>
        <v>0.13655200994612526</v>
      </c>
      <c r="W84" s="83">
        <f>W81/N81-1</f>
        <v>0.11928383705650458</v>
      </c>
      <c r="X84" s="283">
        <f>X81/N81-1</f>
        <v>0.1903745072273324</v>
      </c>
      <c r="Y84" s="83">
        <f>Y81/O81-1</f>
        <v>0.11631405112454618</v>
      </c>
      <c r="Z84" s="283">
        <f>Z81/P81-1</f>
        <v>9.8581466660291328E-2</v>
      </c>
      <c r="AA84" s="83">
        <f>AA81/Q81-1</f>
        <v>0.12855413505068203</v>
      </c>
      <c r="AB84" s="283">
        <f>AB81/R81-1</f>
        <v>0.1108942006653324</v>
      </c>
      <c r="AC84" s="83">
        <f>AC81/T81-1</f>
        <v>1.8070067609096574E-2</v>
      </c>
      <c r="AD84" s="114"/>
    </row>
    <row r="85" spans="1:30" ht="6" customHeight="1" x14ac:dyDescent="0.25">
      <c r="A85" s="116"/>
      <c r="B85" s="111"/>
      <c r="C85" s="111"/>
      <c r="D85" s="111"/>
      <c r="E85" s="111"/>
      <c r="F85" s="111"/>
      <c r="G85" s="111"/>
      <c r="H85" s="111"/>
      <c r="I85" s="111"/>
      <c r="J85" s="111"/>
      <c r="K85" s="111"/>
      <c r="L85" s="111"/>
      <c r="M85" s="111"/>
      <c r="N85" s="111"/>
      <c r="O85" s="111"/>
      <c r="P85" s="293"/>
      <c r="Q85" s="111"/>
      <c r="R85" s="293"/>
      <c r="S85" s="111"/>
      <c r="T85" s="293"/>
      <c r="V85" s="273"/>
      <c r="X85" s="273"/>
      <c r="Z85" s="273"/>
      <c r="AB85" s="273"/>
    </row>
    <row r="86" spans="1:30" x14ac:dyDescent="0.25">
      <c r="A86" s="61" t="s">
        <v>132</v>
      </c>
      <c r="B86" s="113">
        <f t="shared" ref="B86:AC86" si="208">B43</f>
        <v>11147</v>
      </c>
      <c r="C86" s="113">
        <f t="shared" si="208"/>
        <v>7762</v>
      </c>
      <c r="D86" s="113">
        <f t="shared" si="208"/>
        <v>6075</v>
      </c>
      <c r="E86" s="113">
        <f t="shared" si="208"/>
        <v>7461</v>
      </c>
      <c r="F86" s="113">
        <f t="shared" si="208"/>
        <v>32445</v>
      </c>
      <c r="G86" s="113">
        <f t="shared" si="208"/>
        <v>9567</v>
      </c>
      <c r="H86" s="113">
        <f t="shared" si="208"/>
        <v>12074</v>
      </c>
      <c r="I86" s="113">
        <f t="shared" si="208"/>
        <v>15162</v>
      </c>
      <c r="J86" s="113">
        <f t="shared" si="208"/>
        <v>14762</v>
      </c>
      <c r="K86" s="113">
        <f t="shared" si="208"/>
        <v>51565</v>
      </c>
      <c r="L86" s="113">
        <f t="shared" si="208"/>
        <v>13820</v>
      </c>
      <c r="M86" s="113">
        <f t="shared" si="208"/>
        <v>16375</v>
      </c>
      <c r="N86" s="113">
        <f t="shared" si="208"/>
        <v>16050</v>
      </c>
      <c r="O86" s="113">
        <f t="shared" si="208"/>
        <v>15488</v>
      </c>
      <c r="P86" s="274">
        <f t="shared" si="208"/>
        <v>15488.093070032821</v>
      </c>
      <c r="Q86" s="113">
        <f t="shared" si="208"/>
        <v>61733</v>
      </c>
      <c r="R86" s="274">
        <f t="shared" si="208"/>
        <v>61733.103829148327</v>
      </c>
      <c r="S86" s="113">
        <f t="shared" si="208"/>
        <v>16787.93548</v>
      </c>
      <c r="T86" s="274">
        <f t="shared" si="208"/>
        <v>16788</v>
      </c>
      <c r="U86" s="113">
        <f t="shared" si="208"/>
        <v>20378</v>
      </c>
      <c r="V86" s="274">
        <f t="shared" si="208"/>
        <v>20378</v>
      </c>
      <c r="W86" s="113">
        <f t="shared" si="208"/>
        <v>21077</v>
      </c>
      <c r="X86" s="274">
        <f t="shared" si="208"/>
        <v>21077</v>
      </c>
      <c r="Y86" s="113">
        <f t="shared" si="208"/>
        <v>-9355</v>
      </c>
      <c r="Z86" s="335">
        <f t="shared" ref="Z86" si="209">Z43</f>
        <v>-9355</v>
      </c>
      <c r="AA86" s="113">
        <f t="shared" si="208"/>
        <v>48888</v>
      </c>
      <c r="AB86" s="274">
        <f t="shared" ref="AB86" si="210">AB43</f>
        <v>48888</v>
      </c>
      <c r="AC86" s="113">
        <f t="shared" si="208"/>
        <v>23158</v>
      </c>
      <c r="AD86" s="367"/>
    </row>
    <row r="87" spans="1:30" x14ac:dyDescent="0.25">
      <c r="A87" s="65" t="s">
        <v>218</v>
      </c>
      <c r="B87" s="112">
        <f t="shared" ref="B87:AA87" si="211">B67</f>
        <v>4176</v>
      </c>
      <c r="C87" s="112">
        <f t="shared" si="211"/>
        <v>1966</v>
      </c>
      <c r="D87" s="112">
        <f t="shared" si="211"/>
        <v>2376</v>
      </c>
      <c r="E87" s="112">
        <f t="shared" si="211"/>
        <v>2493</v>
      </c>
      <c r="F87" s="112">
        <f t="shared" si="211"/>
        <v>11011</v>
      </c>
      <c r="G87" s="112">
        <f t="shared" si="211"/>
        <v>4255</v>
      </c>
      <c r="H87" s="112">
        <f t="shared" si="211"/>
        <v>3553</v>
      </c>
      <c r="I87" s="112">
        <f t="shared" si="211"/>
        <v>4471</v>
      </c>
      <c r="J87" s="112">
        <f t="shared" si="211"/>
        <v>3767.6945391242807</v>
      </c>
      <c r="K87" s="112">
        <f t="shared" si="211"/>
        <v>16047</v>
      </c>
      <c r="L87" s="112">
        <f t="shared" si="211"/>
        <v>5808.8470505205478</v>
      </c>
      <c r="M87" s="112">
        <f t="shared" si="211"/>
        <v>4450</v>
      </c>
      <c r="N87" s="112">
        <f t="shared" si="211"/>
        <v>4484</v>
      </c>
      <c r="O87" s="112">
        <f t="shared" si="211"/>
        <v>5027.2230380716428</v>
      </c>
      <c r="P87" s="290">
        <f t="shared" si="211"/>
        <v>5027.2230380716428</v>
      </c>
      <c r="Q87" s="112">
        <f t="shared" si="211"/>
        <v>19770.070088592191</v>
      </c>
      <c r="R87" s="290">
        <f t="shared" si="211"/>
        <v>19770.070088592191</v>
      </c>
      <c r="S87" s="112">
        <f t="shared" si="211"/>
        <v>5956</v>
      </c>
      <c r="T87" s="290">
        <f t="shared" si="211"/>
        <v>5956</v>
      </c>
      <c r="U87" s="112">
        <f t="shared" si="211"/>
        <v>5107</v>
      </c>
      <c r="V87" s="290">
        <f t="shared" si="211"/>
        <v>5107</v>
      </c>
      <c r="W87" s="112">
        <f t="shared" si="211"/>
        <v>5708</v>
      </c>
      <c r="X87" s="290">
        <f t="shared" si="211"/>
        <v>5708</v>
      </c>
      <c r="Y87" s="112">
        <f t="shared" si="211"/>
        <v>6270</v>
      </c>
      <c r="Z87" s="337">
        <f t="shared" ref="Z87" si="212">Z67</f>
        <v>6270</v>
      </c>
      <c r="AA87" s="112">
        <f t="shared" si="211"/>
        <v>23041</v>
      </c>
      <c r="AB87" s="290">
        <f t="shared" ref="AB87" si="213">AB67</f>
        <v>23041</v>
      </c>
      <c r="AC87" s="112">
        <f t="shared" ref="AC87" si="214">AC67</f>
        <v>5074</v>
      </c>
      <c r="AD87" s="112"/>
    </row>
    <row r="88" spans="1:30" x14ac:dyDescent="0.25">
      <c r="A88" s="65" t="s">
        <v>217</v>
      </c>
      <c r="B88" s="112">
        <f t="shared" ref="B88:AA88" si="215">B66</f>
        <v>1536.3753999999999</v>
      </c>
      <c r="C88" s="112">
        <f t="shared" si="215"/>
        <v>1488.9848000000002</v>
      </c>
      <c r="D88" s="112">
        <f t="shared" si="215"/>
        <v>1441</v>
      </c>
      <c r="E88" s="112">
        <f t="shared" si="215"/>
        <v>2157</v>
      </c>
      <c r="F88" s="112">
        <f t="shared" si="215"/>
        <v>6623</v>
      </c>
      <c r="G88" s="112">
        <f t="shared" si="215"/>
        <v>2059</v>
      </c>
      <c r="H88" s="112">
        <f t="shared" si="215"/>
        <v>2808</v>
      </c>
      <c r="I88" s="112">
        <f t="shared" si="215"/>
        <v>2642</v>
      </c>
      <c r="J88" s="112">
        <f t="shared" si="215"/>
        <v>2717</v>
      </c>
      <c r="K88" s="112">
        <f t="shared" si="215"/>
        <v>10226</v>
      </c>
      <c r="L88" s="112">
        <f t="shared" si="215"/>
        <v>2715</v>
      </c>
      <c r="M88" s="112">
        <f t="shared" si="215"/>
        <v>2718</v>
      </c>
      <c r="N88" s="112">
        <f t="shared" si="215"/>
        <v>2848</v>
      </c>
      <c r="O88" s="112">
        <f t="shared" si="215"/>
        <v>3592.1</v>
      </c>
      <c r="P88" s="290">
        <f t="shared" si="215"/>
        <v>3592.1</v>
      </c>
      <c r="Q88" s="112">
        <f t="shared" si="215"/>
        <v>11873.1</v>
      </c>
      <c r="R88" s="290">
        <f t="shared" si="215"/>
        <v>11873.1</v>
      </c>
      <c r="S88" s="112">
        <f t="shared" si="215"/>
        <v>3498</v>
      </c>
      <c r="T88" s="290">
        <f t="shared" si="215"/>
        <v>3498</v>
      </c>
      <c r="U88" s="112">
        <f t="shared" si="215"/>
        <v>3507</v>
      </c>
      <c r="V88" s="290">
        <f t="shared" si="215"/>
        <v>3507</v>
      </c>
      <c r="W88" s="112">
        <f t="shared" si="215"/>
        <v>3487</v>
      </c>
      <c r="X88" s="290">
        <f t="shared" si="215"/>
        <v>3487</v>
      </c>
      <c r="Y88" s="112">
        <f t="shared" si="215"/>
        <v>3483</v>
      </c>
      <c r="Z88" s="337">
        <f t="shared" ref="Z88" si="216">Z66</f>
        <v>3483</v>
      </c>
      <c r="AA88" s="112">
        <f t="shared" si="215"/>
        <v>13975</v>
      </c>
      <c r="AB88" s="290">
        <f t="shared" ref="AB88" si="217">AB66</f>
        <v>13975</v>
      </c>
      <c r="AC88" s="112">
        <f t="shared" ref="AC88" si="218">AC66</f>
        <v>3947</v>
      </c>
      <c r="AD88" s="112"/>
    </row>
    <row r="89" spans="1:30" x14ac:dyDescent="0.25">
      <c r="A89" s="65" t="s">
        <v>162</v>
      </c>
      <c r="B89" s="112">
        <f t="shared" ref="B89:AA89" si="219">B79</f>
        <v>2471</v>
      </c>
      <c r="C89" s="112">
        <f t="shared" si="219"/>
        <v>5718</v>
      </c>
      <c r="D89" s="112">
        <f t="shared" si="219"/>
        <v>9626</v>
      </c>
      <c r="E89" s="112">
        <f t="shared" si="219"/>
        <v>8532</v>
      </c>
      <c r="F89" s="112">
        <f t="shared" si="219"/>
        <v>26347</v>
      </c>
      <c r="G89" s="112">
        <f t="shared" si="219"/>
        <v>0</v>
      </c>
      <c r="H89" s="112">
        <f t="shared" si="219"/>
        <v>0</v>
      </c>
      <c r="I89" s="112">
        <f t="shared" si="219"/>
        <v>0</v>
      </c>
      <c r="J89" s="112">
        <f t="shared" si="219"/>
        <v>0</v>
      </c>
      <c r="K89" s="112">
        <f t="shared" si="219"/>
        <v>0</v>
      </c>
      <c r="L89" s="112">
        <f t="shared" si="219"/>
        <v>0</v>
      </c>
      <c r="M89" s="112">
        <f t="shared" si="219"/>
        <v>0</v>
      </c>
      <c r="N89" s="112">
        <f t="shared" si="219"/>
        <v>0</v>
      </c>
      <c r="O89" s="112">
        <f t="shared" si="219"/>
        <v>0</v>
      </c>
      <c r="P89" s="290">
        <f t="shared" si="219"/>
        <v>0</v>
      </c>
      <c r="Q89" s="112">
        <f t="shared" si="219"/>
        <v>0</v>
      </c>
      <c r="R89" s="290">
        <f t="shared" si="219"/>
        <v>0</v>
      </c>
      <c r="S89" s="112">
        <f t="shared" si="219"/>
        <v>0</v>
      </c>
      <c r="T89" s="290">
        <f t="shared" si="219"/>
        <v>0</v>
      </c>
      <c r="U89" s="112">
        <f t="shared" si="219"/>
        <v>0</v>
      </c>
      <c r="V89" s="290">
        <f t="shared" si="219"/>
        <v>0</v>
      </c>
      <c r="W89" s="112">
        <f t="shared" si="219"/>
        <v>0</v>
      </c>
      <c r="X89" s="290">
        <f t="shared" si="219"/>
        <v>0</v>
      </c>
      <c r="Y89" s="112">
        <f t="shared" si="219"/>
        <v>0</v>
      </c>
      <c r="Z89" s="337">
        <f t="shared" ref="Z89" si="220">Z79</f>
        <v>0</v>
      </c>
      <c r="AA89" s="112">
        <f t="shared" si="219"/>
        <v>0</v>
      </c>
      <c r="AB89" s="290">
        <f t="shared" ref="AB89" si="221">AB79</f>
        <v>0</v>
      </c>
      <c r="AC89" s="112">
        <f t="shared" ref="AC89" si="222">AC79</f>
        <v>0</v>
      </c>
      <c r="AD89" s="112"/>
    </row>
    <row r="90" spans="1:30" x14ac:dyDescent="0.25">
      <c r="A90" s="65" t="s">
        <v>134</v>
      </c>
      <c r="B90" s="30">
        <v>-1596.0031416096554</v>
      </c>
      <c r="C90" s="30">
        <v>-751</v>
      </c>
      <c r="D90" s="30">
        <v>-907</v>
      </c>
      <c r="E90" s="30">
        <v>-951</v>
      </c>
      <c r="F90" s="112">
        <v>-4205</v>
      </c>
      <c r="G90" s="30">
        <v>-1626</v>
      </c>
      <c r="H90" s="30">
        <v>-1320</v>
      </c>
      <c r="I90" s="30">
        <v>-1704</v>
      </c>
      <c r="J90" s="30">
        <v>-1431</v>
      </c>
      <c r="K90" s="112">
        <f>SUM(G90:J90)</f>
        <v>-6081</v>
      </c>
      <c r="L90" s="30">
        <f>-2336+180</f>
        <v>-2156</v>
      </c>
      <c r="M90" s="30">
        <v>-1600</v>
      </c>
      <c r="N90" s="30">
        <v>-1561.4</v>
      </c>
      <c r="O90" s="30">
        <v>-1898.4</v>
      </c>
      <c r="P90" s="276">
        <f t="shared" ref="P90:P95" si="223">O90</f>
        <v>-1898.4</v>
      </c>
      <c r="Q90" s="112">
        <f t="shared" ref="Q90:Q94" si="224">SUM(L90:O90)</f>
        <v>-7215.7999999999993</v>
      </c>
      <c r="R90" s="276">
        <f t="shared" ref="R90:R95" si="225">Q90</f>
        <v>-7215.7999999999993</v>
      </c>
      <c r="S90" s="30">
        <v>-4260.3999999999996</v>
      </c>
      <c r="T90" s="276">
        <v>-4260.3999999999996</v>
      </c>
      <c r="U90" s="30">
        <v>-3483.4</v>
      </c>
      <c r="V90" s="276">
        <v>-3483.4</v>
      </c>
      <c r="W90" s="30">
        <v>-5563.7</v>
      </c>
      <c r="X90" s="276">
        <v>-5563.7</v>
      </c>
      <c r="Y90" s="28">
        <f>ROUND(+AA90-SUM(T90,V90,X90),0)</f>
        <v>-5063</v>
      </c>
      <c r="Z90" s="288">
        <f>ROUND(+AB90-SUM(T90,V90,X90),0)</f>
        <v>-5063</v>
      </c>
      <c r="AA90" s="28">
        <v>-18370</v>
      </c>
      <c r="AB90" s="276">
        <v>-18370</v>
      </c>
      <c r="AC90" s="28">
        <v>-5913.4848000000002</v>
      </c>
      <c r="AD90" s="28"/>
    </row>
    <row r="91" spans="1:30" x14ac:dyDescent="0.25">
      <c r="A91" s="65" t="s">
        <v>219</v>
      </c>
      <c r="B91" s="30">
        <v>-170</v>
      </c>
      <c r="C91" s="30">
        <v>-170</v>
      </c>
      <c r="D91" s="30">
        <v>-191</v>
      </c>
      <c r="E91" s="30">
        <v>-348</v>
      </c>
      <c r="F91" s="112">
        <v>-879</v>
      </c>
      <c r="G91" s="30">
        <v>-433</v>
      </c>
      <c r="H91" s="30">
        <v>-716.4</v>
      </c>
      <c r="I91" s="30">
        <v>-656</v>
      </c>
      <c r="J91" s="30">
        <v>-679</v>
      </c>
      <c r="K91" s="112">
        <f>SUM(G91:J91)</f>
        <v>-2484.4</v>
      </c>
      <c r="L91" s="30">
        <v>-720</v>
      </c>
      <c r="M91" s="30">
        <v>-734</v>
      </c>
      <c r="N91" s="30">
        <v>-717.4</v>
      </c>
      <c r="O91" s="30">
        <v>-901.4</v>
      </c>
      <c r="P91" s="276">
        <f t="shared" si="223"/>
        <v>-901.4</v>
      </c>
      <c r="Q91" s="112">
        <f>ROUND(SUM(L91:O91),0)</f>
        <v>-3073</v>
      </c>
      <c r="R91" s="276">
        <f t="shared" si="225"/>
        <v>-3073</v>
      </c>
      <c r="S91" s="30">
        <v>-951</v>
      </c>
      <c r="T91" s="276">
        <v>-951</v>
      </c>
      <c r="U91" s="30">
        <v>-948.89</v>
      </c>
      <c r="V91" s="276">
        <v>-948.89</v>
      </c>
      <c r="W91" s="30">
        <v>-942.49</v>
      </c>
      <c r="X91" s="276">
        <v>-942.49</v>
      </c>
      <c r="Y91" s="28">
        <f t="shared" ref="Y91:Y95" si="226">+AA91-SUM(T91,V91,X91)</f>
        <v>-946.61999999999989</v>
      </c>
      <c r="Z91" s="288">
        <f>ROUND(+AB91-SUM(T91,V91,X91),0)</f>
        <v>-947</v>
      </c>
      <c r="AA91" s="28">
        <v>-3789</v>
      </c>
      <c r="AB91" s="276">
        <v>-3789</v>
      </c>
      <c r="AC91" s="28">
        <v>-725.53359999999998</v>
      </c>
      <c r="AD91" s="28"/>
    </row>
    <row r="92" spans="1:30" x14ac:dyDescent="0.25">
      <c r="A92" s="65" t="s">
        <v>161</v>
      </c>
      <c r="B92" s="30">
        <v>-938.98</v>
      </c>
      <c r="C92" s="30">
        <v>-2173</v>
      </c>
      <c r="D92" s="30">
        <v>-3658</v>
      </c>
      <c r="E92" s="30">
        <v>-3242</v>
      </c>
      <c r="F92" s="112">
        <v>-10012</v>
      </c>
      <c r="G92" s="30">
        <v>0</v>
      </c>
      <c r="H92" s="30">
        <v>0</v>
      </c>
      <c r="I92" s="30">
        <v>0</v>
      </c>
      <c r="J92" s="30">
        <v>0</v>
      </c>
      <c r="K92" s="30">
        <v>0</v>
      </c>
      <c r="L92" s="30">
        <v>0</v>
      </c>
      <c r="M92" s="30">
        <v>0</v>
      </c>
      <c r="N92" s="30">
        <v>0</v>
      </c>
      <c r="O92" s="30">
        <v>0</v>
      </c>
      <c r="P92" s="276">
        <f t="shared" si="223"/>
        <v>0</v>
      </c>
      <c r="Q92" s="112">
        <f t="shared" si="224"/>
        <v>0</v>
      </c>
      <c r="R92" s="276">
        <f t="shared" si="225"/>
        <v>0</v>
      </c>
      <c r="S92" s="30">
        <v>0</v>
      </c>
      <c r="T92" s="276">
        <v>0</v>
      </c>
      <c r="U92" s="30">
        <v>0</v>
      </c>
      <c r="V92" s="276">
        <v>0</v>
      </c>
      <c r="W92" s="30">
        <v>0</v>
      </c>
      <c r="X92" s="276">
        <v>0</v>
      </c>
      <c r="Y92" s="28">
        <f t="shared" si="226"/>
        <v>0</v>
      </c>
      <c r="Z92" s="276">
        <f t="shared" ref="Z92:Z95" si="227">+AB92-SUM(T92,V92,X92)</f>
        <v>0</v>
      </c>
      <c r="AA92" s="30">
        <v>0</v>
      </c>
      <c r="AB92" s="276">
        <v>0</v>
      </c>
      <c r="AC92" s="30">
        <v>0</v>
      </c>
      <c r="AD92" s="30"/>
    </row>
    <row r="93" spans="1:30" x14ac:dyDescent="0.25">
      <c r="A93" s="65" t="s">
        <v>246</v>
      </c>
      <c r="B93" s="152">
        <v>0</v>
      </c>
      <c r="C93" s="152">
        <v>0</v>
      </c>
      <c r="D93" s="152">
        <v>0</v>
      </c>
      <c r="E93" s="152">
        <v>0</v>
      </c>
      <c r="F93" s="152">
        <v>0</v>
      </c>
      <c r="G93" s="152">
        <v>0</v>
      </c>
      <c r="H93" s="152">
        <v>0</v>
      </c>
      <c r="I93" s="152">
        <v>0</v>
      </c>
      <c r="J93" s="152">
        <v>0</v>
      </c>
      <c r="K93" s="152">
        <v>0</v>
      </c>
      <c r="L93" s="152">
        <v>0</v>
      </c>
      <c r="M93" s="152">
        <v>0</v>
      </c>
      <c r="N93" s="152">
        <v>0</v>
      </c>
      <c r="O93" s="152">
        <v>0</v>
      </c>
      <c r="P93" s="294">
        <f t="shared" si="223"/>
        <v>0</v>
      </c>
      <c r="Q93" s="112">
        <f t="shared" si="224"/>
        <v>0</v>
      </c>
      <c r="R93" s="294">
        <f t="shared" si="225"/>
        <v>0</v>
      </c>
      <c r="S93" s="152">
        <v>0</v>
      </c>
      <c r="T93" s="294">
        <v>0</v>
      </c>
      <c r="U93" s="152">
        <v>0</v>
      </c>
      <c r="V93" s="294">
        <v>0</v>
      </c>
      <c r="W93" s="152">
        <v>0</v>
      </c>
      <c r="X93" s="294">
        <v>0</v>
      </c>
      <c r="Y93" s="28">
        <f t="shared" si="226"/>
        <v>0</v>
      </c>
      <c r="Z93" s="276">
        <f t="shared" si="227"/>
        <v>0</v>
      </c>
      <c r="AA93" s="152">
        <v>0</v>
      </c>
      <c r="AB93" s="294">
        <v>0</v>
      </c>
      <c r="AC93" s="112">
        <v>1787.52</v>
      </c>
      <c r="AD93" s="112"/>
    </row>
    <row r="94" spans="1:30" x14ac:dyDescent="0.25">
      <c r="A94" s="65" t="s">
        <v>247</v>
      </c>
      <c r="B94" s="152">
        <v>0</v>
      </c>
      <c r="C94" s="152">
        <v>0</v>
      </c>
      <c r="D94" s="152">
        <v>0</v>
      </c>
      <c r="E94" s="152">
        <v>0</v>
      </c>
      <c r="F94" s="152">
        <v>0</v>
      </c>
      <c r="G94" s="152">
        <v>0</v>
      </c>
      <c r="H94" s="152">
        <v>0</v>
      </c>
      <c r="I94" s="152">
        <v>0</v>
      </c>
      <c r="J94" s="152">
        <v>0</v>
      </c>
      <c r="K94" s="152">
        <v>0</v>
      </c>
      <c r="L94" s="152">
        <v>0</v>
      </c>
      <c r="M94" s="152">
        <v>0</v>
      </c>
      <c r="N94" s="152">
        <v>0</v>
      </c>
      <c r="O94" s="152">
        <v>0</v>
      </c>
      <c r="P94" s="294">
        <f t="shared" si="223"/>
        <v>0</v>
      </c>
      <c r="Q94" s="112">
        <f t="shared" si="224"/>
        <v>0</v>
      </c>
      <c r="R94" s="294">
        <f t="shared" si="225"/>
        <v>0</v>
      </c>
      <c r="S94" s="152">
        <v>0</v>
      </c>
      <c r="T94" s="294">
        <v>0</v>
      </c>
      <c r="U94" s="152">
        <v>0</v>
      </c>
      <c r="V94" s="294">
        <v>0</v>
      </c>
      <c r="W94" s="152">
        <v>0</v>
      </c>
      <c r="X94" s="294">
        <v>0</v>
      </c>
      <c r="Y94" s="28">
        <f t="shared" si="226"/>
        <v>29185</v>
      </c>
      <c r="Z94" s="288">
        <f t="shared" si="227"/>
        <v>29185</v>
      </c>
      <c r="AA94" s="112">
        <v>29185</v>
      </c>
      <c r="AB94" s="294">
        <v>29185</v>
      </c>
      <c r="AC94" s="112">
        <v>-4836</v>
      </c>
      <c r="AD94" s="112"/>
    </row>
    <row r="95" spans="1:30" x14ac:dyDescent="0.25">
      <c r="A95" s="65" t="s">
        <v>175</v>
      </c>
      <c r="B95" s="152"/>
      <c r="C95" s="152"/>
      <c r="D95" s="152"/>
      <c r="E95" s="152"/>
      <c r="F95" s="152"/>
      <c r="G95" s="152"/>
      <c r="H95" s="152"/>
      <c r="I95" s="152"/>
      <c r="J95" s="152"/>
      <c r="K95" s="152"/>
      <c r="L95" s="112">
        <v>-150</v>
      </c>
      <c r="M95" s="112">
        <v>-2365</v>
      </c>
      <c r="N95" s="112">
        <v>0</v>
      </c>
      <c r="O95" s="112">
        <v>0</v>
      </c>
      <c r="P95" s="290">
        <f t="shared" si="223"/>
        <v>0</v>
      </c>
      <c r="Q95" s="112">
        <f>ROUND(SUM(L95:O95),0)</f>
        <v>-2515</v>
      </c>
      <c r="R95" s="290">
        <f t="shared" si="225"/>
        <v>-2515</v>
      </c>
      <c r="S95" s="112">
        <v>0</v>
      </c>
      <c r="T95" s="290">
        <v>0</v>
      </c>
      <c r="U95" s="112">
        <v>0</v>
      </c>
      <c r="V95" s="290">
        <v>0</v>
      </c>
      <c r="W95" s="112">
        <v>0</v>
      </c>
      <c r="X95" s="290">
        <v>0</v>
      </c>
      <c r="Y95" s="28">
        <f t="shared" si="226"/>
        <v>0</v>
      </c>
      <c r="Z95" s="276">
        <f t="shared" si="227"/>
        <v>0</v>
      </c>
      <c r="AA95" s="112">
        <v>0</v>
      </c>
      <c r="AB95" s="290">
        <v>0</v>
      </c>
      <c r="AC95" s="112">
        <v>0</v>
      </c>
      <c r="AD95" s="112"/>
    </row>
    <row r="96" spans="1:30" x14ac:dyDescent="0.25">
      <c r="A96" s="61" t="s">
        <v>139</v>
      </c>
      <c r="B96" s="113">
        <f t="shared" ref="B96:K96" si="228">SUM(B86:B94)</f>
        <v>16625.392258390344</v>
      </c>
      <c r="C96" s="113">
        <f t="shared" si="228"/>
        <v>13840.984799999998</v>
      </c>
      <c r="D96" s="113">
        <f t="shared" si="228"/>
        <v>14762</v>
      </c>
      <c r="E96" s="113">
        <f t="shared" si="228"/>
        <v>16102</v>
      </c>
      <c r="F96" s="113">
        <f t="shared" si="228"/>
        <v>61330</v>
      </c>
      <c r="G96" s="113">
        <f t="shared" si="228"/>
        <v>13822</v>
      </c>
      <c r="H96" s="113">
        <f t="shared" si="228"/>
        <v>16398.599999999999</v>
      </c>
      <c r="I96" s="113">
        <f t="shared" si="228"/>
        <v>19915</v>
      </c>
      <c r="J96" s="113">
        <f t="shared" si="228"/>
        <v>19136.694539124281</v>
      </c>
      <c r="K96" s="113">
        <f t="shared" si="228"/>
        <v>69272.600000000006</v>
      </c>
      <c r="L96" s="113">
        <f t="shared" ref="L96:AA96" si="229">SUM(L86:L95)</f>
        <v>19317.847050520548</v>
      </c>
      <c r="M96" s="113">
        <f t="shared" si="229"/>
        <v>18844</v>
      </c>
      <c r="N96" s="113">
        <f t="shared" si="229"/>
        <v>21103.199999999997</v>
      </c>
      <c r="O96" s="113">
        <f t="shared" si="229"/>
        <v>21307.523038071638</v>
      </c>
      <c r="P96" s="274">
        <f>SUM(P86:P95)</f>
        <v>21307.616108104459</v>
      </c>
      <c r="Q96" s="113">
        <f t="shared" si="229"/>
        <v>80572.370088592186</v>
      </c>
      <c r="R96" s="274">
        <f>SUM(R86:R95)</f>
        <v>80572.473917740528</v>
      </c>
      <c r="S96" s="113">
        <f t="shared" si="229"/>
        <v>21030.535479999999</v>
      </c>
      <c r="T96" s="274">
        <f t="shared" si="229"/>
        <v>21030.6</v>
      </c>
      <c r="U96" s="113">
        <f t="shared" si="229"/>
        <v>24559.71</v>
      </c>
      <c r="V96" s="274">
        <f t="shared" ref="V96" si="230">SUM(V86:V95)</f>
        <v>24559.71</v>
      </c>
      <c r="W96" s="113">
        <f t="shared" si="229"/>
        <v>23765.809999999998</v>
      </c>
      <c r="X96" s="274">
        <f t="shared" ref="X96" si="231">SUM(X86:X95)</f>
        <v>23765.809999999998</v>
      </c>
      <c r="Y96" s="113">
        <f t="shared" si="229"/>
        <v>23573.38</v>
      </c>
      <c r="Z96" s="274">
        <f t="shared" ref="Z96" si="232">SUM(Z86:Z95)</f>
        <v>23573</v>
      </c>
      <c r="AA96" s="113">
        <f t="shared" si="229"/>
        <v>92930</v>
      </c>
      <c r="AB96" s="274">
        <f t="shared" ref="AB96" si="233">SUM(AB86:AB95)</f>
        <v>92930</v>
      </c>
      <c r="AC96" s="113">
        <f t="shared" ref="AC96" si="234">SUM(AC86:AC95)</f>
        <v>22491.501600000003</v>
      </c>
      <c r="AD96" s="367"/>
    </row>
    <row r="97" spans="1:30" x14ac:dyDescent="0.25">
      <c r="A97" s="116" t="s">
        <v>140</v>
      </c>
      <c r="B97" s="111">
        <f t="shared" ref="B97:AA97" si="235">IF(B96/B63&lt;0, "NM",B96/B63)</f>
        <v>0.13378659235193568</v>
      </c>
      <c r="C97" s="111">
        <f t="shared" si="235"/>
        <v>0.11032541129957912</v>
      </c>
      <c r="D97" s="111">
        <f t="shared" si="235"/>
        <v>0.11176305807711817</v>
      </c>
      <c r="E97" s="111">
        <f t="shared" si="235"/>
        <v>0.11196095064595531</v>
      </c>
      <c r="F97" s="111">
        <f t="shared" si="235"/>
        <v>0.11668014268727706</v>
      </c>
      <c r="G97" s="111">
        <f t="shared" si="235"/>
        <v>9.6313845725036581E-2</v>
      </c>
      <c r="H97" s="111">
        <f t="shared" si="235"/>
        <v>0.10537523856034853</v>
      </c>
      <c r="I97" s="111">
        <f t="shared" si="235"/>
        <v>0.12180204644563097</v>
      </c>
      <c r="J97" s="111">
        <f t="shared" si="235"/>
        <v>0.11537999095083916</v>
      </c>
      <c r="K97" s="111">
        <f t="shared" si="235"/>
        <v>0.11022033693348524</v>
      </c>
      <c r="L97" s="111">
        <f t="shared" si="235"/>
        <v>0.11565080013003513</v>
      </c>
      <c r="M97" s="111">
        <f t="shared" si="235"/>
        <v>0.1105362568777203</v>
      </c>
      <c r="N97" s="111">
        <f t="shared" si="235"/>
        <v>0.1232663551401869</v>
      </c>
      <c r="O97" s="111">
        <f t="shared" si="235"/>
        <v>0.12019542086302355</v>
      </c>
      <c r="P97" s="293">
        <f>IF(P96/P63&lt;0, "NM",P96/P63)</f>
        <v>0.12019594586969583</v>
      </c>
      <c r="Q97" s="111">
        <f t="shared" si="235"/>
        <v>0.11745448912895297</v>
      </c>
      <c r="R97" s="293">
        <f>IF(R96/R63&lt;0, "NM",R96/R63)</f>
        <v>0.11745464048604426</v>
      </c>
      <c r="S97" s="111">
        <f t="shared" si="235"/>
        <v>0.11490023919183971</v>
      </c>
      <c r="T97" s="293">
        <f t="shared" si="235"/>
        <v>0.11490059169657929</v>
      </c>
      <c r="U97" s="111">
        <f t="shared" si="235"/>
        <v>0.12990637744172392</v>
      </c>
      <c r="V97" s="293">
        <f t="shared" si="235"/>
        <v>0.12990637744172392</v>
      </c>
      <c r="W97" s="111">
        <f t="shared" si="235"/>
        <v>0.12355824170110997</v>
      </c>
      <c r="X97" s="293">
        <f t="shared" si="235"/>
        <v>0.12355824170110997</v>
      </c>
      <c r="Y97" s="111">
        <f t="shared" si="235"/>
        <v>0.11913268477574226</v>
      </c>
      <c r="Z97" s="293">
        <f t="shared" ref="Z97" si="236">IF(Z96/Z63&lt;0, "NM",Z96/Z63)</f>
        <v>0.11913076437144662</v>
      </c>
      <c r="AA97" s="111">
        <f t="shared" si="235"/>
        <v>0.12190578635987984</v>
      </c>
      <c r="AB97" s="293">
        <f t="shared" ref="AB97" si="237">IF(AB96/AB63&lt;0, "NM",AB96/AB63)</f>
        <v>0.12190578635987984</v>
      </c>
      <c r="AC97" s="111">
        <f t="shared" ref="AC97" si="238">IF(AC96/AC63&lt;0, "NM",AC96/AC63)</f>
        <v>0.10866877128900873</v>
      </c>
      <c r="AD97" s="111"/>
    </row>
    <row r="98" spans="1:30" ht="6" customHeight="1" x14ac:dyDescent="0.25">
      <c r="A98" s="116"/>
      <c r="B98" s="111"/>
      <c r="C98" s="111"/>
      <c r="D98" s="111"/>
      <c r="E98" s="111"/>
      <c r="F98" s="111"/>
      <c r="G98" s="111"/>
      <c r="H98" s="111"/>
      <c r="I98" s="111"/>
      <c r="J98" s="111"/>
      <c r="K98" s="111"/>
      <c r="L98" s="111"/>
      <c r="M98" s="111"/>
      <c r="N98" s="111"/>
      <c r="O98" s="111"/>
      <c r="P98" s="293"/>
      <c r="Q98" s="111"/>
      <c r="R98" s="293"/>
      <c r="S98" s="111"/>
      <c r="T98" s="293"/>
      <c r="V98" s="273"/>
      <c r="X98" s="273"/>
      <c r="Z98" s="273"/>
      <c r="AB98" s="273"/>
    </row>
    <row r="99" spans="1:30" x14ac:dyDescent="0.25">
      <c r="A99" s="117" t="s">
        <v>141</v>
      </c>
      <c r="B99" s="115">
        <f>B96/B58</f>
        <v>0.49734119730310444</v>
      </c>
      <c r="C99" s="115">
        <f>C96/C58</f>
        <v>0.41103286749878409</v>
      </c>
      <c r="D99" s="115">
        <f>D96/D58</f>
        <v>0.43834506517307553</v>
      </c>
      <c r="E99" s="115">
        <f>E96/E58</f>
        <v>0.47693431972998951</v>
      </c>
      <c r="F99" s="115">
        <f>F96/F58</f>
        <v>1.8233119114294594</v>
      </c>
      <c r="G99" s="115">
        <f t="shared" ref="G99:AA99" si="239">ROUND(G96/G58,2)</f>
        <v>0.41</v>
      </c>
      <c r="H99" s="115">
        <f t="shared" si="239"/>
        <v>0.48</v>
      </c>
      <c r="I99" s="115">
        <f t="shared" si="239"/>
        <v>0.57999999999999996</v>
      </c>
      <c r="J99" s="115">
        <f t="shared" si="239"/>
        <v>0.56000000000000005</v>
      </c>
      <c r="K99" s="115">
        <f t="shared" si="239"/>
        <v>2.0299999999999998</v>
      </c>
      <c r="L99" s="115">
        <f t="shared" si="239"/>
        <v>0.56000000000000005</v>
      </c>
      <c r="M99" s="115">
        <f t="shared" si="239"/>
        <v>0.55000000000000004</v>
      </c>
      <c r="N99" s="115">
        <f t="shared" si="239"/>
        <v>0.61</v>
      </c>
      <c r="O99" s="115">
        <f t="shared" si="239"/>
        <v>0.61</v>
      </c>
      <c r="P99" s="295">
        <f>ROUND(P96/P58,2)</f>
        <v>0.61</v>
      </c>
      <c r="Q99" s="115">
        <f t="shared" si="239"/>
        <v>2.33</v>
      </c>
      <c r="R99" s="295">
        <f>ROUND(R96/R58,2)</f>
        <v>2.33</v>
      </c>
      <c r="S99" s="115">
        <f t="shared" si="239"/>
        <v>0.6</v>
      </c>
      <c r="T99" s="295">
        <f t="shared" si="239"/>
        <v>0.6</v>
      </c>
      <c r="U99" s="115">
        <f t="shared" si="239"/>
        <v>0.7</v>
      </c>
      <c r="V99" s="295">
        <f t="shared" si="239"/>
        <v>0.7</v>
      </c>
      <c r="W99" s="115">
        <f t="shared" si="239"/>
        <v>0.68</v>
      </c>
      <c r="X99" s="295">
        <f t="shared" si="239"/>
        <v>0.68</v>
      </c>
      <c r="Y99" s="115">
        <v>0.67</v>
      </c>
      <c r="Z99" s="295">
        <v>0.67</v>
      </c>
      <c r="AA99" s="115">
        <f t="shared" si="239"/>
        <v>2.65</v>
      </c>
      <c r="AB99" s="295">
        <f t="shared" ref="AB99" si="240">ROUND(AB96/AB58,2)</f>
        <v>2.65</v>
      </c>
      <c r="AC99" s="115">
        <f t="shared" ref="AC99" si="241">ROUND(AC96/AC58,2)</f>
        <v>0.64</v>
      </c>
      <c r="AD99" s="368"/>
    </row>
    <row r="100" spans="1:30" x14ac:dyDescent="0.25">
      <c r="A100" s="123" t="s">
        <v>136</v>
      </c>
      <c r="B100" s="92">
        <v>-0.11088791426199029</v>
      </c>
      <c r="C100" s="92">
        <f>C99/B99-1</f>
        <v>-0.17353947405189474</v>
      </c>
      <c r="D100" s="92">
        <f>D99/C99-1</f>
        <v>6.6447721907232138E-2</v>
      </c>
      <c r="E100" s="173">
        <f>E99/D99-1</f>
        <v>8.8033965984486429E-2</v>
      </c>
      <c r="F100" s="91" t="s">
        <v>85</v>
      </c>
      <c r="G100" s="175">
        <v>-0.14892063905531283</v>
      </c>
      <c r="H100" s="92">
        <v>0.18100243257226545</v>
      </c>
      <c r="I100" s="92">
        <v>0.21540427937079643</v>
      </c>
      <c r="J100" s="173">
        <v>-4.1663509615308514E-2</v>
      </c>
      <c r="K100" s="91" t="s">
        <v>85</v>
      </c>
      <c r="L100" s="175">
        <f>L99/J99-1</f>
        <v>0</v>
      </c>
      <c r="M100" s="92">
        <f>M99/L99-1</f>
        <v>-1.7857142857142905E-2</v>
      </c>
      <c r="N100" s="92">
        <f>N99/M99-1</f>
        <v>0.10909090909090891</v>
      </c>
      <c r="O100" s="92">
        <f>O99/N99-1</f>
        <v>0</v>
      </c>
      <c r="P100" s="296">
        <f>P99/N99-1</f>
        <v>0</v>
      </c>
      <c r="Q100" s="91" t="s">
        <v>85</v>
      </c>
      <c r="R100" s="325" t="s">
        <v>85</v>
      </c>
      <c r="S100" s="175">
        <f>S99/O99-1</f>
        <v>-1.6393442622950838E-2</v>
      </c>
      <c r="T100" s="296">
        <f>T99/O99-1</f>
        <v>-1.6393442622950838E-2</v>
      </c>
      <c r="U100" s="175">
        <f t="shared" ref="U100:Z100" si="242">U99/S99-1</f>
        <v>0.16666666666666674</v>
      </c>
      <c r="V100" s="296">
        <f t="shared" si="242"/>
        <v>0.16666666666666674</v>
      </c>
      <c r="W100" s="175">
        <f t="shared" si="242"/>
        <v>-2.857142857142847E-2</v>
      </c>
      <c r="X100" s="296">
        <f t="shared" si="242"/>
        <v>-2.857142857142847E-2</v>
      </c>
      <c r="Y100" s="175">
        <f t="shared" si="242"/>
        <v>-1.4705882352941235E-2</v>
      </c>
      <c r="Z100" s="296">
        <f t="shared" si="242"/>
        <v>-1.4705882352941235E-2</v>
      </c>
      <c r="AA100" s="91" t="s">
        <v>85</v>
      </c>
      <c r="AB100" s="296" t="s">
        <v>85</v>
      </c>
      <c r="AC100" s="91">
        <f>AC99/Z99-1</f>
        <v>-4.4776119402985093E-2</v>
      </c>
      <c r="AD100" s="111"/>
    </row>
    <row r="101" spans="1:30" x14ac:dyDescent="0.25">
      <c r="A101" s="122" t="s">
        <v>137</v>
      </c>
      <c r="B101" s="34">
        <v>0.2465134230832069</v>
      </c>
      <c r="C101" s="34">
        <v>0.12229612182012661</v>
      </c>
      <c r="D101" s="34">
        <v>-9.4654752633474337E-2</v>
      </c>
      <c r="E101" s="34">
        <v>-0.14736991410600198</v>
      </c>
      <c r="F101" s="34">
        <v>8.0612656067211574E-3</v>
      </c>
      <c r="G101" s="34">
        <v>-0.18384208215711628</v>
      </c>
      <c r="H101" s="34">
        <v>0.16628012599852182</v>
      </c>
      <c r="I101" s="34">
        <v>0.32918081867966165</v>
      </c>
      <c r="J101" s="34">
        <v>0.17073779007215339</v>
      </c>
      <c r="K101" s="34">
        <v>0.1116025876561515</v>
      </c>
      <c r="L101" s="34">
        <f t="shared" ref="L101" si="243">L99/G99-1</f>
        <v>0.36585365853658547</v>
      </c>
      <c r="M101" s="34">
        <f>M99/H99-1</f>
        <v>0.14583333333333348</v>
      </c>
      <c r="N101" s="34">
        <f>N99/I99-1</f>
        <v>5.1724137931034475E-2</v>
      </c>
      <c r="O101" s="34">
        <f>O99/J99-1</f>
        <v>8.9285714285714191E-2</v>
      </c>
      <c r="P101" s="275">
        <f>P99/J99-1</f>
        <v>8.9285714285714191E-2</v>
      </c>
      <c r="Q101" s="34">
        <f>Q99/K99-1</f>
        <v>0.14778325123152714</v>
      </c>
      <c r="R101" s="275">
        <f>R99/K99-1</f>
        <v>0.14778325123152714</v>
      </c>
      <c r="S101" s="34">
        <f t="shared" ref="S101" si="244">S99/L99-1</f>
        <v>7.1428571428571397E-2</v>
      </c>
      <c r="T101" s="275">
        <f>T99/L99-1</f>
        <v>7.1428571428571397E-2</v>
      </c>
      <c r="U101" s="34">
        <f>U99/M99-1</f>
        <v>0.27272727272727249</v>
      </c>
      <c r="V101" s="275">
        <f>V99/M99-1</f>
        <v>0.27272727272727249</v>
      </c>
      <c r="W101" s="34">
        <f>W99/N99-1</f>
        <v>0.11475409836065587</v>
      </c>
      <c r="X101" s="275">
        <f>X99/O99-1</f>
        <v>0.11475409836065587</v>
      </c>
      <c r="Y101" s="34">
        <f>Y99/O99-1</f>
        <v>9.8360655737705027E-2</v>
      </c>
      <c r="Z101" s="275">
        <f>Z99/P99-1</f>
        <v>9.8360655737705027E-2</v>
      </c>
      <c r="AA101" s="34">
        <f>AA99/Q99-1</f>
        <v>0.1373390557939913</v>
      </c>
      <c r="AB101" s="275">
        <f>AB99/R99-1</f>
        <v>0.1373390557939913</v>
      </c>
      <c r="AC101" s="34">
        <f>AC99/T99-1</f>
        <v>6.6666666666666652E-2</v>
      </c>
      <c r="AD101" s="34"/>
    </row>
    <row r="102" spans="1:30" x14ac:dyDescent="0.25">
      <c r="A102" s="122"/>
      <c r="B102" s="34"/>
      <c r="C102" s="34"/>
      <c r="D102" s="34"/>
      <c r="E102" s="34"/>
      <c r="F102" s="34"/>
      <c r="G102" s="34"/>
      <c r="H102" s="34"/>
      <c r="I102" s="34"/>
      <c r="J102" s="34"/>
      <c r="K102" s="34"/>
      <c r="L102" s="34"/>
      <c r="M102" s="34"/>
      <c r="N102" s="34"/>
      <c r="O102" s="34"/>
      <c r="P102" s="162"/>
      <c r="Q102" s="162"/>
      <c r="R102" s="162"/>
      <c r="S102" s="162"/>
      <c r="T102" s="162"/>
      <c r="U102" s="31"/>
      <c r="V102" s="31"/>
      <c r="W102" s="31"/>
      <c r="X102" s="31"/>
      <c r="Y102" s="31"/>
      <c r="Z102" s="31"/>
      <c r="AB102" s="31"/>
    </row>
    <row r="103" spans="1:30" x14ac:dyDescent="0.25">
      <c r="A103" s="151" t="s">
        <v>154</v>
      </c>
      <c r="B103" s="2"/>
      <c r="C103" s="2"/>
      <c r="D103" s="2"/>
      <c r="E103" s="2"/>
      <c r="F103" s="42"/>
      <c r="G103" s="2"/>
      <c r="H103" s="2"/>
      <c r="I103" s="2"/>
      <c r="J103" s="2"/>
      <c r="K103" s="42"/>
      <c r="L103" s="2"/>
      <c r="M103" s="2"/>
      <c r="N103" s="2"/>
      <c r="O103" s="2"/>
      <c r="P103" s="327"/>
      <c r="Q103" s="328"/>
      <c r="R103" s="327"/>
      <c r="S103" s="327"/>
      <c r="T103" s="327"/>
      <c r="U103" s="31"/>
      <c r="V103" s="31"/>
      <c r="W103" s="31"/>
      <c r="X103" s="31"/>
      <c r="Y103" s="31"/>
      <c r="Z103" s="31"/>
      <c r="AB103" s="31"/>
    </row>
    <row r="104" spans="1:30" x14ac:dyDescent="0.25">
      <c r="A104" s="151"/>
      <c r="B104" s="2"/>
      <c r="C104" s="2"/>
      <c r="D104" s="2"/>
      <c r="E104" s="2"/>
      <c r="F104" s="42"/>
      <c r="G104" s="2"/>
      <c r="H104" s="2"/>
      <c r="I104" s="2"/>
      <c r="J104" s="2"/>
      <c r="K104" s="42"/>
      <c r="L104" s="2"/>
      <c r="M104" s="2"/>
      <c r="N104" s="2"/>
      <c r="O104" s="2"/>
      <c r="P104" s="327"/>
      <c r="Q104" s="328"/>
      <c r="R104" s="327"/>
      <c r="S104" s="327"/>
      <c r="T104" s="327"/>
      <c r="U104" s="31"/>
      <c r="V104" s="31"/>
      <c r="W104" s="31"/>
      <c r="X104" s="31"/>
      <c r="Y104" s="31"/>
      <c r="Z104" s="344"/>
      <c r="AA104" s="345"/>
      <c r="AB104" s="344"/>
    </row>
    <row r="105" spans="1:30" ht="15" x14ac:dyDescent="0.25">
      <c r="A105" s="326" t="s">
        <v>206</v>
      </c>
      <c r="B105" s="326"/>
      <c r="C105" s="326"/>
      <c r="D105" s="326"/>
      <c r="E105" s="326"/>
      <c r="F105" s="326"/>
      <c r="G105" s="326"/>
      <c r="H105" s="326"/>
      <c r="I105" s="326"/>
      <c r="J105" s="326"/>
      <c r="K105" s="326"/>
      <c r="L105" s="326"/>
      <c r="M105" s="326"/>
      <c r="N105" s="326"/>
      <c r="O105" s="326"/>
      <c r="P105" s="329"/>
      <c r="Q105" s="329"/>
      <c r="R105" s="329"/>
      <c r="S105" s="329"/>
      <c r="T105" s="329"/>
      <c r="U105" s="329"/>
      <c r="V105" s="329"/>
      <c r="W105" s="329"/>
      <c r="X105" s="329"/>
      <c r="Y105" s="329"/>
      <c r="Z105" s="329"/>
      <c r="AA105" s="346"/>
      <c r="AB105" s="329"/>
      <c r="AC105" s="326"/>
      <c r="AD105" s="326"/>
    </row>
    <row r="106" spans="1:30" x14ac:dyDescent="0.25">
      <c r="A106" s="151" t="s">
        <v>221</v>
      </c>
      <c r="B106" s="2"/>
      <c r="C106" s="2"/>
      <c r="D106" s="2"/>
      <c r="E106" s="2"/>
      <c r="F106" s="42"/>
      <c r="G106" s="2"/>
      <c r="H106" s="2"/>
      <c r="I106" s="2"/>
      <c r="J106" s="2"/>
      <c r="K106" s="42"/>
      <c r="L106" s="2"/>
      <c r="M106" s="2"/>
      <c r="N106" s="2"/>
      <c r="O106" s="2"/>
      <c r="P106" s="327"/>
      <c r="Q106" s="328"/>
      <c r="R106" s="327"/>
      <c r="S106" s="327"/>
      <c r="T106" s="327"/>
      <c r="U106" s="31"/>
      <c r="V106" s="31"/>
      <c r="W106" s="31"/>
      <c r="X106" s="31"/>
      <c r="Y106" s="31"/>
      <c r="Z106" s="31"/>
      <c r="AA106" s="109"/>
      <c r="AB106" s="31"/>
    </row>
    <row r="107" spans="1:30" ht="22.5" customHeight="1" x14ac:dyDescent="0.25">
      <c r="A107" s="151" t="s">
        <v>236</v>
      </c>
      <c r="B107" s="2"/>
      <c r="C107" s="2"/>
      <c r="D107" s="2"/>
      <c r="E107" s="2"/>
      <c r="F107" s="42"/>
      <c r="G107" s="2"/>
      <c r="H107" s="2"/>
      <c r="I107" s="2"/>
      <c r="J107" s="2"/>
      <c r="K107" s="42"/>
      <c r="L107" s="2"/>
      <c r="M107" s="2"/>
      <c r="N107" s="2"/>
      <c r="O107" s="2"/>
      <c r="P107" s="327"/>
      <c r="Q107" s="328"/>
      <c r="R107" s="327"/>
      <c r="S107" s="327"/>
      <c r="T107" s="327"/>
      <c r="U107" s="31"/>
      <c r="V107" s="31"/>
      <c r="W107" s="31"/>
      <c r="X107" s="31"/>
      <c r="Y107" s="31"/>
      <c r="Z107" s="31"/>
      <c r="AB107" s="31"/>
    </row>
    <row r="108" spans="1:30" x14ac:dyDescent="0.25">
      <c r="A108" s="151" t="s">
        <v>237</v>
      </c>
      <c r="P108" s="31"/>
      <c r="Q108" s="31"/>
      <c r="R108" s="31"/>
      <c r="S108" s="31"/>
      <c r="T108" s="31"/>
      <c r="U108" s="31"/>
      <c r="V108" s="31"/>
      <c r="W108" s="31"/>
      <c r="X108" s="31"/>
      <c r="Y108" s="31"/>
      <c r="Z108" s="31"/>
      <c r="AB108" s="31"/>
    </row>
    <row r="110" spans="1:30" x14ac:dyDescent="0.25">
      <c r="F110" s="33"/>
      <c r="K110" s="33"/>
      <c r="Q110" s="33"/>
      <c r="R110" s="33"/>
    </row>
    <row r="111" spans="1:30" x14ac:dyDescent="0.25">
      <c r="F111" s="33"/>
      <c r="K111" s="33"/>
      <c r="Q111" s="33"/>
      <c r="R111" s="33"/>
    </row>
    <row r="113" spans="2:20" x14ac:dyDescent="0.25">
      <c r="B113" s="100"/>
      <c r="C113" s="100"/>
      <c r="D113" s="100"/>
      <c r="E113" s="100"/>
      <c r="F113" s="100"/>
      <c r="G113" s="100"/>
      <c r="H113" s="100"/>
      <c r="I113" s="100"/>
      <c r="J113" s="100"/>
      <c r="K113" s="100"/>
      <c r="L113" s="100"/>
      <c r="M113" s="100"/>
      <c r="N113" s="100"/>
      <c r="Q113" s="100"/>
      <c r="R113" s="100"/>
      <c r="S113" s="100"/>
      <c r="T113" s="100"/>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phoneticPr fontId="0" type="noConversion"/>
  <pageMargins left="0.25" right="0" top="0.25" bottom="0" header="0.3" footer="0.3"/>
  <pageSetup paperSize="5" scale="41"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T65"/>
  <sheetViews>
    <sheetView showGridLines="0" view="pageBreakPreview" zoomScale="80" zoomScaleNormal="80" zoomScaleSheetLayoutView="80" workbookViewId="0">
      <pane xSplit="2" ySplit="4" topLeftCell="E5" activePane="bottomRight" state="frozen"/>
      <selection activeCell="I106" sqref="I106"/>
      <selection pane="topRight" activeCell="I106" sqref="I106"/>
      <selection pane="bottomLeft" activeCell="I106" sqref="I106"/>
      <selection pane="bottomRight" activeCell="S9" sqref="S9"/>
    </sheetView>
  </sheetViews>
  <sheetFormatPr defaultColWidth="9.109375" defaultRowHeight="13.2" outlineLevelCol="1" x14ac:dyDescent="0.25"/>
  <cols>
    <col min="1" max="1" width="47.109375" style="23" customWidth="1"/>
    <col min="2" max="2" width="3.109375" style="2" customWidth="1"/>
    <col min="3" max="5" width="12.109375" style="2" customWidth="1" outlineLevel="1"/>
    <col min="6" max="6" width="12.109375" style="2" customWidth="1"/>
    <col min="7" max="9" width="12.109375" style="2" customWidth="1" outlineLevel="1"/>
    <col min="10" max="10" width="12.109375" style="2" customWidth="1"/>
    <col min="11" max="13" width="12.109375" style="2" customWidth="1" outlineLevel="1"/>
    <col min="14" max="14" width="10" style="2" bestFit="1" customWidth="1"/>
    <col min="15" max="15" width="10" style="2" bestFit="1" customWidth="1" outlineLevel="1"/>
    <col min="16" max="16" width="11.33203125" style="2" bestFit="1" customWidth="1" outlineLevel="1"/>
    <col min="17" max="17" width="10" style="2" bestFit="1" customWidth="1" outlineLevel="1"/>
    <col min="18" max="19" width="11.5546875" style="2" bestFit="1" customWidth="1"/>
    <col min="20" max="16384" width="9.109375" style="2"/>
  </cols>
  <sheetData>
    <row r="1" spans="1:19" x14ac:dyDescent="0.25">
      <c r="A1" s="11"/>
    </row>
    <row r="2" spans="1:19" ht="45" customHeight="1" x14ac:dyDescent="0.25"/>
    <row r="3" spans="1:19" x14ac:dyDescent="0.25">
      <c r="A3" s="18" t="s">
        <v>15</v>
      </c>
      <c r="C3" s="3">
        <v>2014</v>
      </c>
      <c r="D3" s="3">
        <v>2014</v>
      </c>
      <c r="E3" s="3">
        <v>2014</v>
      </c>
      <c r="F3" s="3">
        <v>2014</v>
      </c>
      <c r="G3" s="3">
        <v>2015</v>
      </c>
      <c r="H3" s="3">
        <v>2015</v>
      </c>
      <c r="I3" s="3">
        <v>2015</v>
      </c>
      <c r="J3" s="3">
        <v>2015</v>
      </c>
      <c r="K3" s="3">
        <v>2016</v>
      </c>
      <c r="L3" s="3">
        <v>2016</v>
      </c>
      <c r="M3" s="3">
        <v>2016</v>
      </c>
      <c r="N3" s="3">
        <v>2016</v>
      </c>
      <c r="O3" s="3">
        <v>2017</v>
      </c>
      <c r="P3" s="3">
        <v>2017</v>
      </c>
      <c r="Q3" s="3">
        <v>2017</v>
      </c>
      <c r="R3" s="3">
        <v>2017</v>
      </c>
      <c r="S3" s="3">
        <v>2018</v>
      </c>
    </row>
    <row r="4" spans="1:19" s="8" customFormat="1" x14ac:dyDescent="0.25">
      <c r="A4" s="25" t="s">
        <v>67</v>
      </c>
      <c r="C4" s="81" t="s">
        <v>9</v>
      </c>
      <c r="D4" s="81" t="s">
        <v>10</v>
      </c>
      <c r="E4" s="81" t="s">
        <v>11</v>
      </c>
      <c r="F4" s="81" t="s">
        <v>12</v>
      </c>
      <c r="G4" s="81" t="s">
        <v>9</v>
      </c>
      <c r="H4" s="81" t="s">
        <v>10</v>
      </c>
      <c r="I4" s="81" t="s">
        <v>11</v>
      </c>
      <c r="J4" s="81" t="s">
        <v>12</v>
      </c>
      <c r="K4" s="81" t="s">
        <v>172</v>
      </c>
      <c r="L4" s="81" t="s">
        <v>174</v>
      </c>
      <c r="M4" s="81" t="s">
        <v>176</v>
      </c>
      <c r="N4" s="81" t="s">
        <v>179</v>
      </c>
      <c r="O4" s="81" t="s">
        <v>9</v>
      </c>
      <c r="P4" s="81" t="s">
        <v>10</v>
      </c>
      <c r="Q4" s="81" t="s">
        <v>11</v>
      </c>
      <c r="R4" s="81" t="s">
        <v>12</v>
      </c>
      <c r="S4" s="81" t="s">
        <v>9</v>
      </c>
    </row>
    <row r="5" spans="1:19" s="3" customFormat="1" x14ac:dyDescent="0.25">
      <c r="A5" s="18"/>
    </row>
    <row r="6" spans="1:19" s="38" customFormat="1" x14ac:dyDescent="0.25">
      <c r="A6" s="51" t="s">
        <v>17</v>
      </c>
      <c r="B6" s="38" t="s">
        <v>21</v>
      </c>
    </row>
    <row r="7" spans="1:19" x14ac:dyDescent="0.25">
      <c r="A7" s="69" t="s">
        <v>18</v>
      </c>
      <c r="B7" s="124" t="s">
        <v>21</v>
      </c>
    </row>
    <row r="8" spans="1:19" x14ac:dyDescent="0.25">
      <c r="A8" s="71" t="s">
        <v>108</v>
      </c>
      <c r="B8" s="133" t="s">
        <v>21</v>
      </c>
      <c r="C8" s="134">
        <v>143692</v>
      </c>
      <c r="D8" s="134">
        <v>160937</v>
      </c>
      <c r="E8" s="134">
        <v>161428</v>
      </c>
      <c r="F8" s="134">
        <v>176499</v>
      </c>
      <c r="G8" s="134">
        <v>151319</v>
      </c>
      <c r="H8" s="134">
        <v>94651</v>
      </c>
      <c r="I8" s="134">
        <v>90656</v>
      </c>
      <c r="J8" s="134">
        <v>205323</v>
      </c>
      <c r="K8" s="134">
        <v>95774</v>
      </c>
      <c r="L8" s="134">
        <v>93113</v>
      </c>
      <c r="M8" s="134">
        <v>98374</v>
      </c>
      <c r="N8" s="134">
        <v>213155</v>
      </c>
      <c r="O8" s="134">
        <v>91700</v>
      </c>
      <c r="P8" s="134">
        <v>89414</v>
      </c>
      <c r="Q8" s="134">
        <v>87665</v>
      </c>
      <c r="R8" s="134">
        <v>86795</v>
      </c>
      <c r="S8" s="134">
        <v>69955</v>
      </c>
    </row>
    <row r="9" spans="1:19" x14ac:dyDescent="0.25">
      <c r="A9" s="71" t="s">
        <v>107</v>
      </c>
      <c r="B9" s="133" t="s">
        <v>21</v>
      </c>
      <c r="C9" s="132">
        <v>7169</v>
      </c>
      <c r="D9" s="132">
        <v>7556</v>
      </c>
      <c r="E9" s="132">
        <v>6561</v>
      </c>
      <c r="F9" s="132">
        <v>11577</v>
      </c>
      <c r="G9" s="132">
        <v>14330</v>
      </c>
      <c r="H9" s="132">
        <v>77880</v>
      </c>
      <c r="I9" s="132">
        <v>93184</v>
      </c>
      <c r="J9" s="132">
        <v>13676</v>
      </c>
      <c r="K9" s="132">
        <v>97079</v>
      </c>
      <c r="L9" s="132">
        <v>107594</v>
      </c>
      <c r="M9" s="132">
        <v>115637</v>
      </c>
      <c r="N9" s="132">
        <v>13491</v>
      </c>
      <c r="O9" s="132">
        <v>126472</v>
      </c>
      <c r="P9" s="170">
        <v>147915</v>
      </c>
      <c r="Q9" s="170">
        <v>161702</v>
      </c>
      <c r="R9" s="170">
        <v>178479</v>
      </c>
      <c r="S9" s="170">
        <v>169461</v>
      </c>
    </row>
    <row r="10" spans="1:19" x14ac:dyDescent="0.25">
      <c r="A10" s="71" t="s">
        <v>19</v>
      </c>
      <c r="B10" s="133"/>
      <c r="C10" s="132">
        <v>816</v>
      </c>
      <c r="D10" s="132">
        <v>571</v>
      </c>
      <c r="E10" s="132">
        <v>1082</v>
      </c>
      <c r="F10" s="132">
        <v>1395</v>
      </c>
      <c r="G10" s="132">
        <v>2774</v>
      </c>
      <c r="H10" s="132">
        <v>2466</v>
      </c>
      <c r="I10" s="132">
        <v>2547</v>
      </c>
      <c r="J10" s="132">
        <v>1872</v>
      </c>
      <c r="K10" s="132">
        <v>2722</v>
      </c>
      <c r="L10" s="132">
        <v>1537</v>
      </c>
      <c r="M10" s="132">
        <v>2256</v>
      </c>
      <c r="N10" s="132">
        <v>3846</v>
      </c>
      <c r="O10" s="132">
        <v>2691</v>
      </c>
      <c r="P10" s="170">
        <v>1898</v>
      </c>
      <c r="Q10" s="170">
        <v>1913</v>
      </c>
      <c r="R10" s="170">
        <v>3674</v>
      </c>
      <c r="S10" s="170">
        <v>2727</v>
      </c>
    </row>
    <row r="11" spans="1:19" x14ac:dyDescent="0.25">
      <c r="A11" s="71" t="s">
        <v>200</v>
      </c>
      <c r="B11" s="133" t="s">
        <v>21</v>
      </c>
      <c r="C11" s="132">
        <v>77737</v>
      </c>
      <c r="D11" s="132">
        <v>73721</v>
      </c>
      <c r="E11" s="132">
        <v>75685</v>
      </c>
      <c r="F11" s="132">
        <v>80244</v>
      </c>
      <c r="G11" s="132">
        <v>89323</v>
      </c>
      <c r="H11" s="132">
        <v>94216</v>
      </c>
      <c r="I11" s="132">
        <v>98272</v>
      </c>
      <c r="J11" s="132">
        <v>92650</v>
      </c>
      <c r="K11" s="132">
        <v>107601</v>
      </c>
      <c r="L11" s="132">
        <v>111383</v>
      </c>
      <c r="M11" s="132">
        <v>109086</v>
      </c>
      <c r="N11" s="132">
        <v>113067</v>
      </c>
      <c r="O11" s="132">
        <v>119811</v>
      </c>
      <c r="P11" s="170">
        <v>123798</v>
      </c>
      <c r="Q11" s="170">
        <v>133862</v>
      </c>
      <c r="R11" s="170">
        <v>135705</v>
      </c>
      <c r="S11" s="170">
        <v>137150</v>
      </c>
    </row>
    <row r="12" spans="1:19" x14ac:dyDescent="0.25">
      <c r="A12" s="71" t="s">
        <v>203</v>
      </c>
      <c r="B12" s="133" t="s">
        <v>21</v>
      </c>
      <c r="C12" s="132">
        <v>5455</v>
      </c>
      <c r="D12" s="132">
        <v>4843</v>
      </c>
      <c r="E12" s="132">
        <v>4691</v>
      </c>
      <c r="F12" s="132">
        <v>4455</v>
      </c>
      <c r="G12" s="132">
        <v>4921</v>
      </c>
      <c r="H12" s="132">
        <v>4649</v>
      </c>
      <c r="I12" s="132">
        <v>4738</v>
      </c>
      <c r="J12" s="259">
        <v>0</v>
      </c>
      <c r="K12" s="259">
        <v>0</v>
      </c>
      <c r="L12" s="259">
        <v>0</v>
      </c>
      <c r="M12" s="259">
        <v>0</v>
      </c>
      <c r="N12" s="259">
        <v>0</v>
      </c>
      <c r="O12" s="259">
        <v>0</v>
      </c>
      <c r="P12" s="260">
        <v>0</v>
      </c>
      <c r="Q12" s="260">
        <v>0</v>
      </c>
      <c r="R12" s="260">
        <v>0</v>
      </c>
      <c r="S12" s="170">
        <v>0</v>
      </c>
    </row>
    <row r="13" spans="1:19" x14ac:dyDescent="0.25">
      <c r="A13" s="71" t="s">
        <v>201</v>
      </c>
      <c r="B13" s="133" t="s">
        <v>21</v>
      </c>
      <c r="C13" s="132">
        <v>3978</v>
      </c>
      <c r="D13" s="132">
        <v>8447</v>
      </c>
      <c r="E13" s="132">
        <v>7817</v>
      </c>
      <c r="F13" s="132">
        <v>9905</v>
      </c>
      <c r="G13" s="132">
        <f>9364-59</f>
        <v>9305</v>
      </c>
      <c r="H13" s="132">
        <v>6321</v>
      </c>
      <c r="I13" s="132">
        <v>4169</v>
      </c>
      <c r="J13" s="132">
        <v>2432</v>
      </c>
      <c r="K13" s="132">
        <v>6406</v>
      </c>
      <c r="L13" s="132">
        <v>5568</v>
      </c>
      <c r="M13" s="132">
        <v>7110</v>
      </c>
      <c r="N13" s="132">
        <v>6242</v>
      </c>
      <c r="O13" s="132">
        <v>7687</v>
      </c>
      <c r="P13" s="170">
        <v>7337</v>
      </c>
      <c r="Q13" s="170">
        <v>8821</v>
      </c>
      <c r="R13" s="170">
        <v>8801</v>
      </c>
      <c r="S13" s="170">
        <v>17802</v>
      </c>
    </row>
    <row r="14" spans="1:19" x14ac:dyDescent="0.25">
      <c r="A14" s="71" t="s">
        <v>38</v>
      </c>
      <c r="B14" s="133" t="s">
        <v>21</v>
      </c>
      <c r="C14" s="132">
        <v>19100</v>
      </c>
      <c r="D14" s="132">
        <v>16787</v>
      </c>
      <c r="E14" s="132">
        <v>15820</v>
      </c>
      <c r="F14" s="132">
        <v>18316</v>
      </c>
      <c r="G14" s="132">
        <v>23116</v>
      </c>
      <c r="H14" s="132">
        <v>21425</v>
      </c>
      <c r="I14" s="132">
        <v>18718</v>
      </c>
      <c r="J14" s="132">
        <v>23246</v>
      </c>
      <c r="K14" s="132">
        <v>28172</v>
      </c>
      <c r="L14" s="132">
        <v>24577</v>
      </c>
      <c r="M14" s="132">
        <v>25518</v>
      </c>
      <c r="N14" s="132">
        <v>29023</v>
      </c>
      <c r="O14" s="132">
        <v>35137</v>
      </c>
      <c r="P14" s="170">
        <v>28238</v>
      </c>
      <c r="Q14" s="170">
        <v>29291</v>
      </c>
      <c r="R14" s="170">
        <v>39363</v>
      </c>
      <c r="S14" s="170">
        <v>38878</v>
      </c>
    </row>
    <row r="15" spans="1:19" x14ac:dyDescent="0.25">
      <c r="A15" s="52" t="s">
        <v>109</v>
      </c>
      <c r="B15" s="142" t="s">
        <v>21</v>
      </c>
      <c r="C15" s="141">
        <f t="shared" ref="C15:S15" si="0">SUM(C8:C14)</f>
        <v>257947</v>
      </c>
      <c r="D15" s="141">
        <f t="shared" si="0"/>
        <v>272862</v>
      </c>
      <c r="E15" s="141">
        <f t="shared" si="0"/>
        <v>273084</v>
      </c>
      <c r="F15" s="141">
        <f t="shared" si="0"/>
        <v>302391</v>
      </c>
      <c r="G15" s="141">
        <f t="shared" si="0"/>
        <v>295088</v>
      </c>
      <c r="H15" s="141">
        <f t="shared" si="0"/>
        <v>301608</v>
      </c>
      <c r="I15" s="141">
        <f t="shared" si="0"/>
        <v>312284</v>
      </c>
      <c r="J15" s="141">
        <f t="shared" si="0"/>
        <v>339199</v>
      </c>
      <c r="K15" s="141">
        <f t="shared" si="0"/>
        <v>337754</v>
      </c>
      <c r="L15" s="141">
        <f t="shared" si="0"/>
        <v>343772</v>
      </c>
      <c r="M15" s="141">
        <f t="shared" si="0"/>
        <v>357981</v>
      </c>
      <c r="N15" s="141">
        <f t="shared" si="0"/>
        <v>378824</v>
      </c>
      <c r="O15" s="141">
        <f t="shared" si="0"/>
        <v>383498</v>
      </c>
      <c r="P15" s="141">
        <f t="shared" si="0"/>
        <v>398600</v>
      </c>
      <c r="Q15" s="141">
        <f t="shared" si="0"/>
        <v>423254</v>
      </c>
      <c r="R15" s="141">
        <f t="shared" si="0"/>
        <v>452817</v>
      </c>
      <c r="S15" s="141">
        <f t="shared" si="0"/>
        <v>435973</v>
      </c>
    </row>
    <row r="16" spans="1:19" x14ac:dyDescent="0.25">
      <c r="A16" s="19" t="s">
        <v>21</v>
      </c>
      <c r="B16" s="124" t="s">
        <v>21</v>
      </c>
      <c r="P16" s="170"/>
    </row>
    <row r="17" spans="1:19" x14ac:dyDescent="0.25">
      <c r="A17" s="72" t="s">
        <v>202</v>
      </c>
      <c r="B17" s="133" t="s">
        <v>21</v>
      </c>
      <c r="C17" s="134">
        <v>44031</v>
      </c>
      <c r="D17" s="134">
        <v>45978</v>
      </c>
      <c r="E17" s="134">
        <v>45307</v>
      </c>
      <c r="F17" s="134">
        <v>45369</v>
      </c>
      <c r="G17" s="134">
        <v>47467</v>
      </c>
      <c r="H17" s="134">
        <v>48152</v>
      </c>
      <c r="I17" s="134">
        <v>47071</v>
      </c>
      <c r="J17" s="134">
        <v>47991</v>
      </c>
      <c r="K17" s="134">
        <v>47540</v>
      </c>
      <c r="L17" s="134">
        <v>49708</v>
      </c>
      <c r="M17" s="134">
        <v>49006</v>
      </c>
      <c r="N17" s="134">
        <v>49029</v>
      </c>
      <c r="O17" s="134">
        <v>59220</v>
      </c>
      <c r="P17" s="170">
        <v>63978</v>
      </c>
      <c r="Q17" s="170">
        <v>63729</v>
      </c>
      <c r="R17" s="170">
        <v>66757</v>
      </c>
      <c r="S17" s="170">
        <v>67748</v>
      </c>
    </row>
    <row r="18" spans="1:19" x14ac:dyDescent="0.25">
      <c r="A18" s="73" t="s">
        <v>110</v>
      </c>
      <c r="B18" s="140"/>
      <c r="C18" s="132">
        <v>32643</v>
      </c>
      <c r="D18" s="132">
        <v>31147</v>
      </c>
      <c r="E18" s="132">
        <v>30545</v>
      </c>
      <c r="F18" s="132">
        <f>45979+1000</f>
        <v>46979</v>
      </c>
      <c r="G18" s="132">
        <v>60085</v>
      </c>
      <c r="H18" s="132">
        <v>58960</v>
      </c>
      <c r="I18" s="132">
        <v>55462</v>
      </c>
      <c r="J18" s="132">
        <v>52733</v>
      </c>
      <c r="K18" s="132">
        <v>50013</v>
      </c>
      <c r="L18" s="132">
        <v>47278</v>
      </c>
      <c r="M18" s="132">
        <v>50326</v>
      </c>
      <c r="N18" s="132">
        <v>53770</v>
      </c>
      <c r="O18" s="132">
        <v>50356</v>
      </c>
      <c r="P18" s="170">
        <v>46973</v>
      </c>
      <c r="Q18" s="170">
        <v>43568</v>
      </c>
      <c r="R18" s="170">
        <v>48958</v>
      </c>
      <c r="S18" s="170">
        <v>45104</v>
      </c>
    </row>
    <row r="19" spans="1:19" x14ac:dyDescent="0.25">
      <c r="A19" s="72" t="s">
        <v>22</v>
      </c>
      <c r="B19" s="133" t="s">
        <v>21</v>
      </c>
      <c r="C19" s="132">
        <v>108216</v>
      </c>
      <c r="D19" s="132">
        <v>108120</v>
      </c>
      <c r="E19" s="132">
        <v>112203</v>
      </c>
      <c r="F19" s="132">
        <f>140599-1000</f>
        <v>139599</v>
      </c>
      <c r="G19" s="132">
        <v>172097</v>
      </c>
      <c r="H19" s="132">
        <v>170129</v>
      </c>
      <c r="I19" s="132">
        <v>171753</v>
      </c>
      <c r="J19" s="132">
        <v>171535</v>
      </c>
      <c r="K19" s="132">
        <v>171498</v>
      </c>
      <c r="L19" s="132">
        <v>171035</v>
      </c>
      <c r="M19" s="132">
        <v>177093</v>
      </c>
      <c r="N19" s="132">
        <v>186770</v>
      </c>
      <c r="O19" s="132">
        <v>187952</v>
      </c>
      <c r="P19" s="170">
        <v>188154</v>
      </c>
      <c r="Q19" s="170">
        <v>187953</v>
      </c>
      <c r="R19" s="170">
        <v>204481</v>
      </c>
      <c r="S19" s="170">
        <v>202337</v>
      </c>
    </row>
    <row r="20" spans="1:19" x14ac:dyDescent="0.25">
      <c r="A20" s="72" t="s">
        <v>203</v>
      </c>
      <c r="B20" s="133" t="s">
        <v>21</v>
      </c>
      <c r="C20" s="132">
        <v>9905</v>
      </c>
      <c r="D20" s="132">
        <v>8544</v>
      </c>
      <c r="E20" s="132">
        <v>11017</v>
      </c>
      <c r="F20" s="132">
        <v>11985</v>
      </c>
      <c r="G20" s="132">
        <v>8288</v>
      </c>
      <c r="H20" s="132">
        <v>8039</v>
      </c>
      <c r="I20" s="132">
        <v>7996</v>
      </c>
      <c r="J20" s="132">
        <v>13749</v>
      </c>
      <c r="K20" s="132">
        <v>9711</v>
      </c>
      <c r="L20" s="132">
        <v>10103</v>
      </c>
      <c r="M20" s="132">
        <v>7073</v>
      </c>
      <c r="N20" s="132">
        <v>14799</v>
      </c>
      <c r="O20" s="132">
        <v>16392</v>
      </c>
      <c r="P20" s="170">
        <v>13959</v>
      </c>
      <c r="Q20" s="170">
        <v>16118</v>
      </c>
      <c r="R20" s="170">
        <v>8585</v>
      </c>
      <c r="S20" s="170">
        <v>6518</v>
      </c>
    </row>
    <row r="21" spans="1:19" x14ac:dyDescent="0.25">
      <c r="A21" s="72" t="s">
        <v>31</v>
      </c>
      <c r="B21" s="133" t="s">
        <v>21</v>
      </c>
      <c r="C21" s="132">
        <v>25269</v>
      </c>
      <c r="D21" s="132">
        <v>27622</v>
      </c>
      <c r="E21" s="132">
        <v>26402</v>
      </c>
      <c r="F21" s="132">
        <v>27233</v>
      </c>
      <c r="G21" s="132">
        <v>27993</v>
      </c>
      <c r="H21" s="132">
        <v>26830</v>
      </c>
      <c r="I21" s="132">
        <v>25372</v>
      </c>
      <c r="J21" s="132">
        <v>25576</v>
      </c>
      <c r="K21" s="132">
        <v>25764</v>
      </c>
      <c r="L21" s="132">
        <v>25001</v>
      </c>
      <c r="M21" s="132">
        <v>27543</v>
      </c>
      <c r="N21" s="132">
        <v>23336</v>
      </c>
      <c r="O21" s="132">
        <v>29275</v>
      </c>
      <c r="P21" s="170">
        <v>35767</v>
      </c>
      <c r="Q21" s="170">
        <v>34382</v>
      </c>
      <c r="R21" s="170">
        <v>40177</v>
      </c>
      <c r="S21" s="170">
        <v>37646</v>
      </c>
    </row>
    <row r="22" spans="1:19" x14ac:dyDescent="0.25">
      <c r="A22" s="72" t="s">
        <v>204</v>
      </c>
      <c r="B22" s="133"/>
      <c r="C22" s="259">
        <v>0</v>
      </c>
      <c r="D22" s="259">
        <v>0</v>
      </c>
      <c r="E22" s="259">
        <v>0</v>
      </c>
      <c r="F22" s="259">
        <v>0</v>
      </c>
      <c r="G22" s="259">
        <v>0</v>
      </c>
      <c r="H22" s="259">
        <v>0</v>
      </c>
      <c r="I22" s="259">
        <v>0</v>
      </c>
      <c r="J22" s="259">
        <v>0</v>
      </c>
      <c r="K22" s="259">
        <v>0</v>
      </c>
      <c r="L22" s="259">
        <v>0</v>
      </c>
      <c r="M22" s="259">
        <v>0</v>
      </c>
      <c r="N22" s="259">
        <v>0</v>
      </c>
      <c r="O22" s="259">
        <v>0</v>
      </c>
      <c r="P22" s="170">
        <v>0</v>
      </c>
      <c r="Q22" s="170">
        <v>0</v>
      </c>
      <c r="R22" s="170">
        <v>3000</v>
      </c>
      <c r="S22" s="170">
        <v>2944</v>
      </c>
    </row>
    <row r="23" spans="1:19" s="8" customFormat="1" x14ac:dyDescent="0.25">
      <c r="A23" s="48" t="s">
        <v>111</v>
      </c>
      <c r="B23" s="139" t="s">
        <v>21</v>
      </c>
      <c r="C23" s="125">
        <f t="shared" ref="C23:S23" si="1">SUM(C15:C22)</f>
        <v>478011</v>
      </c>
      <c r="D23" s="125">
        <f t="shared" si="1"/>
        <v>494273</v>
      </c>
      <c r="E23" s="125">
        <f t="shared" si="1"/>
        <v>498558</v>
      </c>
      <c r="F23" s="125">
        <f t="shared" si="1"/>
        <v>573556</v>
      </c>
      <c r="G23" s="125">
        <f t="shared" si="1"/>
        <v>611018</v>
      </c>
      <c r="H23" s="125">
        <f t="shared" si="1"/>
        <v>613718</v>
      </c>
      <c r="I23" s="125">
        <f t="shared" si="1"/>
        <v>619938</v>
      </c>
      <c r="J23" s="125">
        <f t="shared" si="1"/>
        <v>650783</v>
      </c>
      <c r="K23" s="125">
        <f t="shared" si="1"/>
        <v>642280</v>
      </c>
      <c r="L23" s="125">
        <f t="shared" si="1"/>
        <v>646897</v>
      </c>
      <c r="M23" s="125">
        <f t="shared" si="1"/>
        <v>669022</v>
      </c>
      <c r="N23" s="125">
        <f t="shared" si="1"/>
        <v>706528</v>
      </c>
      <c r="O23" s="125">
        <f t="shared" si="1"/>
        <v>726693</v>
      </c>
      <c r="P23" s="125">
        <f t="shared" si="1"/>
        <v>747431</v>
      </c>
      <c r="Q23" s="125">
        <f t="shared" si="1"/>
        <v>769004</v>
      </c>
      <c r="R23" s="125">
        <f t="shared" si="1"/>
        <v>824775</v>
      </c>
      <c r="S23" s="125">
        <f t="shared" si="1"/>
        <v>798270</v>
      </c>
    </row>
    <row r="24" spans="1:19" x14ac:dyDescent="0.25">
      <c r="A24" s="22" t="s">
        <v>21</v>
      </c>
      <c r="B24" s="124" t="s">
        <v>21</v>
      </c>
      <c r="P24" s="170"/>
    </row>
    <row r="25" spans="1:19" s="38" customFormat="1" x14ac:dyDescent="0.25">
      <c r="A25" s="51" t="s">
        <v>23</v>
      </c>
      <c r="B25" s="138" t="s">
        <v>21</v>
      </c>
      <c r="P25" s="195"/>
    </row>
    <row r="26" spans="1:19" x14ac:dyDescent="0.25">
      <c r="A26" s="69" t="s">
        <v>24</v>
      </c>
      <c r="B26" s="124" t="s">
        <v>21</v>
      </c>
      <c r="P26" s="170"/>
    </row>
    <row r="27" spans="1:19" s="8" customFormat="1" x14ac:dyDescent="0.25">
      <c r="A27" s="71" t="s">
        <v>25</v>
      </c>
      <c r="B27" s="137" t="s">
        <v>21</v>
      </c>
      <c r="C27" s="134">
        <v>4420</v>
      </c>
      <c r="D27" s="134">
        <v>4294</v>
      </c>
      <c r="E27" s="134">
        <v>3343</v>
      </c>
      <c r="F27" s="134">
        <v>4663</v>
      </c>
      <c r="G27" s="134">
        <v>5510</v>
      </c>
      <c r="H27" s="134">
        <v>5832</v>
      </c>
      <c r="I27" s="134">
        <v>3637</v>
      </c>
      <c r="J27" s="134">
        <v>6401</v>
      </c>
      <c r="K27" s="134">
        <v>3146</v>
      </c>
      <c r="L27" s="134">
        <v>4491</v>
      </c>
      <c r="M27" s="134">
        <v>3395</v>
      </c>
      <c r="N27" s="134">
        <v>3288</v>
      </c>
      <c r="O27" s="134">
        <v>5286</v>
      </c>
      <c r="P27" s="170">
        <v>11661</v>
      </c>
      <c r="Q27" s="170">
        <v>3834</v>
      </c>
      <c r="R27" s="170">
        <v>5918</v>
      </c>
      <c r="S27" s="170">
        <v>4114</v>
      </c>
    </row>
    <row r="28" spans="1:19" s="8" customFormat="1" x14ac:dyDescent="0.25">
      <c r="A28" s="71" t="s">
        <v>205</v>
      </c>
      <c r="B28" s="137"/>
      <c r="C28" s="132">
        <v>0</v>
      </c>
      <c r="D28" s="132">
        <v>0</v>
      </c>
      <c r="E28" s="132">
        <v>0</v>
      </c>
      <c r="F28" s="132">
        <v>0</v>
      </c>
      <c r="G28" s="132">
        <v>5000</v>
      </c>
      <c r="H28" s="132">
        <v>10000</v>
      </c>
      <c r="I28" s="132">
        <v>10000</v>
      </c>
      <c r="J28" s="132">
        <v>10000</v>
      </c>
      <c r="K28" s="132">
        <v>10000</v>
      </c>
      <c r="L28" s="132">
        <v>10000</v>
      </c>
      <c r="M28" s="132">
        <v>5000</v>
      </c>
      <c r="N28" s="132">
        <v>10000</v>
      </c>
      <c r="O28" s="132">
        <v>10000</v>
      </c>
      <c r="P28" s="170">
        <v>10000</v>
      </c>
      <c r="Q28" s="170">
        <v>0</v>
      </c>
      <c r="R28" s="170">
        <v>10318</v>
      </c>
      <c r="S28" s="170">
        <v>318</v>
      </c>
    </row>
    <row r="29" spans="1:19" x14ac:dyDescent="0.25">
      <c r="A29" s="71" t="s">
        <v>26</v>
      </c>
      <c r="B29" s="135" t="s">
        <v>21</v>
      </c>
      <c r="C29" s="132">
        <v>9520</v>
      </c>
      <c r="D29" s="132">
        <v>9659</v>
      </c>
      <c r="E29" s="132">
        <v>8039</v>
      </c>
      <c r="F29" s="132">
        <v>7690</v>
      </c>
      <c r="G29" s="132">
        <v>13246</v>
      </c>
      <c r="H29" s="132">
        <v>11994</v>
      </c>
      <c r="I29" s="132">
        <v>8110</v>
      </c>
      <c r="J29" s="132">
        <v>11518</v>
      </c>
      <c r="K29" s="132">
        <v>13667</v>
      </c>
      <c r="L29" s="132">
        <v>16157</v>
      </c>
      <c r="M29" s="132">
        <v>9730</v>
      </c>
      <c r="N29" s="132">
        <v>16615</v>
      </c>
      <c r="O29" s="132">
        <v>17968</v>
      </c>
      <c r="P29" s="170">
        <v>14189</v>
      </c>
      <c r="Q29" s="170">
        <v>8662</v>
      </c>
      <c r="R29" s="170">
        <v>10716</v>
      </c>
      <c r="S29" s="170">
        <v>11504</v>
      </c>
    </row>
    <row r="30" spans="1:19" x14ac:dyDescent="0.25">
      <c r="A30" s="71" t="s">
        <v>27</v>
      </c>
      <c r="B30" s="135" t="s">
        <v>21</v>
      </c>
      <c r="C30" s="132">
        <v>18371</v>
      </c>
      <c r="D30" s="132">
        <v>24886</v>
      </c>
      <c r="E30" s="132">
        <v>28044</v>
      </c>
      <c r="F30" s="132">
        <v>37606</v>
      </c>
      <c r="G30" s="132">
        <v>21021</v>
      </c>
      <c r="H30" s="132">
        <v>28834</v>
      </c>
      <c r="I30" s="132">
        <v>36788</v>
      </c>
      <c r="J30" s="132">
        <v>44526</v>
      </c>
      <c r="K30" s="132">
        <v>24644</v>
      </c>
      <c r="L30" s="132">
        <v>33644</v>
      </c>
      <c r="M30" s="132">
        <v>40660</v>
      </c>
      <c r="N30" s="132">
        <v>50832</v>
      </c>
      <c r="O30" s="132">
        <v>29830</v>
      </c>
      <c r="P30" s="170">
        <v>39135</v>
      </c>
      <c r="Q30" s="170">
        <v>49385</v>
      </c>
      <c r="R30" s="170">
        <v>55664</v>
      </c>
      <c r="S30" s="170">
        <v>27615</v>
      </c>
    </row>
    <row r="31" spans="1:19" x14ac:dyDescent="0.25">
      <c r="A31" s="71" t="s">
        <v>64</v>
      </c>
      <c r="B31" s="135" t="s">
        <v>21</v>
      </c>
      <c r="C31" s="132">
        <v>30683</v>
      </c>
      <c r="D31" s="132">
        <v>30780</v>
      </c>
      <c r="E31" s="132">
        <v>34637</v>
      </c>
      <c r="F31" s="132">
        <v>41009</v>
      </c>
      <c r="G31" s="132">
        <f>39386+743</f>
        <v>40129</v>
      </c>
      <c r="H31" s="132">
        <v>38232</v>
      </c>
      <c r="I31" s="132">
        <v>34720</v>
      </c>
      <c r="J31" s="132">
        <v>34634</v>
      </c>
      <c r="K31" s="132">
        <v>38187</v>
      </c>
      <c r="L31" s="132">
        <v>36169</v>
      </c>
      <c r="M31" s="132">
        <v>38599</v>
      </c>
      <c r="N31" s="132">
        <v>43496</v>
      </c>
      <c r="O31" s="150">
        <v>47886</v>
      </c>
      <c r="P31" s="170">
        <v>41048</v>
      </c>
      <c r="Q31" s="170">
        <v>49208</v>
      </c>
      <c r="R31" s="170">
        <v>61633</v>
      </c>
      <c r="S31" s="170">
        <v>61394</v>
      </c>
    </row>
    <row r="32" spans="1:19" x14ac:dyDescent="0.25">
      <c r="A32" s="72" t="s">
        <v>29</v>
      </c>
      <c r="B32" s="135" t="s">
        <v>21</v>
      </c>
      <c r="C32" s="136">
        <f t="shared" ref="C32:S32" si="2">SUM(C27:C31)</f>
        <v>62994</v>
      </c>
      <c r="D32" s="136">
        <f t="shared" si="2"/>
        <v>69619</v>
      </c>
      <c r="E32" s="136">
        <f t="shared" si="2"/>
        <v>74063</v>
      </c>
      <c r="F32" s="136">
        <f t="shared" si="2"/>
        <v>90968</v>
      </c>
      <c r="G32" s="136">
        <f t="shared" si="2"/>
        <v>84906</v>
      </c>
      <c r="H32" s="136">
        <f t="shared" si="2"/>
        <v>94892</v>
      </c>
      <c r="I32" s="136">
        <f t="shared" si="2"/>
        <v>93255</v>
      </c>
      <c r="J32" s="136">
        <f t="shared" si="2"/>
        <v>107079</v>
      </c>
      <c r="K32" s="136">
        <f t="shared" si="2"/>
        <v>89644</v>
      </c>
      <c r="L32" s="136">
        <f t="shared" si="2"/>
        <v>100461</v>
      </c>
      <c r="M32" s="136">
        <f t="shared" si="2"/>
        <v>97384</v>
      </c>
      <c r="N32" s="136">
        <f t="shared" si="2"/>
        <v>124231</v>
      </c>
      <c r="O32" s="136">
        <f t="shared" si="2"/>
        <v>110970</v>
      </c>
      <c r="P32" s="136">
        <f t="shared" si="2"/>
        <v>116033</v>
      </c>
      <c r="Q32" s="136">
        <f t="shared" si="2"/>
        <v>111089</v>
      </c>
      <c r="R32" s="136">
        <f t="shared" si="2"/>
        <v>144249</v>
      </c>
      <c r="S32" s="136">
        <f t="shared" si="2"/>
        <v>104945</v>
      </c>
    </row>
    <row r="33" spans="1:19" x14ac:dyDescent="0.25">
      <c r="A33" s="75" t="s">
        <v>21</v>
      </c>
      <c r="B33" s="135" t="s">
        <v>21</v>
      </c>
      <c r="P33" s="170"/>
    </row>
    <row r="34" spans="1:19" x14ac:dyDescent="0.25">
      <c r="A34" s="76" t="s">
        <v>165</v>
      </c>
      <c r="B34" s="135"/>
      <c r="C34" s="260">
        <v>0</v>
      </c>
      <c r="D34" s="260">
        <v>0</v>
      </c>
      <c r="E34" s="260">
        <v>0</v>
      </c>
      <c r="F34" s="170">
        <v>50000</v>
      </c>
      <c r="G34" s="170">
        <v>75000</v>
      </c>
      <c r="H34" s="170">
        <v>60000</v>
      </c>
      <c r="I34" s="170">
        <v>60000</v>
      </c>
      <c r="J34" s="170">
        <v>60000</v>
      </c>
      <c r="K34" s="170">
        <v>55000</v>
      </c>
      <c r="L34" s="170">
        <v>35000</v>
      </c>
      <c r="M34" s="170">
        <v>40000</v>
      </c>
      <c r="N34" s="170">
        <v>35000</v>
      </c>
      <c r="O34" s="170">
        <v>35000</v>
      </c>
      <c r="P34" s="170">
        <v>35000</v>
      </c>
      <c r="Q34" s="170">
        <v>45000</v>
      </c>
      <c r="R34" s="170">
        <v>50391</v>
      </c>
      <c r="S34" s="170">
        <v>67355</v>
      </c>
    </row>
    <row r="35" spans="1:19" x14ac:dyDescent="0.25">
      <c r="A35" s="76" t="s">
        <v>65</v>
      </c>
      <c r="B35" s="133" t="s">
        <v>21</v>
      </c>
      <c r="P35" s="170"/>
      <c r="Q35" s="170"/>
    </row>
    <row r="36" spans="1:19" x14ac:dyDescent="0.25">
      <c r="A36" s="71" t="s">
        <v>66</v>
      </c>
      <c r="B36" s="133"/>
      <c r="C36" s="134">
        <v>1222</v>
      </c>
      <c r="D36" s="134">
        <v>977</v>
      </c>
      <c r="E36" s="134">
        <v>850</v>
      </c>
      <c r="F36" s="134">
        <v>560</v>
      </c>
      <c r="G36" s="134">
        <v>424</v>
      </c>
      <c r="H36" s="134">
        <v>323</v>
      </c>
      <c r="I36" s="134">
        <v>304</v>
      </c>
      <c r="J36" s="134">
        <v>278</v>
      </c>
      <c r="K36" s="134">
        <v>278</v>
      </c>
      <c r="L36" s="134">
        <v>252</v>
      </c>
      <c r="M36" s="134">
        <v>214</v>
      </c>
      <c r="N36" s="134">
        <v>300</v>
      </c>
      <c r="O36" s="134">
        <v>285</v>
      </c>
      <c r="P36" s="170">
        <v>310</v>
      </c>
      <c r="Q36" s="170">
        <v>315</v>
      </c>
      <c r="R36" s="170">
        <v>331</v>
      </c>
      <c r="S36" s="170">
        <v>282</v>
      </c>
    </row>
    <row r="37" spans="1:19" x14ac:dyDescent="0.25">
      <c r="A37" s="71" t="s">
        <v>28</v>
      </c>
      <c r="B37" s="133"/>
      <c r="C37" s="259">
        <v>0</v>
      </c>
      <c r="D37" s="259">
        <v>0</v>
      </c>
      <c r="E37" s="259">
        <v>0</v>
      </c>
      <c r="F37" s="259">
        <v>0</v>
      </c>
      <c r="G37" s="259">
        <v>0</v>
      </c>
      <c r="H37" s="259">
        <v>0</v>
      </c>
      <c r="I37" s="259">
        <v>0</v>
      </c>
      <c r="J37" s="259">
        <v>0</v>
      </c>
      <c r="K37" s="259">
        <v>0</v>
      </c>
      <c r="L37" s="259">
        <v>0</v>
      </c>
      <c r="M37" s="259">
        <v>0</v>
      </c>
      <c r="N37" s="259">
        <v>0</v>
      </c>
      <c r="O37" s="259">
        <v>0</v>
      </c>
      <c r="P37" s="259">
        <v>0</v>
      </c>
      <c r="Q37" s="259">
        <v>0</v>
      </c>
      <c r="R37" s="170">
        <v>13557</v>
      </c>
      <c r="S37" s="170">
        <v>8721</v>
      </c>
    </row>
    <row r="38" spans="1:19" x14ac:dyDescent="0.25">
      <c r="A38" s="71" t="s">
        <v>32</v>
      </c>
      <c r="B38" s="133"/>
      <c r="C38" s="132">
        <v>19107</v>
      </c>
      <c r="D38" s="132">
        <v>14385</v>
      </c>
      <c r="E38" s="132">
        <v>14530</v>
      </c>
      <c r="F38" s="132">
        <v>12870</v>
      </c>
      <c r="G38" s="132">
        <v>13727</v>
      </c>
      <c r="H38" s="132">
        <v>14041</v>
      </c>
      <c r="I38" s="132">
        <v>18971</v>
      </c>
      <c r="J38" s="132">
        <v>17655</v>
      </c>
      <c r="K38" s="132">
        <v>13565</v>
      </c>
      <c r="L38" s="132">
        <v>14185</v>
      </c>
      <c r="M38" s="132">
        <v>13205</v>
      </c>
      <c r="N38" s="132">
        <v>14819</v>
      </c>
      <c r="O38" s="132">
        <v>17729</v>
      </c>
      <c r="P38" s="170">
        <v>16166</v>
      </c>
      <c r="Q38" s="170">
        <v>16234</v>
      </c>
      <c r="R38" s="170">
        <v>16202</v>
      </c>
      <c r="S38" s="170">
        <v>15262</v>
      </c>
    </row>
    <row r="39" spans="1:19" x14ac:dyDescent="0.25">
      <c r="A39" s="44" t="s">
        <v>74</v>
      </c>
      <c r="B39" s="45" t="s">
        <v>21</v>
      </c>
      <c r="C39" s="127">
        <f t="shared" ref="C39:S39" si="3">SUM(C32:C38)</f>
        <v>83323</v>
      </c>
      <c r="D39" s="127">
        <f t="shared" si="3"/>
        <v>84981</v>
      </c>
      <c r="E39" s="127">
        <f t="shared" si="3"/>
        <v>89443</v>
      </c>
      <c r="F39" s="127">
        <f t="shared" si="3"/>
        <v>154398</v>
      </c>
      <c r="G39" s="127">
        <f t="shared" si="3"/>
        <v>174057</v>
      </c>
      <c r="H39" s="127">
        <f t="shared" si="3"/>
        <v>169256</v>
      </c>
      <c r="I39" s="127">
        <f t="shared" si="3"/>
        <v>172530</v>
      </c>
      <c r="J39" s="127">
        <f t="shared" si="3"/>
        <v>185012</v>
      </c>
      <c r="K39" s="127">
        <f t="shared" si="3"/>
        <v>158487</v>
      </c>
      <c r="L39" s="127">
        <f t="shared" si="3"/>
        <v>149898</v>
      </c>
      <c r="M39" s="127">
        <f t="shared" si="3"/>
        <v>150803</v>
      </c>
      <c r="N39" s="127">
        <f t="shared" si="3"/>
        <v>174350</v>
      </c>
      <c r="O39" s="127">
        <f t="shared" si="3"/>
        <v>163984</v>
      </c>
      <c r="P39" s="127">
        <f t="shared" si="3"/>
        <v>167509</v>
      </c>
      <c r="Q39" s="127">
        <f t="shared" si="3"/>
        <v>172638</v>
      </c>
      <c r="R39" s="127">
        <f t="shared" si="3"/>
        <v>224730</v>
      </c>
      <c r="S39" s="127">
        <f t="shared" si="3"/>
        <v>196565</v>
      </c>
    </row>
    <row r="40" spans="1:19" x14ac:dyDescent="0.25">
      <c r="A40" s="19" t="s">
        <v>21</v>
      </c>
      <c r="B40" s="2" t="s">
        <v>21</v>
      </c>
      <c r="P40" s="170"/>
    </row>
    <row r="41" spans="1:19" ht="26.4" x14ac:dyDescent="0.25">
      <c r="A41" s="20" t="s">
        <v>75</v>
      </c>
      <c r="B41" s="2" t="s">
        <v>21</v>
      </c>
      <c r="C41" s="126">
        <v>0</v>
      </c>
      <c r="D41" s="126">
        <v>0</v>
      </c>
      <c r="E41" s="126">
        <v>0</v>
      </c>
      <c r="F41" s="126">
        <v>0</v>
      </c>
      <c r="G41" s="126">
        <v>0</v>
      </c>
      <c r="H41" s="126">
        <v>0</v>
      </c>
      <c r="I41" s="126">
        <v>0</v>
      </c>
      <c r="J41" s="126">
        <v>0</v>
      </c>
      <c r="K41" s="126">
        <v>0</v>
      </c>
      <c r="L41" s="126">
        <v>0</v>
      </c>
      <c r="M41" s="126">
        <v>0</v>
      </c>
      <c r="N41" s="126">
        <v>0</v>
      </c>
      <c r="O41" s="126">
        <v>0</v>
      </c>
      <c r="P41" s="126">
        <v>0</v>
      </c>
      <c r="Q41" s="126">
        <v>0</v>
      </c>
      <c r="R41" s="126">
        <v>0</v>
      </c>
      <c r="S41" s="126">
        <v>0</v>
      </c>
    </row>
    <row r="42" spans="1:19" x14ac:dyDescent="0.25">
      <c r="A42" s="19"/>
      <c r="P42" s="170"/>
    </row>
    <row r="43" spans="1:19" x14ac:dyDescent="0.25">
      <c r="A43" s="21" t="s">
        <v>112</v>
      </c>
      <c r="B43" s="8" t="s">
        <v>21</v>
      </c>
      <c r="P43" s="170"/>
    </row>
    <row r="44" spans="1:19" x14ac:dyDescent="0.25">
      <c r="A44" s="107"/>
      <c r="B44" s="8"/>
      <c r="P44" s="170"/>
    </row>
    <row r="45" spans="1:19" x14ac:dyDescent="0.25">
      <c r="A45" s="20" t="s">
        <v>76</v>
      </c>
      <c r="B45" s="38" t="s">
        <v>21</v>
      </c>
      <c r="C45" s="126">
        <v>34</v>
      </c>
      <c r="D45" s="126">
        <v>34</v>
      </c>
      <c r="E45" s="126">
        <v>34</v>
      </c>
      <c r="F45" s="126">
        <v>34</v>
      </c>
      <c r="G45" s="126">
        <v>35</v>
      </c>
      <c r="H45" s="126">
        <v>35</v>
      </c>
      <c r="I45" s="126">
        <v>35</v>
      </c>
      <c r="J45" s="126">
        <v>35</v>
      </c>
      <c r="K45" s="126">
        <v>35</v>
      </c>
      <c r="L45" s="126">
        <v>35</v>
      </c>
      <c r="M45" s="126">
        <v>36</v>
      </c>
      <c r="N45" s="126">
        <v>36</v>
      </c>
      <c r="O45" s="126">
        <v>36</v>
      </c>
      <c r="P45" s="170">
        <v>36</v>
      </c>
      <c r="Q45" s="170">
        <v>37</v>
      </c>
      <c r="R45" s="170">
        <v>37</v>
      </c>
      <c r="S45" s="170">
        <v>38</v>
      </c>
    </row>
    <row r="46" spans="1:19" x14ac:dyDescent="0.25">
      <c r="A46" s="20" t="s">
        <v>30</v>
      </c>
      <c r="B46" s="2" t="s">
        <v>21</v>
      </c>
      <c r="C46" s="131">
        <v>220370</v>
      </c>
      <c r="D46" s="131">
        <v>223477</v>
      </c>
      <c r="E46" s="131">
        <v>228009</v>
      </c>
      <c r="F46" s="131">
        <v>233173</v>
      </c>
      <c r="G46" s="131">
        <v>239311</v>
      </c>
      <c r="H46" s="131">
        <v>243348</v>
      </c>
      <c r="I46" s="131">
        <v>248614</v>
      </c>
      <c r="J46" s="131">
        <v>254052</v>
      </c>
      <c r="K46" s="131">
        <v>261871</v>
      </c>
      <c r="L46" s="131">
        <v>268506</v>
      </c>
      <c r="M46" s="131">
        <v>275020</v>
      </c>
      <c r="N46" s="131">
        <v>284646</v>
      </c>
      <c r="O46" s="131">
        <v>296792</v>
      </c>
      <c r="P46" s="170">
        <v>303486</v>
      </c>
      <c r="Q46" s="170">
        <v>311691</v>
      </c>
      <c r="R46" s="170">
        <v>322246</v>
      </c>
      <c r="S46" s="170">
        <v>327750</v>
      </c>
    </row>
    <row r="47" spans="1:19" x14ac:dyDescent="0.25">
      <c r="A47" s="72" t="s">
        <v>33</v>
      </c>
      <c r="B47" s="74" t="s">
        <v>21</v>
      </c>
      <c r="C47" s="131">
        <v>248126</v>
      </c>
      <c r="D47" s="131">
        <v>255889</v>
      </c>
      <c r="E47" s="131">
        <v>261964</v>
      </c>
      <c r="F47" s="131">
        <v>269424</v>
      </c>
      <c r="G47" s="131">
        <f>F47+9567</f>
        <v>278991</v>
      </c>
      <c r="H47" s="131">
        <v>291065</v>
      </c>
      <c r="I47" s="131">
        <v>306227</v>
      </c>
      <c r="J47" s="131">
        <v>320989</v>
      </c>
      <c r="K47" s="131">
        <v>334809</v>
      </c>
      <c r="L47" s="131">
        <v>351184</v>
      </c>
      <c r="M47" s="131">
        <v>367234</v>
      </c>
      <c r="N47" s="131">
        <v>382722</v>
      </c>
      <c r="O47" s="131">
        <v>394964</v>
      </c>
      <c r="P47" s="170">
        <v>415342</v>
      </c>
      <c r="Q47" s="170">
        <v>436419</v>
      </c>
      <c r="R47" s="170">
        <v>427064</v>
      </c>
      <c r="S47" s="170">
        <v>450676</v>
      </c>
    </row>
    <row r="48" spans="1:19" x14ac:dyDescent="0.25">
      <c r="A48" s="72" t="s">
        <v>135</v>
      </c>
      <c r="B48" s="74" t="s">
        <v>21</v>
      </c>
      <c r="C48" s="131">
        <v>-48741</v>
      </c>
      <c r="D48" s="131">
        <v>-45007</v>
      </c>
      <c r="E48" s="131">
        <v>-52928</v>
      </c>
      <c r="F48" s="131">
        <v>-55509</v>
      </c>
      <c r="G48" s="131">
        <v>-53015</v>
      </c>
      <c r="H48" s="131">
        <v>-56917</v>
      </c>
      <c r="I48" s="131">
        <v>-66250</v>
      </c>
      <c r="J48" s="131">
        <v>-67325</v>
      </c>
      <c r="K48" s="131">
        <v>-64087</v>
      </c>
      <c r="L48" s="131">
        <v>-71045</v>
      </c>
      <c r="M48" s="131">
        <v>-66924</v>
      </c>
      <c r="N48" s="131">
        <v>-75057</v>
      </c>
      <c r="O48" s="131">
        <v>-57013</v>
      </c>
      <c r="P48" s="170">
        <v>-55451</v>
      </c>
      <c r="Q48" s="170">
        <v>-59290</v>
      </c>
      <c r="R48" s="170">
        <v>-45710</v>
      </c>
      <c r="S48" s="170">
        <v>-59670</v>
      </c>
    </row>
    <row r="49" spans="1:228" x14ac:dyDescent="0.25">
      <c r="A49" s="20" t="s">
        <v>220</v>
      </c>
      <c r="B49" s="2" t="s">
        <v>21</v>
      </c>
      <c r="C49" s="131">
        <v>-25101</v>
      </c>
      <c r="D49" s="131">
        <v>-25101</v>
      </c>
      <c r="E49" s="131">
        <v>-27964</v>
      </c>
      <c r="F49" s="131">
        <v>-27964</v>
      </c>
      <c r="G49" s="131">
        <v>-28361</v>
      </c>
      <c r="H49" s="131">
        <v>-33069</v>
      </c>
      <c r="I49" s="131">
        <v>-41218</v>
      </c>
      <c r="J49" s="131">
        <v>-42159</v>
      </c>
      <c r="K49" s="131">
        <v>-49014</v>
      </c>
      <c r="L49" s="131">
        <v>-51863</v>
      </c>
      <c r="M49" s="131">
        <v>-57328</v>
      </c>
      <c r="N49" s="131">
        <v>-60362</v>
      </c>
      <c r="O49" s="131">
        <v>-72275</v>
      </c>
      <c r="P49" s="170">
        <v>-83694</v>
      </c>
      <c r="Q49" s="170">
        <v>-92698</v>
      </c>
      <c r="R49" s="170">
        <v>-103816</v>
      </c>
      <c r="S49" s="170">
        <v>-117320</v>
      </c>
    </row>
    <row r="50" spans="1:228" x14ac:dyDescent="0.25">
      <c r="A50" s="128" t="s">
        <v>126</v>
      </c>
      <c r="B50" s="45" t="s">
        <v>21</v>
      </c>
      <c r="C50" s="127">
        <f t="shared" ref="C50:G50" si="4">SUM(C41:C49)</f>
        <v>394688</v>
      </c>
      <c r="D50" s="127">
        <f t="shared" si="4"/>
        <v>409292</v>
      </c>
      <c r="E50" s="127">
        <f t="shared" si="4"/>
        <v>409115</v>
      </c>
      <c r="F50" s="127">
        <f t="shared" si="4"/>
        <v>419158</v>
      </c>
      <c r="G50" s="127">
        <f t="shared" si="4"/>
        <v>436961</v>
      </c>
      <c r="H50" s="127">
        <f t="shared" ref="H50:I50" si="5">SUM(H41:H49)</f>
        <v>444462</v>
      </c>
      <c r="I50" s="127">
        <f t="shared" si="5"/>
        <v>447408</v>
      </c>
      <c r="J50" s="127">
        <f t="shared" ref="J50:K50" si="6">SUM(J41:J49)</f>
        <v>465592</v>
      </c>
      <c r="K50" s="127">
        <f t="shared" si="6"/>
        <v>483614</v>
      </c>
      <c r="L50" s="127">
        <f t="shared" ref="L50:M50" si="7">SUM(L41:L49)</f>
        <v>496817</v>
      </c>
      <c r="M50" s="127">
        <f t="shared" si="7"/>
        <v>518038</v>
      </c>
      <c r="N50" s="127">
        <f t="shared" ref="N50:S50" si="8">SUM(N41:N49)</f>
        <v>531985</v>
      </c>
      <c r="O50" s="127">
        <f t="shared" si="8"/>
        <v>562504</v>
      </c>
      <c r="P50" s="127">
        <f t="shared" si="8"/>
        <v>579719</v>
      </c>
      <c r="Q50" s="127">
        <f t="shared" si="8"/>
        <v>596159</v>
      </c>
      <c r="R50" s="127">
        <f t="shared" si="8"/>
        <v>599821</v>
      </c>
      <c r="S50" s="127">
        <f t="shared" si="8"/>
        <v>601474</v>
      </c>
    </row>
    <row r="51" spans="1:228" x14ac:dyDescent="0.25">
      <c r="A51" s="130" t="s">
        <v>142</v>
      </c>
      <c r="B51" s="1"/>
      <c r="C51" s="2">
        <v>0</v>
      </c>
      <c r="D51" s="2">
        <v>0</v>
      </c>
      <c r="E51" s="2">
        <v>0</v>
      </c>
      <c r="F51" s="2">
        <v>0</v>
      </c>
      <c r="G51" s="2">
        <v>0</v>
      </c>
      <c r="H51" s="2">
        <v>0</v>
      </c>
      <c r="I51" s="2">
        <v>0</v>
      </c>
      <c r="J51" s="2">
        <v>179</v>
      </c>
      <c r="K51" s="2">
        <v>179</v>
      </c>
      <c r="L51" s="2">
        <v>182</v>
      </c>
      <c r="M51" s="2">
        <v>181</v>
      </c>
      <c r="N51" s="2">
        <v>193</v>
      </c>
      <c r="O51" s="2">
        <v>205</v>
      </c>
      <c r="P51" s="170">
        <v>203</v>
      </c>
      <c r="Q51" s="2">
        <v>207</v>
      </c>
      <c r="R51" s="2">
        <v>224</v>
      </c>
      <c r="S51" s="2">
        <v>231</v>
      </c>
    </row>
    <row r="52" spans="1:228" x14ac:dyDescent="0.25">
      <c r="A52" s="128" t="s">
        <v>127</v>
      </c>
      <c r="B52" s="45" t="s">
        <v>21</v>
      </c>
      <c r="C52" s="127">
        <f t="shared" ref="C52:G52" si="9">SUM(C50:C51)</f>
        <v>394688</v>
      </c>
      <c r="D52" s="127">
        <f t="shared" si="9"/>
        <v>409292</v>
      </c>
      <c r="E52" s="127">
        <f t="shared" si="9"/>
        <v>409115</v>
      </c>
      <c r="F52" s="127">
        <f t="shared" si="9"/>
        <v>419158</v>
      </c>
      <c r="G52" s="127">
        <f t="shared" si="9"/>
        <v>436961</v>
      </c>
      <c r="H52" s="127">
        <f t="shared" ref="H52:I52" si="10">SUM(H50:H51)</f>
        <v>444462</v>
      </c>
      <c r="I52" s="127">
        <f t="shared" si="10"/>
        <v>447408</v>
      </c>
      <c r="J52" s="127">
        <f t="shared" ref="J52:K52" si="11">SUM(J50:J51)</f>
        <v>465771</v>
      </c>
      <c r="K52" s="127">
        <f t="shared" si="11"/>
        <v>483793</v>
      </c>
      <c r="L52" s="127">
        <f t="shared" ref="L52:M52" si="12">SUM(L50:L51)</f>
        <v>496999</v>
      </c>
      <c r="M52" s="127">
        <f t="shared" si="12"/>
        <v>518219</v>
      </c>
      <c r="N52" s="127">
        <f t="shared" ref="N52:S52" si="13">SUM(N50:N51)</f>
        <v>532178</v>
      </c>
      <c r="O52" s="127">
        <f t="shared" si="13"/>
        <v>562709</v>
      </c>
      <c r="P52" s="127">
        <f t="shared" si="13"/>
        <v>579922</v>
      </c>
      <c r="Q52" s="127">
        <f t="shared" si="13"/>
        <v>596366</v>
      </c>
      <c r="R52" s="127">
        <f t="shared" si="13"/>
        <v>600045</v>
      </c>
      <c r="S52" s="127">
        <f t="shared" si="13"/>
        <v>601705</v>
      </c>
    </row>
    <row r="53" spans="1:228" x14ac:dyDescent="0.25">
      <c r="A53" s="22" t="s">
        <v>21</v>
      </c>
      <c r="B53" s="2" t="s">
        <v>21</v>
      </c>
      <c r="P53" s="170"/>
    </row>
    <row r="54" spans="1:228" s="50" customFormat="1" x14ac:dyDescent="0.25">
      <c r="A54" s="48" t="s">
        <v>113</v>
      </c>
      <c r="B54" s="49" t="s">
        <v>21</v>
      </c>
      <c r="C54" s="125">
        <f t="shared" ref="C54:G54" si="14">C52+C39</f>
        <v>478011</v>
      </c>
      <c r="D54" s="125">
        <f t="shared" si="14"/>
        <v>494273</v>
      </c>
      <c r="E54" s="125">
        <f t="shared" si="14"/>
        <v>498558</v>
      </c>
      <c r="F54" s="125">
        <f t="shared" si="14"/>
        <v>573556</v>
      </c>
      <c r="G54" s="125">
        <f t="shared" si="14"/>
        <v>611018</v>
      </c>
      <c r="H54" s="125">
        <f t="shared" ref="H54:I54" si="15">H52+H39</f>
        <v>613718</v>
      </c>
      <c r="I54" s="125">
        <f t="shared" si="15"/>
        <v>619938</v>
      </c>
      <c r="J54" s="125">
        <f t="shared" ref="J54:K54" si="16">J52+J39</f>
        <v>650783</v>
      </c>
      <c r="K54" s="125">
        <f t="shared" si="16"/>
        <v>642280</v>
      </c>
      <c r="L54" s="125">
        <f t="shared" ref="L54:M54" si="17">L52+L39</f>
        <v>646897</v>
      </c>
      <c r="M54" s="125">
        <f t="shared" si="17"/>
        <v>669022</v>
      </c>
      <c r="N54" s="125">
        <f t="shared" ref="N54:P54" si="18">N52+N39</f>
        <v>706528</v>
      </c>
      <c r="O54" s="125">
        <f t="shared" si="18"/>
        <v>726693</v>
      </c>
      <c r="P54" s="125">
        <f t="shared" si="18"/>
        <v>747431</v>
      </c>
      <c r="Q54" s="125">
        <f>Q52+Q39</f>
        <v>769004</v>
      </c>
      <c r="R54" s="125">
        <f>R52+R39</f>
        <v>824775</v>
      </c>
      <c r="S54" s="125">
        <f>S52+S39</f>
        <v>798270</v>
      </c>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row>
    <row r="55" spans="1:228" hidden="1" x14ac:dyDescent="0.25">
      <c r="C55" s="108"/>
      <c r="D55" s="108"/>
      <c r="E55" s="108"/>
      <c r="F55" s="108"/>
      <c r="G55" s="108"/>
      <c r="H55" s="108"/>
      <c r="I55" s="108"/>
      <c r="J55" s="108"/>
      <c r="K55" s="108"/>
      <c r="L55" s="108"/>
      <c r="M55" s="108"/>
    </row>
    <row r="56" spans="1:228" hidden="1" x14ac:dyDescent="0.25"/>
    <row r="57" spans="1:228" hidden="1" x14ac:dyDescent="0.25"/>
    <row r="58" spans="1:228" hidden="1" x14ac:dyDescent="0.25">
      <c r="C58" s="108"/>
      <c r="D58" s="108"/>
      <c r="E58" s="108"/>
      <c r="F58" s="108"/>
      <c r="G58" s="108"/>
      <c r="H58" s="108"/>
      <c r="I58" s="108"/>
      <c r="J58" s="108"/>
      <c r="K58" s="108"/>
      <c r="L58" s="108">
        <f>L54-L23</f>
        <v>0</v>
      </c>
      <c r="M58" s="108">
        <f>M54-M23</f>
        <v>0</v>
      </c>
    </row>
    <row r="59" spans="1:228" x14ac:dyDescent="0.25">
      <c r="F59" s="108"/>
      <c r="G59" s="108"/>
      <c r="H59" s="108"/>
      <c r="I59" s="108"/>
      <c r="J59" s="108"/>
      <c r="K59" s="108"/>
      <c r="L59" s="108"/>
      <c r="M59" s="108"/>
      <c r="N59" s="108"/>
      <c r="O59" s="108"/>
    </row>
    <row r="60" spans="1:228" x14ac:dyDescent="0.25">
      <c r="C60" s="260"/>
      <c r="D60" s="260"/>
      <c r="E60" s="260"/>
      <c r="F60" s="260"/>
      <c r="G60" s="260"/>
      <c r="H60" s="260"/>
      <c r="I60" s="260"/>
      <c r="J60" s="260"/>
      <c r="K60" s="260"/>
      <c r="L60" s="260"/>
      <c r="M60" s="260"/>
      <c r="N60" s="260"/>
      <c r="O60" s="260"/>
      <c r="P60" s="260"/>
      <c r="Q60" s="260"/>
      <c r="R60" s="260"/>
      <c r="S60" s="260"/>
    </row>
    <row r="62" spans="1:228" x14ac:dyDescent="0.25">
      <c r="A62" s="2"/>
    </row>
    <row r="63" spans="1:228" x14ac:dyDescent="0.25">
      <c r="A63" s="2"/>
    </row>
    <row r="64" spans="1:228" x14ac:dyDescent="0.25">
      <c r="A64" s="2"/>
    </row>
    <row r="65" spans="1:1" x14ac:dyDescent="0.25">
      <c r="A65" s="2"/>
    </row>
  </sheetData>
  <phoneticPr fontId="17" type="noConversion"/>
  <pageMargins left="0.7" right="0.7" top="0.33" bottom="0.38" header="0.3" footer="0.3"/>
  <pageSetup paperSize="5"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L94"/>
  <sheetViews>
    <sheetView showGridLines="0" view="pageBreakPreview" zoomScale="80" zoomScaleNormal="80" zoomScaleSheetLayoutView="80" workbookViewId="0">
      <pane xSplit="1" ySplit="5" topLeftCell="Q6" activePane="bottomRight" state="frozen"/>
      <selection activeCell="I106" sqref="I106"/>
      <selection pane="topRight" activeCell="I106" sqref="I106"/>
      <selection pane="bottomLeft" activeCell="I106" sqref="I106"/>
      <selection pane="bottomRight" activeCell="AB8" sqref="AB8"/>
    </sheetView>
  </sheetViews>
  <sheetFormatPr defaultColWidth="9.109375" defaultRowHeight="13.2" outlineLevelCol="1" x14ac:dyDescent="0.25"/>
  <cols>
    <col min="1" max="1" width="68.88671875" style="2" customWidth="1"/>
    <col min="2" max="5" width="13.44140625" style="57" customWidth="1" outlineLevel="1"/>
    <col min="6" max="6" width="13.44140625" style="57" customWidth="1"/>
    <col min="7" max="10" width="13.44140625" style="57" customWidth="1" outlineLevel="1"/>
    <col min="11" max="11" width="13.44140625" style="57" customWidth="1"/>
    <col min="12" max="12" width="10.6640625" style="57" hidden="1" customWidth="1"/>
    <col min="13" max="16" width="13.44140625" style="57" customWidth="1" outlineLevel="1"/>
    <col min="17" max="17" width="13.44140625" style="57" customWidth="1"/>
    <col min="18" max="19" width="13.44140625" style="101" customWidth="1" outlineLevel="1"/>
    <col min="20" max="20" width="10.6640625" style="57" bestFit="1" customWidth="1" outlineLevel="1"/>
    <col min="21" max="21" width="10.6640625" style="57" customWidth="1" outlineLevel="1"/>
    <col min="22" max="22" width="10.6640625" style="57" bestFit="1" customWidth="1" outlineLevel="1"/>
    <col min="23" max="23" width="10.6640625" style="57" customWidth="1" outlineLevel="1"/>
    <col min="24" max="24" width="10.6640625" style="57" bestFit="1" customWidth="1" outlineLevel="1"/>
    <col min="25" max="25" width="10.6640625" style="57" customWidth="1" outlineLevel="1"/>
    <col min="26" max="26" width="13" style="245" bestFit="1" customWidth="1"/>
    <col min="27" max="27" width="13" style="245" customWidth="1"/>
    <col min="28" max="28" width="13" style="245" bestFit="1" customWidth="1"/>
    <col min="29" max="29" width="13" style="245" customWidth="1"/>
    <col min="30" max="48" width="9.109375" style="57"/>
    <col min="49" max="16384" width="9.109375" style="2"/>
  </cols>
  <sheetData>
    <row r="1" spans="1:48" x14ac:dyDescent="0.25">
      <c r="A1" s="11"/>
    </row>
    <row r="2" spans="1:48" x14ac:dyDescent="0.25">
      <c r="A2" s="12"/>
    </row>
    <row r="3" spans="1:48" ht="28.5" customHeight="1" x14ac:dyDescent="0.25"/>
    <row r="4" spans="1:48" x14ac:dyDescent="0.25">
      <c r="A4" s="9" t="s">
        <v>46</v>
      </c>
      <c r="B4" s="3">
        <v>2014</v>
      </c>
      <c r="C4" s="3">
        <v>2014</v>
      </c>
      <c r="D4" s="3">
        <v>2014</v>
      </c>
      <c r="E4" s="3">
        <v>2014</v>
      </c>
      <c r="F4" s="3">
        <v>2014</v>
      </c>
      <c r="G4" s="3">
        <v>2015</v>
      </c>
      <c r="H4" s="70">
        <v>2015</v>
      </c>
      <c r="I4" s="70">
        <v>2015</v>
      </c>
      <c r="J4" s="70">
        <v>2015</v>
      </c>
      <c r="K4" s="3">
        <v>2015</v>
      </c>
      <c r="M4" s="3">
        <v>2016</v>
      </c>
      <c r="N4" s="3">
        <v>2016</v>
      </c>
      <c r="O4" s="3">
        <v>2016</v>
      </c>
      <c r="P4" s="3">
        <v>2016</v>
      </c>
      <c r="Q4" s="3">
        <v>2016</v>
      </c>
      <c r="R4" s="191">
        <v>2017</v>
      </c>
      <c r="S4" s="272" t="s">
        <v>199</v>
      </c>
      <c r="T4" s="194">
        <v>2017</v>
      </c>
      <c r="U4" s="272" t="s">
        <v>199</v>
      </c>
      <c r="V4" s="200">
        <v>2017</v>
      </c>
      <c r="W4" s="272" t="s">
        <v>199</v>
      </c>
      <c r="X4" s="200">
        <v>2017</v>
      </c>
      <c r="Y4" s="272" t="s">
        <v>199</v>
      </c>
      <c r="Z4" s="3">
        <v>2017</v>
      </c>
      <c r="AA4" s="272" t="s">
        <v>199</v>
      </c>
      <c r="AB4" s="3">
        <v>2018</v>
      </c>
      <c r="AC4" s="3"/>
    </row>
    <row r="5" spans="1:48" ht="15.6" x14ac:dyDescent="0.25">
      <c r="A5" s="25" t="s">
        <v>67</v>
      </c>
      <c r="B5" s="181" t="s">
        <v>9</v>
      </c>
      <c r="C5" s="181" t="s">
        <v>10</v>
      </c>
      <c r="D5" s="181" t="s">
        <v>11</v>
      </c>
      <c r="E5" s="181" t="s">
        <v>12</v>
      </c>
      <c r="F5" s="181" t="s">
        <v>13</v>
      </c>
      <c r="G5" s="181" t="s">
        <v>172</v>
      </c>
      <c r="H5" s="181" t="s">
        <v>174</v>
      </c>
      <c r="I5" s="181" t="s">
        <v>176</v>
      </c>
      <c r="J5" s="181" t="s">
        <v>179</v>
      </c>
      <c r="K5" s="181" t="s">
        <v>13</v>
      </c>
      <c r="M5" s="181" t="s">
        <v>172</v>
      </c>
      <c r="N5" s="181" t="s">
        <v>174</v>
      </c>
      <c r="O5" s="181" t="s">
        <v>176</v>
      </c>
      <c r="P5" s="181" t="s">
        <v>179</v>
      </c>
      <c r="Q5" s="181" t="s">
        <v>13</v>
      </c>
      <c r="R5" s="192" t="s">
        <v>172</v>
      </c>
      <c r="S5" s="347" t="s">
        <v>241</v>
      </c>
      <c r="T5" s="192" t="s">
        <v>174</v>
      </c>
      <c r="U5" s="347" t="s">
        <v>240</v>
      </c>
      <c r="V5" s="192" t="s">
        <v>176</v>
      </c>
      <c r="W5" s="347" t="s">
        <v>242</v>
      </c>
      <c r="X5" s="192" t="s">
        <v>179</v>
      </c>
      <c r="Y5" s="347" t="s">
        <v>243</v>
      </c>
      <c r="Z5" s="6" t="s">
        <v>13</v>
      </c>
      <c r="AA5" s="347" t="s">
        <v>244</v>
      </c>
      <c r="AB5" s="6" t="s">
        <v>172</v>
      </c>
      <c r="AC5" s="6"/>
    </row>
    <row r="6" spans="1:48" s="8" customFormat="1" x14ac:dyDescent="0.25">
      <c r="B6" s="1"/>
      <c r="C6" s="1"/>
      <c r="D6" s="1"/>
      <c r="E6" s="1"/>
      <c r="F6" s="1"/>
      <c r="G6" s="1"/>
      <c r="H6" s="1"/>
      <c r="I6" s="1"/>
      <c r="J6" s="1"/>
      <c r="K6" s="1"/>
      <c r="L6" s="1"/>
      <c r="M6" s="1"/>
      <c r="N6" s="1"/>
      <c r="O6" s="1"/>
      <c r="P6" s="1"/>
      <c r="Q6" s="1"/>
      <c r="R6" s="193"/>
      <c r="S6" s="348"/>
      <c r="T6" s="1"/>
      <c r="U6" s="348"/>
      <c r="V6" s="1"/>
      <c r="W6" s="348"/>
      <c r="X6" s="1"/>
      <c r="Y6" s="348"/>
      <c r="Z6" s="201"/>
      <c r="AA6" s="348"/>
      <c r="AB6" s="201"/>
      <c r="AC6" s="201"/>
      <c r="AD6" s="1"/>
      <c r="AE6" s="1"/>
      <c r="AF6" s="1"/>
      <c r="AG6" s="1"/>
      <c r="AH6" s="1"/>
      <c r="AI6" s="1"/>
      <c r="AJ6" s="1"/>
      <c r="AK6" s="1"/>
      <c r="AL6" s="1"/>
      <c r="AM6" s="1"/>
      <c r="AN6" s="1"/>
      <c r="AO6" s="1"/>
      <c r="AP6" s="1"/>
      <c r="AQ6" s="1"/>
      <c r="AR6" s="1"/>
      <c r="AS6" s="1"/>
      <c r="AT6" s="1"/>
      <c r="AU6" s="1"/>
      <c r="AV6" s="1"/>
    </row>
    <row r="7" spans="1:48" x14ac:dyDescent="0.25">
      <c r="A7" s="13" t="s">
        <v>114</v>
      </c>
      <c r="S7" s="349"/>
      <c r="U7" s="349"/>
      <c r="W7" s="349"/>
      <c r="Y7" s="349"/>
      <c r="AA7" s="349"/>
    </row>
    <row r="8" spans="1:48" x14ac:dyDescent="0.25">
      <c r="A8" s="14" t="s">
        <v>34</v>
      </c>
      <c r="B8" s="146">
        <v>11147</v>
      </c>
      <c r="C8" s="146">
        <v>7762</v>
      </c>
      <c r="D8" s="146">
        <v>6075</v>
      </c>
      <c r="E8" s="146">
        <v>7461</v>
      </c>
      <c r="F8" s="146">
        <f>'Income Statement'!F43</f>
        <v>32445</v>
      </c>
      <c r="G8" s="146">
        <f>'Income Statement'!G43</f>
        <v>9567</v>
      </c>
      <c r="H8" s="146">
        <f>'Income Statement'!H43</f>
        <v>12074</v>
      </c>
      <c r="I8" s="146">
        <f>'Income Statement'!I86</f>
        <v>15162</v>
      </c>
      <c r="J8" s="146">
        <f>'Income Statement'!J86</f>
        <v>14762</v>
      </c>
      <c r="K8" s="146">
        <v>51565</v>
      </c>
      <c r="L8" s="110"/>
      <c r="M8" s="146">
        <v>13820</v>
      </c>
      <c r="N8" s="146">
        <v>16375</v>
      </c>
      <c r="O8" s="146">
        <v>16050</v>
      </c>
      <c r="P8" s="146">
        <f>Q8-M8-N8-O8</f>
        <v>15488</v>
      </c>
      <c r="Q8" s="146">
        <v>61733</v>
      </c>
      <c r="R8" s="146">
        <v>16787.935479999996</v>
      </c>
      <c r="S8" s="350">
        <v>16788</v>
      </c>
      <c r="T8" s="196">
        <v>20378.064520000004</v>
      </c>
      <c r="U8" s="350">
        <f>T8</f>
        <v>20378.064520000004</v>
      </c>
      <c r="V8" s="196">
        <v>21076.999999999996</v>
      </c>
      <c r="W8" s="350">
        <f>V8</f>
        <v>21076.999999999996</v>
      </c>
      <c r="X8" s="196">
        <f>+Z8-SUM(R8,T8,V8)</f>
        <v>-9355</v>
      </c>
      <c r="Y8" s="350">
        <f>+AA8-SUM(S8,U8,W8)</f>
        <v>-9355.0645199999999</v>
      </c>
      <c r="Z8" s="246">
        <v>48888</v>
      </c>
      <c r="AA8" s="350">
        <f>Z8</f>
        <v>48888</v>
      </c>
      <c r="AB8" s="246">
        <v>23158</v>
      </c>
      <c r="AC8" s="246"/>
    </row>
    <row r="9" spans="1:48" x14ac:dyDescent="0.25">
      <c r="A9" s="15" t="s">
        <v>52</v>
      </c>
      <c r="B9" s="149">
        <v>0</v>
      </c>
      <c r="C9" s="149">
        <v>0</v>
      </c>
      <c r="D9" s="149">
        <v>0</v>
      </c>
      <c r="E9" s="149">
        <v>0</v>
      </c>
      <c r="F9" s="149">
        <v>0</v>
      </c>
      <c r="G9" s="149">
        <v>0</v>
      </c>
      <c r="H9" s="149">
        <v>0</v>
      </c>
      <c r="I9" s="149">
        <v>0</v>
      </c>
      <c r="J9" s="149">
        <v>0</v>
      </c>
      <c r="K9" s="149">
        <v>0</v>
      </c>
      <c r="L9" s="110"/>
      <c r="M9" s="149"/>
      <c r="N9" s="149"/>
      <c r="O9" s="149"/>
      <c r="P9" s="149"/>
      <c r="Q9" s="149"/>
      <c r="R9" s="149"/>
      <c r="S9" s="351"/>
      <c r="T9" s="110"/>
      <c r="U9" s="351"/>
      <c r="W9" s="351"/>
      <c r="Y9" s="351"/>
      <c r="AA9" s="351"/>
    </row>
    <row r="10" spans="1:48" x14ac:dyDescent="0.25">
      <c r="A10" s="36" t="s">
        <v>53</v>
      </c>
      <c r="B10" s="149"/>
      <c r="C10" s="149"/>
      <c r="D10" s="149"/>
      <c r="E10" s="149"/>
      <c r="F10" s="149"/>
      <c r="G10" s="149"/>
      <c r="H10" s="149"/>
      <c r="I10" s="149"/>
      <c r="J10" s="149"/>
      <c r="K10" s="149"/>
      <c r="L10" s="110"/>
      <c r="M10" s="149"/>
      <c r="N10" s="149"/>
      <c r="O10" s="149"/>
      <c r="P10" s="149"/>
      <c r="Q10" s="149"/>
      <c r="R10" s="149"/>
      <c r="S10" s="351"/>
      <c r="T10" s="110"/>
      <c r="U10" s="351"/>
      <c r="W10" s="351"/>
      <c r="Y10" s="351"/>
      <c r="AA10" s="351"/>
    </row>
    <row r="11" spans="1:48" x14ac:dyDescent="0.25">
      <c r="A11" s="46" t="s">
        <v>5</v>
      </c>
      <c r="B11" s="144">
        <v>6356</v>
      </c>
      <c r="C11" s="144">
        <v>6679</v>
      </c>
      <c r="D11" s="144">
        <v>7014</v>
      </c>
      <c r="E11" s="144">
        <v>7979</v>
      </c>
      <c r="F11" s="144">
        <v>28028</v>
      </c>
      <c r="G11" s="144">
        <v>7053</v>
      </c>
      <c r="H11" s="144">
        <v>8061</v>
      </c>
      <c r="I11" s="144">
        <v>8057</v>
      </c>
      <c r="J11" s="144">
        <f t="shared" ref="J11:J34" si="0">K11-G11-H11-I11</f>
        <v>8294</v>
      </c>
      <c r="K11" s="144">
        <v>31465</v>
      </c>
      <c r="L11" s="110"/>
      <c r="M11" s="144">
        <v>8133</v>
      </c>
      <c r="N11" s="144">
        <v>8270</v>
      </c>
      <c r="O11" s="144">
        <v>8597</v>
      </c>
      <c r="P11" s="144">
        <f t="shared" ref="P11:P34" si="1">Q11-M11-N11-O11</f>
        <v>9580</v>
      </c>
      <c r="Q11" s="144">
        <v>34580</v>
      </c>
      <c r="R11" s="202">
        <v>9426</v>
      </c>
      <c r="S11" s="352">
        <v>9426</v>
      </c>
      <c r="T11" s="203">
        <v>9637</v>
      </c>
      <c r="U11" s="352">
        <f t="shared" ref="U11:U34" si="2">T11</f>
        <v>9637</v>
      </c>
      <c r="V11" s="203">
        <v>9708</v>
      </c>
      <c r="W11" s="352">
        <f t="shared" ref="W11:W25" si="3">V11</f>
        <v>9708</v>
      </c>
      <c r="X11" s="203">
        <f t="shared" ref="X11:X36" si="4">+Z11-SUM(R11,T11,V11)</f>
        <v>10213</v>
      </c>
      <c r="Y11" s="352">
        <f t="shared" ref="Y11:Y25" si="5">+AA11-SUM(S11,U11,W11)</f>
        <v>10213</v>
      </c>
      <c r="Z11" s="247">
        <v>38984</v>
      </c>
      <c r="AA11" s="352">
        <f t="shared" ref="AA11:AA34" si="6">Z11</f>
        <v>38984</v>
      </c>
      <c r="AB11" s="247">
        <v>10655</v>
      </c>
      <c r="AC11" s="247"/>
    </row>
    <row r="12" spans="1:48" s="24" customFormat="1" x14ac:dyDescent="0.25">
      <c r="A12" s="198" t="s">
        <v>35</v>
      </c>
      <c r="B12" s="149">
        <v>38</v>
      </c>
      <c r="C12" s="149">
        <v>15</v>
      </c>
      <c r="D12" s="149">
        <v>0</v>
      </c>
      <c r="E12" s="144">
        <v>15</v>
      </c>
      <c r="F12" s="149">
        <v>68</v>
      </c>
      <c r="G12" s="149">
        <v>0</v>
      </c>
      <c r="H12" s="149">
        <v>46.823999999999998</v>
      </c>
      <c r="I12" s="149">
        <v>24</v>
      </c>
      <c r="J12" s="144">
        <f t="shared" si="0"/>
        <v>29.176000000000002</v>
      </c>
      <c r="K12" s="149">
        <v>100</v>
      </c>
      <c r="L12" s="190"/>
      <c r="M12" s="149">
        <v>26</v>
      </c>
      <c r="N12" s="149">
        <v>22</v>
      </c>
      <c r="O12" s="149">
        <v>25</v>
      </c>
      <c r="P12" s="149">
        <f t="shared" si="1"/>
        <v>10</v>
      </c>
      <c r="Q12" s="149">
        <v>83</v>
      </c>
      <c r="R12" s="204">
        <f>24029.0094285714/1000</f>
        <v>24.029009428571399</v>
      </c>
      <c r="S12" s="351">
        <v>24</v>
      </c>
      <c r="T12" s="204">
        <f>39416/1000-R12</f>
        <v>15.386990571428598</v>
      </c>
      <c r="U12" s="351">
        <f t="shared" si="2"/>
        <v>15.386990571428598</v>
      </c>
      <c r="V12" s="204">
        <f>57500/1000-R12-T12</f>
        <v>18.084000000000003</v>
      </c>
      <c r="W12" s="351">
        <f t="shared" si="3"/>
        <v>18.084000000000003</v>
      </c>
      <c r="X12" s="204">
        <f t="shared" si="4"/>
        <v>232.5</v>
      </c>
      <c r="Y12" s="351">
        <f t="shared" si="5"/>
        <v>232.52900942857138</v>
      </c>
      <c r="Z12" s="112">
        <v>290</v>
      </c>
      <c r="AA12" s="351">
        <f t="shared" si="6"/>
        <v>290</v>
      </c>
      <c r="AB12" s="112">
        <v>39.509759000000003</v>
      </c>
      <c r="AC12" s="112"/>
      <c r="AD12" s="101"/>
      <c r="AE12" s="101"/>
      <c r="AF12" s="101"/>
      <c r="AG12" s="101"/>
      <c r="AH12" s="101"/>
      <c r="AI12" s="101"/>
      <c r="AJ12" s="101"/>
      <c r="AK12" s="101"/>
      <c r="AL12" s="101"/>
      <c r="AM12" s="101"/>
      <c r="AN12" s="101"/>
      <c r="AO12" s="101"/>
      <c r="AP12" s="101"/>
      <c r="AQ12" s="101"/>
      <c r="AR12" s="101"/>
      <c r="AS12" s="101"/>
      <c r="AT12" s="101"/>
      <c r="AU12" s="101"/>
      <c r="AV12" s="101"/>
    </row>
    <row r="13" spans="1:48" s="24" customFormat="1" x14ac:dyDescent="0.25">
      <c r="A13" s="198" t="s">
        <v>115</v>
      </c>
      <c r="B13" s="149">
        <v>4176</v>
      </c>
      <c r="C13" s="149">
        <v>1966</v>
      </c>
      <c r="D13" s="149">
        <v>2376</v>
      </c>
      <c r="E13" s="144">
        <v>2493</v>
      </c>
      <c r="F13" s="149">
        <v>11011</v>
      </c>
      <c r="G13" s="149">
        <v>4255</v>
      </c>
      <c r="H13" s="149">
        <v>3554</v>
      </c>
      <c r="I13" s="149">
        <v>4471</v>
      </c>
      <c r="J13" s="144">
        <f t="shared" si="0"/>
        <v>3767</v>
      </c>
      <c r="K13" s="149">
        <v>16047</v>
      </c>
      <c r="L13" s="190"/>
      <c r="M13" s="149">
        <v>5809</v>
      </c>
      <c r="N13" s="149">
        <v>4450</v>
      </c>
      <c r="O13" s="149">
        <v>4484</v>
      </c>
      <c r="P13" s="149">
        <f t="shared" si="1"/>
        <v>5027</v>
      </c>
      <c r="Q13" s="149">
        <v>19770</v>
      </c>
      <c r="R13" s="204">
        <v>5956</v>
      </c>
      <c r="S13" s="351">
        <v>5956</v>
      </c>
      <c r="T13" s="204">
        <v>5107</v>
      </c>
      <c r="U13" s="351">
        <f t="shared" si="2"/>
        <v>5107</v>
      </c>
      <c r="V13" s="204">
        <v>5708</v>
      </c>
      <c r="W13" s="351">
        <f t="shared" si="3"/>
        <v>5708</v>
      </c>
      <c r="X13" s="204">
        <f t="shared" si="4"/>
        <v>6270</v>
      </c>
      <c r="Y13" s="351">
        <f t="shared" si="5"/>
        <v>6270</v>
      </c>
      <c r="Z13" s="112">
        <v>23041</v>
      </c>
      <c r="AA13" s="351">
        <f t="shared" si="6"/>
        <v>23041</v>
      </c>
      <c r="AB13" s="112">
        <v>5074</v>
      </c>
      <c r="AC13" s="112"/>
      <c r="AD13" s="101"/>
      <c r="AE13" s="101"/>
      <c r="AF13" s="101"/>
      <c r="AG13" s="101"/>
      <c r="AH13" s="101"/>
      <c r="AI13" s="101"/>
      <c r="AJ13" s="101"/>
      <c r="AK13" s="101"/>
      <c r="AL13" s="101"/>
      <c r="AM13" s="101"/>
      <c r="AN13" s="101"/>
      <c r="AO13" s="101"/>
      <c r="AP13" s="101"/>
      <c r="AQ13" s="101"/>
      <c r="AR13" s="101"/>
      <c r="AS13" s="101"/>
      <c r="AT13" s="101"/>
      <c r="AU13" s="101"/>
      <c r="AV13" s="101"/>
    </row>
    <row r="14" spans="1:48" s="24" customFormat="1" x14ac:dyDescent="0.25">
      <c r="A14" s="199" t="s">
        <v>222</v>
      </c>
      <c r="B14" s="149">
        <v>0</v>
      </c>
      <c r="C14" s="149">
        <v>0</v>
      </c>
      <c r="D14" s="149">
        <v>0</v>
      </c>
      <c r="E14" s="144">
        <v>0</v>
      </c>
      <c r="F14" s="149">
        <v>0</v>
      </c>
      <c r="G14" s="149">
        <v>0</v>
      </c>
      <c r="H14" s="149">
        <v>0</v>
      </c>
      <c r="I14" s="149">
        <v>0</v>
      </c>
      <c r="J14" s="144">
        <f t="shared" si="0"/>
        <v>0</v>
      </c>
      <c r="K14" s="149">
        <v>0</v>
      </c>
      <c r="L14" s="190"/>
      <c r="M14" s="149">
        <v>0</v>
      </c>
      <c r="N14" s="149">
        <v>0</v>
      </c>
      <c r="O14" s="149">
        <v>0</v>
      </c>
      <c r="P14" s="149">
        <f t="shared" si="1"/>
        <v>0</v>
      </c>
      <c r="Q14" s="149">
        <v>0</v>
      </c>
      <c r="R14" s="204">
        <v>0</v>
      </c>
      <c r="S14" s="351"/>
      <c r="T14" s="204">
        <v>0</v>
      </c>
      <c r="U14" s="351">
        <f t="shared" si="2"/>
        <v>0</v>
      </c>
      <c r="V14" s="204">
        <v>0</v>
      </c>
      <c r="W14" s="351">
        <f t="shared" si="3"/>
        <v>0</v>
      </c>
      <c r="X14" s="204">
        <f t="shared" si="4"/>
        <v>0</v>
      </c>
      <c r="Y14" s="351">
        <f t="shared" si="5"/>
        <v>0</v>
      </c>
      <c r="Z14" s="263">
        <v>0</v>
      </c>
      <c r="AA14" s="351">
        <f t="shared" si="6"/>
        <v>0</v>
      </c>
      <c r="AB14" s="263">
        <v>56</v>
      </c>
      <c r="AC14" s="263"/>
      <c r="AD14" s="101"/>
      <c r="AE14" s="101"/>
      <c r="AF14" s="101"/>
      <c r="AG14" s="101"/>
      <c r="AH14" s="101"/>
      <c r="AI14" s="101"/>
      <c r="AJ14" s="101"/>
      <c r="AK14" s="101"/>
      <c r="AL14" s="101"/>
      <c r="AM14" s="101"/>
      <c r="AN14" s="101"/>
      <c r="AO14" s="101"/>
      <c r="AP14" s="101"/>
      <c r="AQ14" s="101"/>
      <c r="AR14" s="101"/>
      <c r="AS14" s="101"/>
      <c r="AT14" s="101"/>
      <c r="AU14" s="101"/>
      <c r="AV14" s="101"/>
    </row>
    <row r="15" spans="1:48" s="24" customFormat="1" x14ac:dyDescent="0.25">
      <c r="A15" s="199" t="s">
        <v>36</v>
      </c>
      <c r="B15" s="149">
        <v>0</v>
      </c>
      <c r="C15" s="149">
        <v>0</v>
      </c>
      <c r="D15" s="149">
        <v>0</v>
      </c>
      <c r="E15" s="144">
        <v>0</v>
      </c>
      <c r="F15" s="149">
        <v>0</v>
      </c>
      <c r="G15" s="149">
        <v>0</v>
      </c>
      <c r="H15" s="149">
        <v>0</v>
      </c>
      <c r="I15" s="149">
        <v>0</v>
      </c>
      <c r="J15" s="144">
        <f t="shared" si="0"/>
        <v>0</v>
      </c>
      <c r="K15" s="149">
        <v>0</v>
      </c>
      <c r="L15" s="190"/>
      <c r="M15" s="149">
        <v>0</v>
      </c>
      <c r="N15" s="149">
        <v>0</v>
      </c>
      <c r="O15" s="149">
        <v>0</v>
      </c>
      <c r="P15" s="149">
        <f t="shared" si="1"/>
        <v>0</v>
      </c>
      <c r="Q15" s="149">
        <v>0</v>
      </c>
      <c r="R15" s="204">
        <v>0</v>
      </c>
      <c r="S15" s="351"/>
      <c r="T15" s="204">
        <v>0</v>
      </c>
      <c r="U15" s="351">
        <f t="shared" si="2"/>
        <v>0</v>
      </c>
      <c r="V15" s="204">
        <v>0</v>
      </c>
      <c r="W15" s="351">
        <f t="shared" si="3"/>
        <v>0</v>
      </c>
      <c r="X15" s="204">
        <f t="shared" si="4"/>
        <v>0</v>
      </c>
      <c r="Y15" s="351">
        <f t="shared" si="5"/>
        <v>0</v>
      </c>
      <c r="Z15" s="263">
        <v>0</v>
      </c>
      <c r="AA15" s="351">
        <f t="shared" si="6"/>
        <v>0</v>
      </c>
      <c r="AB15" s="263">
        <v>0</v>
      </c>
      <c r="AC15" s="263"/>
      <c r="AD15" s="101"/>
      <c r="AE15" s="101"/>
      <c r="AF15" s="101"/>
      <c r="AG15" s="101"/>
      <c r="AH15" s="101"/>
      <c r="AI15" s="101"/>
      <c r="AJ15" s="101"/>
      <c r="AK15" s="101"/>
      <c r="AL15" s="101"/>
      <c r="AM15" s="101"/>
      <c r="AN15" s="101"/>
      <c r="AO15" s="101"/>
      <c r="AP15" s="101"/>
      <c r="AQ15" s="101"/>
      <c r="AR15" s="101"/>
      <c r="AS15" s="101"/>
      <c r="AT15" s="101"/>
      <c r="AU15" s="101"/>
      <c r="AV15" s="101"/>
    </row>
    <row r="16" spans="1:48" s="24" customFormat="1" x14ac:dyDescent="0.25">
      <c r="A16" s="199" t="s">
        <v>129</v>
      </c>
      <c r="B16" s="149">
        <v>0</v>
      </c>
      <c r="C16" s="149">
        <v>0</v>
      </c>
      <c r="D16" s="149">
        <v>0</v>
      </c>
      <c r="E16" s="144">
        <v>0</v>
      </c>
      <c r="F16" s="149">
        <v>0</v>
      </c>
      <c r="G16" s="149">
        <v>0</v>
      </c>
      <c r="H16" s="149">
        <v>0</v>
      </c>
      <c r="I16" s="149">
        <v>0</v>
      </c>
      <c r="J16" s="144">
        <f t="shared" si="0"/>
        <v>0</v>
      </c>
      <c r="K16" s="149">
        <v>0</v>
      </c>
      <c r="L16" s="190"/>
      <c r="M16" s="149">
        <v>0</v>
      </c>
      <c r="N16" s="149">
        <v>0</v>
      </c>
      <c r="O16" s="149">
        <v>0</v>
      </c>
      <c r="P16" s="149">
        <f t="shared" si="1"/>
        <v>0</v>
      </c>
      <c r="Q16" s="149">
        <v>0</v>
      </c>
      <c r="R16" s="204">
        <v>-12</v>
      </c>
      <c r="S16" s="351">
        <v>-12</v>
      </c>
      <c r="T16" s="204">
        <f>(10217/1000)-R16</f>
        <v>22.216999999999999</v>
      </c>
      <c r="U16" s="351">
        <f t="shared" si="2"/>
        <v>22.216999999999999</v>
      </c>
      <c r="V16" s="204">
        <f>13080/1000-R16-T16</f>
        <v>2.8629999999999995</v>
      </c>
      <c r="W16" s="351">
        <f t="shared" si="3"/>
        <v>2.8629999999999995</v>
      </c>
      <c r="X16" s="204">
        <f t="shared" si="4"/>
        <v>18.920000000000002</v>
      </c>
      <c r="Y16" s="351">
        <f t="shared" si="5"/>
        <v>18.920000000000002</v>
      </c>
      <c r="Z16" s="112">
        <v>32</v>
      </c>
      <c r="AA16" s="351">
        <f t="shared" si="6"/>
        <v>32</v>
      </c>
      <c r="AB16" s="112">
        <v>6.2087200000000005</v>
      </c>
      <c r="AC16" s="112"/>
      <c r="AD16" s="101"/>
      <c r="AE16" s="101"/>
      <c r="AF16" s="101"/>
      <c r="AG16" s="101"/>
      <c r="AH16" s="101"/>
      <c r="AI16" s="101"/>
      <c r="AJ16" s="101"/>
      <c r="AK16" s="101"/>
      <c r="AL16" s="101"/>
      <c r="AM16" s="101"/>
      <c r="AN16" s="101"/>
      <c r="AO16" s="101"/>
      <c r="AP16" s="101"/>
      <c r="AQ16" s="101"/>
      <c r="AR16" s="101"/>
      <c r="AS16" s="101"/>
      <c r="AT16" s="101"/>
      <c r="AU16" s="101"/>
      <c r="AV16" s="101"/>
    </row>
    <row r="17" spans="1:48" s="24" customFormat="1" x14ac:dyDescent="0.25">
      <c r="A17" s="199" t="s">
        <v>145</v>
      </c>
      <c r="B17" s="149">
        <v>0</v>
      </c>
      <c r="C17" s="149">
        <v>0</v>
      </c>
      <c r="D17" s="149">
        <v>0</v>
      </c>
      <c r="E17" s="144">
        <v>0</v>
      </c>
      <c r="F17" s="149">
        <v>0</v>
      </c>
      <c r="G17" s="149">
        <v>0</v>
      </c>
      <c r="H17" s="149">
        <v>0</v>
      </c>
      <c r="I17" s="149">
        <v>0</v>
      </c>
      <c r="J17" s="144">
        <f t="shared" si="0"/>
        <v>0</v>
      </c>
      <c r="K17" s="149">
        <v>0</v>
      </c>
      <c r="L17" s="190"/>
      <c r="M17" s="149">
        <v>0</v>
      </c>
      <c r="N17" s="149">
        <v>0</v>
      </c>
      <c r="O17" s="149">
        <v>0</v>
      </c>
      <c r="P17" s="149">
        <f t="shared" si="1"/>
        <v>0</v>
      </c>
      <c r="Q17" s="149">
        <v>0</v>
      </c>
      <c r="R17" s="204">
        <v>0</v>
      </c>
      <c r="S17" s="351"/>
      <c r="T17" s="204">
        <v>0</v>
      </c>
      <c r="U17" s="351">
        <f t="shared" si="2"/>
        <v>0</v>
      </c>
      <c r="V17" s="204">
        <v>0</v>
      </c>
      <c r="W17" s="351">
        <f t="shared" si="3"/>
        <v>0</v>
      </c>
      <c r="X17" s="204">
        <f t="shared" si="4"/>
        <v>0</v>
      </c>
      <c r="Y17" s="351">
        <f t="shared" si="5"/>
        <v>0</v>
      </c>
      <c r="Z17" s="263">
        <v>0</v>
      </c>
      <c r="AA17" s="351">
        <f t="shared" si="6"/>
        <v>0</v>
      </c>
      <c r="AB17" s="263">
        <v>0</v>
      </c>
      <c r="AC17" s="263"/>
      <c r="AD17" s="101"/>
      <c r="AE17" s="101"/>
      <c r="AF17" s="101"/>
      <c r="AG17" s="101"/>
      <c r="AH17" s="101"/>
      <c r="AI17" s="101"/>
      <c r="AJ17" s="101"/>
      <c r="AK17" s="101"/>
      <c r="AL17" s="101"/>
      <c r="AM17" s="101"/>
      <c r="AN17" s="101"/>
      <c r="AO17" s="101"/>
      <c r="AP17" s="101"/>
      <c r="AQ17" s="101"/>
      <c r="AR17" s="101"/>
      <c r="AS17" s="101"/>
      <c r="AT17" s="101"/>
      <c r="AU17" s="101"/>
      <c r="AV17" s="101"/>
    </row>
    <row r="18" spans="1:48" s="24" customFormat="1" x14ac:dyDescent="0.25">
      <c r="A18" s="199" t="s">
        <v>37</v>
      </c>
      <c r="B18" s="149">
        <v>1895</v>
      </c>
      <c r="C18" s="149">
        <v>311</v>
      </c>
      <c r="D18" s="149">
        <v>-1289</v>
      </c>
      <c r="E18" s="144">
        <v>-1341</v>
      </c>
      <c r="F18" s="149">
        <v>-424</v>
      </c>
      <c r="G18" s="149">
        <v>284</v>
      </c>
      <c r="H18" s="149">
        <v>-1670</v>
      </c>
      <c r="I18" s="149">
        <v>-1464</v>
      </c>
      <c r="J18" s="144">
        <f t="shared" si="0"/>
        <v>-948</v>
      </c>
      <c r="K18" s="149">
        <v>-3798</v>
      </c>
      <c r="L18" s="190"/>
      <c r="M18" s="149">
        <v>-1061</v>
      </c>
      <c r="N18" s="149">
        <v>1019</v>
      </c>
      <c r="O18" s="149">
        <v>-105</v>
      </c>
      <c r="P18" s="149">
        <f t="shared" si="1"/>
        <v>-854</v>
      </c>
      <c r="Q18" s="149">
        <v>-1001</v>
      </c>
      <c r="R18" s="204">
        <v>2225</v>
      </c>
      <c r="S18" s="351">
        <v>2225</v>
      </c>
      <c r="T18" s="204">
        <v>-582</v>
      </c>
      <c r="U18" s="351">
        <f t="shared" si="2"/>
        <v>-582</v>
      </c>
      <c r="V18" s="204">
        <v>-1197</v>
      </c>
      <c r="W18" s="351">
        <f t="shared" si="3"/>
        <v>-1197</v>
      </c>
      <c r="X18" s="204">
        <f t="shared" si="4"/>
        <v>1077</v>
      </c>
      <c r="Y18" s="351">
        <f t="shared" si="5"/>
        <v>1077</v>
      </c>
      <c r="Z18" s="112">
        <v>1523</v>
      </c>
      <c r="AA18" s="351">
        <f t="shared" si="6"/>
        <v>1523</v>
      </c>
      <c r="AB18" s="112">
        <v>-3318.5020559449581</v>
      </c>
      <c r="AC18" s="112"/>
      <c r="AD18" s="101"/>
      <c r="AE18" s="101"/>
      <c r="AF18" s="101"/>
      <c r="AG18" s="101"/>
      <c r="AH18" s="101"/>
      <c r="AI18" s="101"/>
      <c r="AJ18" s="101"/>
      <c r="AK18" s="101"/>
      <c r="AL18" s="101"/>
      <c r="AM18" s="101"/>
      <c r="AN18" s="101"/>
      <c r="AO18" s="101"/>
      <c r="AP18" s="101"/>
      <c r="AQ18" s="101"/>
      <c r="AR18" s="101"/>
      <c r="AS18" s="101"/>
      <c r="AT18" s="101"/>
      <c r="AU18" s="101"/>
      <c r="AV18" s="101"/>
    </row>
    <row r="19" spans="1:48" s="24" customFormat="1" x14ac:dyDescent="0.25">
      <c r="A19" s="199" t="s">
        <v>167</v>
      </c>
      <c r="B19" s="149">
        <v>0</v>
      </c>
      <c r="C19" s="149">
        <v>0</v>
      </c>
      <c r="D19" s="149">
        <v>0</v>
      </c>
      <c r="E19" s="149">
        <v>0</v>
      </c>
      <c r="F19" s="149">
        <v>0</v>
      </c>
      <c r="G19" s="149">
        <v>0</v>
      </c>
      <c r="H19" s="149">
        <v>-760</v>
      </c>
      <c r="I19" s="149">
        <v>-1419</v>
      </c>
      <c r="J19" s="144">
        <f t="shared" si="0"/>
        <v>2179</v>
      </c>
      <c r="K19" s="149">
        <v>0</v>
      </c>
      <c r="L19" s="190"/>
      <c r="M19" s="149">
        <v>-1525</v>
      </c>
      <c r="N19" s="149">
        <v>-1459</v>
      </c>
      <c r="O19" s="149">
        <v>-1971</v>
      </c>
      <c r="P19" s="149">
        <f t="shared" si="1"/>
        <v>4955</v>
      </c>
      <c r="Q19" s="149">
        <v>0</v>
      </c>
      <c r="R19" s="204">
        <v>0</v>
      </c>
      <c r="S19" s="351"/>
      <c r="T19" s="204">
        <v>-2246</v>
      </c>
      <c r="U19" s="351">
        <f t="shared" si="2"/>
        <v>-2246</v>
      </c>
      <c r="V19" s="204">
        <v>-2191</v>
      </c>
      <c r="W19" s="351">
        <f t="shared" si="3"/>
        <v>-2191</v>
      </c>
      <c r="X19" s="204">
        <f t="shared" si="4"/>
        <v>4437</v>
      </c>
      <c r="Y19" s="351">
        <f t="shared" si="5"/>
        <v>4437</v>
      </c>
      <c r="Z19" s="112">
        <v>0</v>
      </c>
      <c r="AA19" s="351">
        <f t="shared" si="6"/>
        <v>0</v>
      </c>
      <c r="AB19" s="112">
        <v>-2842</v>
      </c>
      <c r="AC19" s="112"/>
      <c r="AD19" s="101"/>
      <c r="AE19" s="101"/>
      <c r="AF19" s="101"/>
      <c r="AG19" s="101"/>
      <c r="AH19" s="101"/>
      <c r="AI19" s="101"/>
      <c r="AJ19" s="101"/>
      <c r="AK19" s="101"/>
      <c r="AL19" s="101"/>
      <c r="AM19" s="101"/>
      <c r="AN19" s="101"/>
      <c r="AO19" s="101"/>
      <c r="AP19" s="101"/>
      <c r="AQ19" s="101"/>
      <c r="AR19" s="101"/>
      <c r="AS19" s="101"/>
      <c r="AT19" s="101"/>
      <c r="AU19" s="101"/>
      <c r="AV19" s="101"/>
    </row>
    <row r="20" spans="1:48" s="24" customFormat="1" x14ac:dyDescent="0.25">
      <c r="A20" s="199" t="s">
        <v>209</v>
      </c>
      <c r="B20" s="149">
        <v>1863</v>
      </c>
      <c r="C20" s="149">
        <v>846</v>
      </c>
      <c r="D20" s="149">
        <v>-2321</v>
      </c>
      <c r="E20" s="144">
        <v>-312</v>
      </c>
      <c r="F20" s="149">
        <v>76</v>
      </c>
      <c r="G20" s="149">
        <v>2804</v>
      </c>
      <c r="H20" s="149">
        <v>468</v>
      </c>
      <c r="I20" s="149">
        <v>324</v>
      </c>
      <c r="J20" s="144">
        <f t="shared" si="0"/>
        <v>-1358</v>
      </c>
      <c r="K20" s="149">
        <v>2238</v>
      </c>
      <c r="L20" s="190"/>
      <c r="M20" s="149">
        <v>3646</v>
      </c>
      <c r="N20" s="149">
        <v>-39</v>
      </c>
      <c r="O20" s="149">
        <v>817</v>
      </c>
      <c r="P20" s="149">
        <f t="shared" si="1"/>
        <v>-7808</v>
      </c>
      <c r="Q20" s="149">
        <v>-3384</v>
      </c>
      <c r="R20" s="204">
        <v>-4256</v>
      </c>
      <c r="S20" s="351">
        <v>-4256</v>
      </c>
      <c r="T20" s="204">
        <v>1138</v>
      </c>
      <c r="U20" s="351">
        <f t="shared" si="2"/>
        <v>1138</v>
      </c>
      <c r="V20" s="204">
        <v>-2299</v>
      </c>
      <c r="W20" s="351">
        <f t="shared" si="3"/>
        <v>-2299</v>
      </c>
      <c r="X20" s="204">
        <f t="shared" si="4"/>
        <v>6148</v>
      </c>
      <c r="Y20" s="351">
        <f t="shared" si="5"/>
        <v>6148</v>
      </c>
      <c r="Z20" s="112">
        <v>731</v>
      </c>
      <c r="AA20" s="351">
        <f t="shared" si="6"/>
        <v>731</v>
      </c>
      <c r="AB20" s="112">
        <v>3433</v>
      </c>
      <c r="AC20" s="112"/>
      <c r="AD20" s="101"/>
      <c r="AE20" s="101"/>
      <c r="AF20" s="101"/>
      <c r="AG20" s="101"/>
      <c r="AH20" s="101"/>
      <c r="AI20" s="101"/>
      <c r="AJ20" s="101"/>
      <c r="AK20" s="101"/>
      <c r="AL20" s="101"/>
      <c r="AM20" s="101"/>
      <c r="AN20" s="101"/>
      <c r="AO20" s="101"/>
      <c r="AP20" s="101"/>
      <c r="AQ20" s="101"/>
      <c r="AR20" s="101"/>
      <c r="AS20" s="101"/>
      <c r="AT20" s="101"/>
      <c r="AU20" s="101"/>
      <c r="AV20" s="101"/>
    </row>
    <row r="21" spans="1:48" s="24" customFormat="1" x14ac:dyDescent="0.25">
      <c r="A21" s="199" t="s">
        <v>210</v>
      </c>
      <c r="B21" s="149">
        <v>0</v>
      </c>
      <c r="C21" s="149">
        <v>0</v>
      </c>
      <c r="D21" s="149">
        <v>0</v>
      </c>
      <c r="E21" s="144">
        <v>-1181</v>
      </c>
      <c r="F21" s="149">
        <v>-1181</v>
      </c>
      <c r="G21" s="149">
        <v>0</v>
      </c>
      <c r="H21" s="149">
        <v>0</v>
      </c>
      <c r="I21" s="149">
        <v>0</v>
      </c>
      <c r="J21" s="144">
        <f t="shared" si="0"/>
        <v>-1458</v>
      </c>
      <c r="K21" s="149">
        <v>-1458</v>
      </c>
      <c r="L21" s="190"/>
      <c r="M21" s="149">
        <v>0</v>
      </c>
      <c r="N21" s="149">
        <v>0</v>
      </c>
      <c r="O21" s="149">
        <v>0</v>
      </c>
      <c r="P21" s="149">
        <f t="shared" si="1"/>
        <v>-4326</v>
      </c>
      <c r="Q21" s="149">
        <v>-4326</v>
      </c>
      <c r="R21" s="204">
        <v>0</v>
      </c>
      <c r="S21" s="351"/>
      <c r="T21" s="204">
        <v>0</v>
      </c>
      <c r="U21" s="351">
        <f t="shared" si="2"/>
        <v>0</v>
      </c>
      <c r="V21" s="204">
        <v>0</v>
      </c>
      <c r="W21" s="351">
        <f t="shared" si="3"/>
        <v>0</v>
      </c>
      <c r="X21" s="204">
        <f t="shared" si="4"/>
        <v>0</v>
      </c>
      <c r="Y21" s="351">
        <f t="shared" si="5"/>
        <v>0</v>
      </c>
      <c r="Z21" s="112">
        <v>0</v>
      </c>
      <c r="AA21" s="351">
        <f t="shared" si="6"/>
        <v>0</v>
      </c>
      <c r="AB21" s="263">
        <v>0</v>
      </c>
      <c r="AC21" s="263"/>
      <c r="AD21" s="101"/>
      <c r="AE21" s="101"/>
      <c r="AF21" s="101"/>
      <c r="AG21" s="101"/>
      <c r="AH21" s="101"/>
      <c r="AI21" s="101"/>
      <c r="AJ21" s="101"/>
      <c r="AK21" s="101"/>
      <c r="AL21" s="101"/>
      <c r="AM21" s="101"/>
      <c r="AN21" s="101"/>
      <c r="AO21" s="101"/>
      <c r="AP21" s="101"/>
      <c r="AQ21" s="101"/>
      <c r="AR21" s="101"/>
      <c r="AS21" s="101"/>
      <c r="AT21" s="101"/>
      <c r="AU21" s="101"/>
      <c r="AV21" s="101"/>
    </row>
    <row r="22" spans="1:48" s="24" customFormat="1" x14ac:dyDescent="0.25">
      <c r="A22" s="199" t="s">
        <v>157</v>
      </c>
      <c r="B22" s="149">
        <v>0</v>
      </c>
      <c r="C22" s="149">
        <v>0</v>
      </c>
      <c r="D22" s="149">
        <v>0</v>
      </c>
      <c r="E22" s="144">
        <v>149</v>
      </c>
      <c r="F22" s="149">
        <v>149</v>
      </c>
      <c r="G22" s="149">
        <v>0</v>
      </c>
      <c r="H22" s="149">
        <v>0</v>
      </c>
      <c r="I22" s="149">
        <v>0</v>
      </c>
      <c r="J22" s="144">
        <f t="shared" si="0"/>
        <v>0</v>
      </c>
      <c r="K22" s="149">
        <v>0</v>
      </c>
      <c r="L22" s="190"/>
      <c r="M22" s="149">
        <v>0</v>
      </c>
      <c r="N22" s="149">
        <v>0</v>
      </c>
      <c r="O22" s="149">
        <v>0</v>
      </c>
      <c r="P22" s="149">
        <f t="shared" si="1"/>
        <v>0</v>
      </c>
      <c r="Q22" s="149">
        <v>0</v>
      </c>
      <c r="R22" s="204">
        <v>0</v>
      </c>
      <c r="S22" s="351"/>
      <c r="T22" s="204">
        <v>0</v>
      </c>
      <c r="U22" s="351">
        <f t="shared" si="2"/>
        <v>0</v>
      </c>
      <c r="V22" s="204">
        <v>0</v>
      </c>
      <c r="W22" s="351">
        <f t="shared" si="3"/>
        <v>0</v>
      </c>
      <c r="X22" s="204">
        <f t="shared" si="4"/>
        <v>0</v>
      </c>
      <c r="Y22" s="351">
        <f t="shared" si="5"/>
        <v>0</v>
      </c>
      <c r="Z22" s="263">
        <v>0</v>
      </c>
      <c r="AA22" s="351">
        <f t="shared" si="6"/>
        <v>0</v>
      </c>
      <c r="AB22" s="263">
        <v>0</v>
      </c>
      <c r="AC22" s="263"/>
      <c r="AD22" s="101"/>
      <c r="AE22" s="101"/>
      <c r="AF22" s="101"/>
      <c r="AG22" s="101"/>
      <c r="AH22" s="101"/>
      <c r="AI22" s="101"/>
      <c r="AJ22" s="101"/>
      <c r="AK22" s="101"/>
      <c r="AL22" s="101"/>
      <c r="AM22" s="101"/>
      <c r="AN22" s="101"/>
      <c r="AO22" s="101"/>
      <c r="AP22" s="101"/>
      <c r="AQ22" s="101"/>
      <c r="AR22" s="101"/>
      <c r="AS22" s="101"/>
      <c r="AT22" s="101"/>
      <c r="AU22" s="101"/>
      <c r="AV22" s="101"/>
    </row>
    <row r="23" spans="1:48" s="24" customFormat="1" x14ac:dyDescent="0.25">
      <c r="A23" s="199" t="s">
        <v>211</v>
      </c>
      <c r="B23" s="149">
        <v>0</v>
      </c>
      <c r="C23" s="149">
        <v>0</v>
      </c>
      <c r="D23" s="149">
        <v>0</v>
      </c>
      <c r="E23" s="144">
        <v>0</v>
      </c>
      <c r="F23" s="149">
        <v>0</v>
      </c>
      <c r="G23" s="149">
        <v>0</v>
      </c>
      <c r="H23" s="149">
        <v>0</v>
      </c>
      <c r="I23" s="149">
        <v>0</v>
      </c>
      <c r="J23" s="144">
        <f t="shared" si="0"/>
        <v>0</v>
      </c>
      <c r="K23" s="149">
        <v>0</v>
      </c>
      <c r="L23" s="190"/>
      <c r="M23" s="149">
        <v>0</v>
      </c>
      <c r="N23" s="149">
        <v>0</v>
      </c>
      <c r="O23" s="149">
        <v>0</v>
      </c>
      <c r="P23" s="149">
        <f t="shared" si="1"/>
        <v>0</v>
      </c>
      <c r="Q23" s="149">
        <v>0</v>
      </c>
      <c r="R23" s="204">
        <f>331168/1000</f>
        <v>331.16800000000001</v>
      </c>
      <c r="S23" s="351">
        <f>R23</f>
        <v>331.16800000000001</v>
      </c>
      <c r="T23" s="204">
        <v>552.93804</v>
      </c>
      <c r="U23" s="351">
        <f t="shared" si="2"/>
        <v>552.93804</v>
      </c>
      <c r="V23" s="204">
        <v>1821.8939599999999</v>
      </c>
      <c r="W23" s="351">
        <f t="shared" si="3"/>
        <v>1821.8939599999999</v>
      </c>
      <c r="X23" s="204">
        <f t="shared" si="4"/>
        <v>110</v>
      </c>
      <c r="Y23" s="351">
        <f t="shared" si="5"/>
        <v>110</v>
      </c>
      <c r="Z23" s="263">
        <v>2816</v>
      </c>
      <c r="AA23" s="351">
        <f t="shared" si="6"/>
        <v>2816</v>
      </c>
      <c r="AB23" s="263">
        <v>-612</v>
      </c>
      <c r="AC23" s="263"/>
      <c r="AD23" s="101"/>
      <c r="AE23" s="101"/>
      <c r="AF23" s="101"/>
      <c r="AG23" s="101"/>
      <c r="AH23" s="101"/>
      <c r="AI23" s="101"/>
      <c r="AJ23" s="101"/>
      <c r="AK23" s="101"/>
      <c r="AL23" s="101"/>
      <c r="AM23" s="101"/>
      <c r="AN23" s="101"/>
      <c r="AO23" s="101"/>
      <c r="AP23" s="101"/>
      <c r="AQ23" s="101"/>
      <c r="AR23" s="101"/>
      <c r="AS23" s="101"/>
      <c r="AT23" s="101"/>
      <c r="AU23" s="101"/>
      <c r="AV23" s="101"/>
    </row>
    <row r="24" spans="1:48" s="24" customFormat="1" x14ac:dyDescent="0.25">
      <c r="A24" s="199" t="s">
        <v>164</v>
      </c>
      <c r="B24" s="149">
        <v>-16</v>
      </c>
      <c r="C24" s="149">
        <v>-45</v>
      </c>
      <c r="D24" s="149">
        <v>-27</v>
      </c>
      <c r="E24" s="144">
        <v>166</v>
      </c>
      <c r="F24" s="149">
        <v>78</v>
      </c>
      <c r="G24" s="149">
        <v>-13</v>
      </c>
      <c r="H24" s="149">
        <v>-242.82400000000001</v>
      </c>
      <c r="I24" s="149">
        <v>-64</v>
      </c>
      <c r="J24" s="144">
        <f t="shared" si="0"/>
        <v>-58.175999999999988</v>
      </c>
      <c r="K24" s="149">
        <v>-378</v>
      </c>
      <c r="L24" s="190"/>
      <c r="M24" s="149">
        <v>-38</v>
      </c>
      <c r="N24" s="149">
        <v>-77</v>
      </c>
      <c r="O24" s="149">
        <v>-42</v>
      </c>
      <c r="P24" s="149">
        <f t="shared" si="1"/>
        <v>-33</v>
      </c>
      <c r="Q24" s="149">
        <f>-107-Q12</f>
        <v>-190</v>
      </c>
      <c r="R24" s="204">
        <f>-19514.95/1000</f>
        <v>-19.514950000000002</v>
      </c>
      <c r="S24" s="351">
        <v>-20</v>
      </c>
      <c r="T24" s="204">
        <f>(-22656/1000)-R24</f>
        <v>-3.1410499999999963</v>
      </c>
      <c r="U24" s="351">
        <f t="shared" si="2"/>
        <v>-3.1410499999999963</v>
      </c>
      <c r="V24" s="204">
        <f>-58467.7/1000-R24-T24</f>
        <v>-35.811700000000002</v>
      </c>
      <c r="W24" s="351">
        <f t="shared" si="3"/>
        <v>-35.811700000000002</v>
      </c>
      <c r="X24" s="204">
        <f t="shared" si="4"/>
        <v>-11.532299999999999</v>
      </c>
      <c r="Y24" s="351">
        <f t="shared" si="5"/>
        <v>-11.047250000000005</v>
      </c>
      <c r="Z24" s="263">
        <v>-70</v>
      </c>
      <c r="AA24" s="351">
        <f t="shared" si="6"/>
        <v>-70</v>
      </c>
      <c r="AB24" s="263">
        <v>-17.893069999999998</v>
      </c>
      <c r="AC24" s="263"/>
      <c r="AD24" s="101"/>
      <c r="AE24" s="101"/>
      <c r="AF24" s="101"/>
      <c r="AG24" s="101"/>
      <c r="AH24" s="101"/>
      <c r="AI24" s="101"/>
      <c r="AJ24" s="101"/>
      <c r="AK24" s="101"/>
      <c r="AL24" s="101"/>
      <c r="AM24" s="101"/>
      <c r="AN24" s="101"/>
      <c r="AO24" s="101"/>
      <c r="AP24" s="101"/>
      <c r="AQ24" s="101"/>
      <c r="AR24" s="101"/>
      <c r="AS24" s="101"/>
      <c r="AT24" s="101"/>
      <c r="AU24" s="101"/>
      <c r="AV24" s="101"/>
    </row>
    <row r="25" spans="1:48" x14ac:dyDescent="0.25">
      <c r="A25" s="36" t="s">
        <v>173</v>
      </c>
      <c r="B25" s="149"/>
      <c r="C25" s="149"/>
      <c r="D25" s="149"/>
      <c r="E25" s="144"/>
      <c r="F25" s="149"/>
      <c r="G25" s="149"/>
      <c r="H25" s="149"/>
      <c r="I25" s="149"/>
      <c r="J25" s="144"/>
      <c r="K25" s="149">
        <v>0</v>
      </c>
      <c r="L25" s="110"/>
      <c r="M25" s="149">
        <v>-250</v>
      </c>
      <c r="N25" s="149">
        <v>-3810</v>
      </c>
      <c r="O25" s="149">
        <v>0</v>
      </c>
      <c r="P25" s="149">
        <f t="shared" si="1"/>
        <v>0</v>
      </c>
      <c r="Q25" s="149">
        <v>-4060</v>
      </c>
      <c r="R25" s="204">
        <v>0</v>
      </c>
      <c r="S25" s="351"/>
      <c r="T25" s="204">
        <v>0</v>
      </c>
      <c r="U25" s="351">
        <f t="shared" si="2"/>
        <v>0</v>
      </c>
      <c r="V25" s="204">
        <v>0</v>
      </c>
      <c r="W25" s="351">
        <f t="shared" si="3"/>
        <v>0</v>
      </c>
      <c r="X25" s="204">
        <f t="shared" si="4"/>
        <v>0</v>
      </c>
      <c r="Y25" s="351">
        <f t="shared" si="5"/>
        <v>0</v>
      </c>
      <c r="Z25" s="264">
        <v>0</v>
      </c>
      <c r="AA25" s="351">
        <f t="shared" si="6"/>
        <v>0</v>
      </c>
      <c r="AB25" s="263">
        <v>0</v>
      </c>
      <c r="AC25" s="263"/>
    </row>
    <row r="26" spans="1:48" x14ac:dyDescent="0.25">
      <c r="A26" s="47" t="s">
        <v>70</v>
      </c>
      <c r="B26" s="144"/>
      <c r="C26" s="144"/>
      <c r="D26" s="144"/>
      <c r="E26" s="144"/>
      <c r="F26" s="144"/>
      <c r="G26" s="144"/>
      <c r="H26" s="144"/>
      <c r="I26" s="144"/>
      <c r="J26" s="144"/>
      <c r="K26" s="144"/>
      <c r="L26" s="110"/>
      <c r="M26" s="144"/>
      <c r="N26" s="144"/>
      <c r="O26" s="144"/>
      <c r="P26" s="144">
        <f t="shared" si="1"/>
        <v>0</v>
      </c>
      <c r="Q26" s="144"/>
      <c r="R26" s="202"/>
      <c r="S26" s="352"/>
      <c r="T26" s="203"/>
      <c r="U26" s="352">
        <f t="shared" si="2"/>
        <v>0</v>
      </c>
      <c r="V26" s="38"/>
      <c r="W26" s="352"/>
      <c r="Y26" s="352"/>
      <c r="AA26" s="352">
        <f t="shared" si="6"/>
        <v>0</v>
      </c>
      <c r="AB26" s="263">
        <v>0</v>
      </c>
      <c r="AC26" s="263"/>
    </row>
    <row r="27" spans="1:48" x14ac:dyDescent="0.25">
      <c r="A27" s="36" t="s">
        <v>19</v>
      </c>
      <c r="B27" s="134">
        <v>-502</v>
      </c>
      <c r="C27" s="134">
        <v>211</v>
      </c>
      <c r="D27" s="134">
        <v>-77</v>
      </c>
      <c r="E27" s="144">
        <v>-379</v>
      </c>
      <c r="F27" s="134">
        <v>-747</v>
      </c>
      <c r="G27" s="134">
        <v>-1477</v>
      </c>
      <c r="H27" s="134">
        <v>280</v>
      </c>
      <c r="I27" s="134">
        <v>-116</v>
      </c>
      <c r="J27" s="144">
        <f t="shared" si="0"/>
        <v>526</v>
      </c>
      <c r="K27" s="134">
        <v>-787</v>
      </c>
      <c r="L27" s="110"/>
      <c r="M27" s="134">
        <v>-919</v>
      </c>
      <c r="N27" s="134">
        <v>1233</v>
      </c>
      <c r="O27" s="134">
        <v>-778</v>
      </c>
      <c r="P27" s="134">
        <f t="shared" si="1"/>
        <v>-1673</v>
      </c>
      <c r="Q27" s="134">
        <v>-2137</v>
      </c>
      <c r="R27" s="202">
        <v>1050</v>
      </c>
      <c r="S27" s="352">
        <v>0</v>
      </c>
      <c r="T27" s="203">
        <v>778</v>
      </c>
      <c r="U27" s="352">
        <v>0</v>
      </c>
      <c r="V27" s="203">
        <v>-71</v>
      </c>
      <c r="W27" s="352">
        <v>0</v>
      </c>
      <c r="X27" s="203">
        <f t="shared" si="4"/>
        <v>-1776</v>
      </c>
      <c r="Y27" s="352">
        <f t="shared" ref="Y27:Y34" si="7">+AA27-SUM(S27,U27,W27)</f>
        <v>0</v>
      </c>
      <c r="Z27" s="311">
        <v>-19</v>
      </c>
      <c r="AA27" s="352"/>
      <c r="AB27" s="263">
        <v>0</v>
      </c>
      <c r="AC27" s="263"/>
    </row>
    <row r="28" spans="1:48" x14ac:dyDescent="0.25">
      <c r="A28" s="36" t="s">
        <v>20</v>
      </c>
      <c r="B28" s="132">
        <v>-1713</v>
      </c>
      <c r="C28" s="132">
        <v>4185</v>
      </c>
      <c r="D28" s="132">
        <v>-1633</v>
      </c>
      <c r="E28" s="144">
        <v>2422</v>
      </c>
      <c r="F28" s="132">
        <v>3261</v>
      </c>
      <c r="G28" s="132">
        <v>-5778.9670686232503</v>
      </c>
      <c r="H28" s="132">
        <v>-4234.0329313767497</v>
      </c>
      <c r="I28" s="132">
        <v>-4633.9999999999991</v>
      </c>
      <c r="J28" s="144">
        <f t="shared" si="0"/>
        <v>5559.9999999999991</v>
      </c>
      <c r="K28" s="132">
        <v>-9087</v>
      </c>
      <c r="L28" s="110"/>
      <c r="M28" s="132">
        <v>-14490</v>
      </c>
      <c r="N28" s="132">
        <v>-5131</v>
      </c>
      <c r="O28" s="132">
        <v>3099</v>
      </c>
      <c r="P28" s="132">
        <f t="shared" si="1"/>
        <v>-1540</v>
      </c>
      <c r="Q28" s="132">
        <v>-18062</v>
      </c>
      <c r="R28" s="204">
        <f>-6340-331</f>
        <v>-6671</v>
      </c>
      <c r="S28" s="351">
        <f>R28</f>
        <v>-6671</v>
      </c>
      <c r="T28" s="204">
        <f>-3435-553</f>
        <v>-3988</v>
      </c>
      <c r="U28" s="351">
        <f t="shared" si="2"/>
        <v>-3988</v>
      </c>
      <c r="V28" s="204">
        <v>-11405</v>
      </c>
      <c r="W28" s="351">
        <f t="shared" ref="W28:W36" si="8">V28</f>
        <v>-11405</v>
      </c>
      <c r="X28" s="204">
        <f t="shared" si="4"/>
        <v>1582</v>
      </c>
      <c r="Y28" s="351">
        <f t="shared" si="7"/>
        <v>1582</v>
      </c>
      <c r="Z28" s="264">
        <v>-20482</v>
      </c>
      <c r="AA28" s="351">
        <f t="shared" si="6"/>
        <v>-20482</v>
      </c>
      <c r="AB28" s="264">
        <v>-590</v>
      </c>
      <c r="AC28" s="264"/>
    </row>
    <row r="29" spans="1:48" x14ac:dyDescent="0.25">
      <c r="A29" s="36" t="s">
        <v>38</v>
      </c>
      <c r="B29" s="150">
        <v>-4187</v>
      </c>
      <c r="C29" s="150">
        <v>2179</v>
      </c>
      <c r="D29" s="150">
        <v>117</v>
      </c>
      <c r="E29" s="144">
        <v>-2039</v>
      </c>
      <c r="F29" s="150">
        <v>-3930</v>
      </c>
      <c r="G29" s="150">
        <v>-2799</v>
      </c>
      <c r="H29" s="150">
        <v>1656</v>
      </c>
      <c r="I29" s="150">
        <v>2120</v>
      </c>
      <c r="J29" s="144">
        <f t="shared" si="0"/>
        <v>-4089</v>
      </c>
      <c r="K29" s="150">
        <v>-3112</v>
      </c>
      <c r="L29" s="110"/>
      <c r="M29" s="150">
        <v>-3641</v>
      </c>
      <c r="N29" s="150">
        <v>2464</v>
      </c>
      <c r="O29" s="150">
        <v>590</v>
      </c>
      <c r="P29" s="150">
        <f t="shared" si="1"/>
        <v>-4834</v>
      </c>
      <c r="Q29" s="150">
        <v>-5421</v>
      </c>
      <c r="R29" s="204">
        <v>-1285</v>
      </c>
      <c r="S29" s="351">
        <f>R29</f>
        <v>-1285</v>
      </c>
      <c r="T29" s="204">
        <v>8446</v>
      </c>
      <c r="U29" s="351">
        <f t="shared" si="2"/>
        <v>8446</v>
      </c>
      <c r="V29" s="204">
        <v>-1967</v>
      </c>
      <c r="W29" s="351">
        <f t="shared" si="8"/>
        <v>-1967</v>
      </c>
      <c r="X29" s="204">
        <f t="shared" si="4"/>
        <v>-4976</v>
      </c>
      <c r="Y29" s="351">
        <f t="shared" si="7"/>
        <v>-4976</v>
      </c>
      <c r="Z29" s="264">
        <v>218</v>
      </c>
      <c r="AA29" s="351">
        <f t="shared" si="6"/>
        <v>218</v>
      </c>
      <c r="AB29" s="264">
        <v>-2164</v>
      </c>
      <c r="AC29" s="264"/>
    </row>
    <row r="30" spans="1:48" x14ac:dyDescent="0.25">
      <c r="A30" s="36" t="s">
        <v>25</v>
      </c>
      <c r="B30" s="150">
        <v>-124</v>
      </c>
      <c r="C30" s="150">
        <v>543</v>
      </c>
      <c r="D30" s="150">
        <v>-1209</v>
      </c>
      <c r="E30" s="144">
        <v>644</v>
      </c>
      <c r="F30" s="150">
        <v>-146</v>
      </c>
      <c r="G30" s="150">
        <v>-984</v>
      </c>
      <c r="H30" s="150">
        <v>520</v>
      </c>
      <c r="I30" s="150">
        <v>-1138</v>
      </c>
      <c r="J30" s="144">
        <f t="shared" si="0"/>
        <v>1646</v>
      </c>
      <c r="K30" s="150">
        <v>44</v>
      </c>
      <c r="L30" s="110"/>
      <c r="M30" s="150">
        <v>-2584</v>
      </c>
      <c r="N30" s="150">
        <v>1157</v>
      </c>
      <c r="O30" s="150">
        <v>-1091</v>
      </c>
      <c r="P30" s="150">
        <f t="shared" si="1"/>
        <v>-110</v>
      </c>
      <c r="Q30" s="150">
        <v>-2628</v>
      </c>
      <c r="R30" s="204">
        <v>2185</v>
      </c>
      <c r="S30" s="351">
        <f t="shared" ref="S30:S34" si="9">R30</f>
        <v>2185</v>
      </c>
      <c r="T30" s="204">
        <v>3110</v>
      </c>
      <c r="U30" s="351">
        <f t="shared" si="2"/>
        <v>3110</v>
      </c>
      <c r="V30" s="204">
        <v>-4924</v>
      </c>
      <c r="W30" s="351">
        <f t="shared" si="8"/>
        <v>-4924</v>
      </c>
      <c r="X30" s="204">
        <f t="shared" si="4"/>
        <v>1335</v>
      </c>
      <c r="Y30" s="351">
        <f t="shared" si="7"/>
        <v>1335</v>
      </c>
      <c r="Z30" s="264">
        <v>1706</v>
      </c>
      <c r="AA30" s="351">
        <f t="shared" si="6"/>
        <v>1706</v>
      </c>
      <c r="AB30" s="264">
        <v>-1726</v>
      </c>
      <c r="AC30" s="264"/>
    </row>
    <row r="31" spans="1:48" x14ac:dyDescent="0.25">
      <c r="A31" s="36" t="s">
        <v>26</v>
      </c>
      <c r="B31" s="150">
        <v>902</v>
      </c>
      <c r="C31" s="150">
        <v>133</v>
      </c>
      <c r="D31" s="150">
        <v>-1634</v>
      </c>
      <c r="E31" s="144">
        <v>-348</v>
      </c>
      <c r="F31" s="150">
        <v>-947</v>
      </c>
      <c r="G31" s="150">
        <v>3833.785210206534</v>
      </c>
      <c r="H31" s="150">
        <v>-1317.785210206534</v>
      </c>
      <c r="I31" s="150">
        <v>-3431</v>
      </c>
      <c r="J31" s="144">
        <f t="shared" si="0"/>
        <v>3481</v>
      </c>
      <c r="K31" s="150">
        <v>2566</v>
      </c>
      <c r="L31" s="110"/>
      <c r="M31" s="150">
        <v>2334</v>
      </c>
      <c r="N31" s="150">
        <v>2662</v>
      </c>
      <c r="O31" s="150">
        <v>-6481</v>
      </c>
      <c r="P31" s="150">
        <f t="shared" si="1"/>
        <v>7211</v>
      </c>
      <c r="Q31" s="150">
        <v>5726</v>
      </c>
      <c r="R31" s="204">
        <v>1480</v>
      </c>
      <c r="S31" s="351">
        <f t="shared" si="9"/>
        <v>1480</v>
      </c>
      <c r="T31" s="204">
        <v>-3847</v>
      </c>
      <c r="U31" s="351">
        <f t="shared" si="2"/>
        <v>-3847</v>
      </c>
      <c r="V31" s="204">
        <v>-5788</v>
      </c>
      <c r="W31" s="351">
        <f t="shared" si="8"/>
        <v>-5788</v>
      </c>
      <c r="X31" s="204">
        <f t="shared" si="4"/>
        <v>1530</v>
      </c>
      <c r="Y31" s="351">
        <f t="shared" si="7"/>
        <v>1530</v>
      </c>
      <c r="Z31" s="264">
        <v>-6625</v>
      </c>
      <c r="AA31" s="351">
        <f t="shared" si="6"/>
        <v>-6625</v>
      </c>
      <c r="AB31" s="264">
        <v>877</v>
      </c>
      <c r="AC31" s="264"/>
    </row>
    <row r="32" spans="1:48" x14ac:dyDescent="0.25">
      <c r="A32" s="36" t="s">
        <v>39</v>
      </c>
      <c r="B32" s="150">
        <v>-12478</v>
      </c>
      <c r="C32" s="150">
        <v>3579</v>
      </c>
      <c r="D32" s="150">
        <v>9150</v>
      </c>
      <c r="E32" s="144">
        <v>8354</v>
      </c>
      <c r="F32" s="150">
        <v>8605</v>
      </c>
      <c r="G32" s="150">
        <f>-16398-497</f>
        <v>-16895</v>
      </c>
      <c r="H32" s="150">
        <v>5662</v>
      </c>
      <c r="I32" s="150">
        <v>7720</v>
      </c>
      <c r="J32" s="144">
        <f t="shared" si="0"/>
        <v>7342</v>
      </c>
      <c r="K32" s="150">
        <v>3829</v>
      </c>
      <c r="L32" s="110"/>
      <c r="M32" s="150">
        <v>-15420</v>
      </c>
      <c r="N32" s="150">
        <v>9551</v>
      </c>
      <c r="O32" s="150">
        <v>7745</v>
      </c>
      <c r="P32" s="150">
        <f t="shared" si="1"/>
        <v>12508</v>
      </c>
      <c r="Q32" s="150">
        <v>14384</v>
      </c>
      <c r="R32" s="204">
        <v>-20247</v>
      </c>
      <c r="S32" s="351">
        <f t="shared" si="9"/>
        <v>-20247</v>
      </c>
      <c r="T32" s="204">
        <v>2561</v>
      </c>
      <c r="U32" s="351">
        <f t="shared" si="2"/>
        <v>2561</v>
      </c>
      <c r="V32" s="204">
        <v>17038</v>
      </c>
      <c r="W32" s="351">
        <f t="shared" si="8"/>
        <v>17038</v>
      </c>
      <c r="X32" s="204">
        <f t="shared" si="4"/>
        <v>13942</v>
      </c>
      <c r="Y32" s="351">
        <f t="shared" si="7"/>
        <v>13942</v>
      </c>
      <c r="Z32" s="264">
        <v>13294</v>
      </c>
      <c r="AA32" s="351">
        <f t="shared" si="6"/>
        <v>13294</v>
      </c>
      <c r="AB32" s="264">
        <v>-24338</v>
      </c>
      <c r="AC32" s="264"/>
    </row>
    <row r="33" spans="1:48" x14ac:dyDescent="0.25">
      <c r="A33" s="36" t="s">
        <v>201</v>
      </c>
      <c r="B33" s="150">
        <v>-1822</v>
      </c>
      <c r="C33" s="150">
        <v>-4441</v>
      </c>
      <c r="D33" s="150">
        <v>759</v>
      </c>
      <c r="E33" s="144">
        <v>-2337</v>
      </c>
      <c r="F33" s="150">
        <v>-7841</v>
      </c>
      <c r="G33" s="150">
        <f>485+59</f>
        <v>544</v>
      </c>
      <c r="H33" s="150">
        <v>3081</v>
      </c>
      <c r="I33" s="150">
        <v>2126</v>
      </c>
      <c r="J33" s="144">
        <f t="shared" si="0"/>
        <v>3114</v>
      </c>
      <c r="K33" s="150">
        <v>8865</v>
      </c>
      <c r="L33" s="110"/>
      <c r="M33" s="150">
        <v>-4429</v>
      </c>
      <c r="N33" s="150">
        <v>1250</v>
      </c>
      <c r="O33" s="150">
        <v>-1569</v>
      </c>
      <c r="P33" s="150">
        <f t="shared" si="1"/>
        <v>5185</v>
      </c>
      <c r="Q33" s="150">
        <v>437</v>
      </c>
      <c r="R33" s="150">
        <v>-1471</v>
      </c>
      <c r="S33" s="351">
        <f t="shared" si="9"/>
        <v>-1471</v>
      </c>
      <c r="T33" s="150">
        <v>354</v>
      </c>
      <c r="U33" s="351">
        <f t="shared" si="2"/>
        <v>354</v>
      </c>
      <c r="V33" s="150">
        <v>-1490</v>
      </c>
      <c r="W33" s="351">
        <f t="shared" si="8"/>
        <v>-1490</v>
      </c>
      <c r="X33" s="204">
        <f t="shared" si="4"/>
        <v>13644</v>
      </c>
      <c r="Y33" s="351">
        <f t="shared" si="7"/>
        <v>13644</v>
      </c>
      <c r="Z33" s="264">
        <v>11037</v>
      </c>
      <c r="AA33" s="351">
        <f t="shared" si="6"/>
        <v>11037</v>
      </c>
      <c r="AB33" s="264">
        <v>-13906</v>
      </c>
      <c r="AC33" s="264"/>
    </row>
    <row r="34" spans="1:48" x14ac:dyDescent="0.25">
      <c r="A34" s="36" t="s">
        <v>31</v>
      </c>
      <c r="B34" s="150">
        <v>-570</v>
      </c>
      <c r="C34" s="150">
        <v>-1136</v>
      </c>
      <c r="D34" s="150">
        <v>-749</v>
      </c>
      <c r="E34" s="144">
        <v>609</v>
      </c>
      <c r="F34" s="150">
        <v>-1846</v>
      </c>
      <c r="G34" s="150">
        <f>-257</f>
        <v>-257</v>
      </c>
      <c r="H34" s="150">
        <v>-148</v>
      </c>
      <c r="I34" s="150">
        <v>-355</v>
      </c>
      <c r="J34" s="144">
        <f t="shared" si="0"/>
        <v>-648</v>
      </c>
      <c r="K34" s="150">
        <v>-1408</v>
      </c>
      <c r="L34" s="110"/>
      <c r="M34" s="150">
        <v>148</v>
      </c>
      <c r="N34" s="150">
        <v>-581</v>
      </c>
      <c r="O34" s="150">
        <v>-243</v>
      </c>
      <c r="P34" s="150">
        <f t="shared" si="1"/>
        <v>5430</v>
      </c>
      <c r="Q34" s="150">
        <v>4754</v>
      </c>
      <c r="R34" s="150">
        <v>1569</v>
      </c>
      <c r="S34" s="351">
        <f t="shared" si="9"/>
        <v>1569</v>
      </c>
      <c r="T34" s="150">
        <v>-1605</v>
      </c>
      <c r="U34" s="351">
        <f t="shared" si="2"/>
        <v>-1605</v>
      </c>
      <c r="V34" s="150">
        <v>1277</v>
      </c>
      <c r="W34" s="351">
        <f t="shared" si="8"/>
        <v>1277</v>
      </c>
      <c r="X34" s="204">
        <f t="shared" si="4"/>
        <v>-3465</v>
      </c>
      <c r="Y34" s="351">
        <f t="shared" si="7"/>
        <v>-3465</v>
      </c>
      <c r="Z34" s="264">
        <v>-2224</v>
      </c>
      <c r="AA34" s="351">
        <f t="shared" si="6"/>
        <v>-2224</v>
      </c>
      <c r="AB34" s="264">
        <v>-1789</v>
      </c>
      <c r="AC34" s="264"/>
    </row>
    <row r="35" spans="1:48" s="8" customFormat="1" x14ac:dyDescent="0.25">
      <c r="A35" s="55" t="s">
        <v>116</v>
      </c>
      <c r="B35" s="148">
        <f t="shared" ref="B35:H35" si="10">SUM(B8:B34)</f>
        <v>4965</v>
      </c>
      <c r="C35" s="148">
        <f t="shared" si="10"/>
        <v>22787</v>
      </c>
      <c r="D35" s="148">
        <f t="shared" si="10"/>
        <v>16552</v>
      </c>
      <c r="E35" s="148">
        <f t="shared" si="10"/>
        <v>22355</v>
      </c>
      <c r="F35" s="148">
        <f t="shared" si="10"/>
        <v>66659</v>
      </c>
      <c r="G35" s="148">
        <f t="shared" si="10"/>
        <v>136.81814158328416</v>
      </c>
      <c r="H35" s="148">
        <f t="shared" si="10"/>
        <v>27030.181858416716</v>
      </c>
      <c r="I35" s="148">
        <v>27383</v>
      </c>
      <c r="J35" s="148">
        <f t="shared" ref="J35" si="11">SUM(J8:J34)</f>
        <v>42141</v>
      </c>
      <c r="K35" s="148">
        <f>SUM(K8:K34)</f>
        <v>96691</v>
      </c>
      <c r="L35" s="110"/>
      <c r="M35" s="148">
        <f t="shared" ref="M35:Q35" si="12">SUM(M8:M34)</f>
        <v>-10441</v>
      </c>
      <c r="N35" s="148">
        <f t="shared" si="12"/>
        <v>37356</v>
      </c>
      <c r="O35" s="148">
        <f t="shared" si="12"/>
        <v>29127</v>
      </c>
      <c r="P35" s="148">
        <f t="shared" si="12"/>
        <v>44216</v>
      </c>
      <c r="Q35" s="148">
        <f t="shared" si="12"/>
        <v>100258</v>
      </c>
      <c r="R35" s="148">
        <f>SUM(R8:R34)+1</f>
        <v>7073.6175394285674</v>
      </c>
      <c r="S35" s="353">
        <f t="shared" ref="S35:X35" si="13">SUM(S8:S34)</f>
        <v>6022.1680000000015</v>
      </c>
      <c r="T35" s="148">
        <f t="shared" si="13"/>
        <v>39828.46550057143</v>
      </c>
      <c r="U35" s="353">
        <f t="shared" si="13"/>
        <v>39050.46550057143</v>
      </c>
      <c r="V35" s="148">
        <f t="shared" si="13"/>
        <v>25283.029259999996</v>
      </c>
      <c r="W35" s="353">
        <f t="shared" si="13"/>
        <v>25354.029259999996</v>
      </c>
      <c r="X35" s="148">
        <f t="shared" si="13"/>
        <v>40955.887699999999</v>
      </c>
      <c r="Y35" s="353">
        <f>+AA35-SUM(S35,U35,W35)</f>
        <v>42732.337239428569</v>
      </c>
      <c r="Z35" s="248">
        <f>SUM(Z8:Z34)</f>
        <v>113140</v>
      </c>
      <c r="AA35" s="353">
        <f>SUM(AA8:AA34)</f>
        <v>113159</v>
      </c>
      <c r="AB35" s="248">
        <f>SUM(AB8:AB34)</f>
        <v>-8004.6766469449503</v>
      </c>
      <c r="AC35" s="360"/>
      <c r="AD35" s="1"/>
      <c r="AE35" s="1"/>
      <c r="AF35" s="1"/>
      <c r="AG35" s="1"/>
      <c r="AH35" s="1"/>
      <c r="AI35" s="1"/>
      <c r="AJ35" s="1"/>
      <c r="AK35" s="1"/>
      <c r="AL35" s="1"/>
      <c r="AM35" s="1"/>
      <c r="AN35" s="1"/>
      <c r="AO35" s="1"/>
      <c r="AP35" s="1"/>
      <c r="AQ35" s="1"/>
      <c r="AR35" s="1"/>
      <c r="AS35" s="1"/>
      <c r="AT35" s="1"/>
      <c r="AU35" s="1"/>
      <c r="AV35" s="1"/>
    </row>
    <row r="36" spans="1:48" s="8" customFormat="1" x14ac:dyDescent="0.25">
      <c r="A36" s="56" t="s">
        <v>117</v>
      </c>
      <c r="B36" s="147">
        <v>0</v>
      </c>
      <c r="C36" s="147">
        <v>0</v>
      </c>
      <c r="D36" s="147">
        <v>0</v>
      </c>
      <c r="E36" s="147">
        <v>0</v>
      </c>
      <c r="F36" s="266">
        <v>0</v>
      </c>
      <c r="G36" s="147">
        <v>0</v>
      </c>
      <c r="H36" s="147">
        <v>0</v>
      </c>
      <c r="I36" s="147">
        <v>0</v>
      </c>
      <c r="J36" s="147">
        <v>0</v>
      </c>
      <c r="K36" s="266">
        <v>0</v>
      </c>
      <c r="L36" s="110"/>
      <c r="M36" s="266">
        <v>0</v>
      </c>
      <c r="N36" s="266">
        <v>0</v>
      </c>
      <c r="O36" s="266">
        <v>0</v>
      </c>
      <c r="P36" s="266">
        <v>0</v>
      </c>
      <c r="Q36" s="266">
        <v>0</v>
      </c>
      <c r="R36" s="266">
        <v>0</v>
      </c>
      <c r="S36" s="354"/>
      <c r="T36" s="266">
        <v>0</v>
      </c>
      <c r="U36" s="354">
        <v>0</v>
      </c>
      <c r="V36" s="266">
        <v>0</v>
      </c>
      <c r="W36" s="288">
        <f t="shared" si="8"/>
        <v>0</v>
      </c>
      <c r="X36" s="266">
        <f t="shared" si="4"/>
        <v>0</v>
      </c>
      <c r="Y36" s="354"/>
      <c r="Z36" s="265">
        <v>0</v>
      </c>
      <c r="AA36" s="354">
        <v>0</v>
      </c>
      <c r="AB36" s="265">
        <v>0</v>
      </c>
      <c r="AC36" s="361"/>
      <c r="AD36" s="1"/>
      <c r="AE36" s="1"/>
      <c r="AF36" s="1"/>
      <c r="AG36" s="1"/>
      <c r="AH36" s="1"/>
      <c r="AI36" s="1"/>
      <c r="AJ36" s="1"/>
      <c r="AK36" s="1"/>
      <c r="AL36" s="1"/>
      <c r="AM36" s="1"/>
      <c r="AN36" s="1"/>
      <c r="AO36" s="1"/>
      <c r="AP36" s="1"/>
      <c r="AQ36" s="1"/>
      <c r="AR36" s="1"/>
      <c r="AS36" s="1"/>
      <c r="AT36" s="1"/>
      <c r="AU36" s="1"/>
      <c r="AV36" s="1"/>
    </row>
    <row r="37" spans="1:48" x14ac:dyDescent="0.25">
      <c r="A37" s="16"/>
      <c r="B37" s="144"/>
      <c r="C37" s="144"/>
      <c r="D37" s="144"/>
      <c r="E37" s="144"/>
      <c r="F37" s="144"/>
      <c r="G37" s="144"/>
      <c r="H37" s="144"/>
      <c r="I37" s="144"/>
      <c r="J37" s="144"/>
      <c r="K37" s="144"/>
      <c r="L37" s="110"/>
      <c r="M37" s="144"/>
      <c r="N37" s="144"/>
      <c r="O37" s="144"/>
      <c r="P37" s="144"/>
      <c r="Q37" s="144"/>
      <c r="R37" s="144"/>
      <c r="S37" s="352"/>
      <c r="T37" s="110"/>
      <c r="U37" s="352"/>
      <c r="W37" s="352"/>
      <c r="Y37" s="352"/>
      <c r="AA37" s="352"/>
    </row>
    <row r="38" spans="1:48" x14ac:dyDescent="0.25">
      <c r="A38" s="53" t="s">
        <v>118</v>
      </c>
      <c r="B38" s="145">
        <f t="shared" ref="B38:F38" si="14">SUM(B35:B36)</f>
        <v>4965</v>
      </c>
      <c r="C38" s="145">
        <f t="shared" si="14"/>
        <v>22787</v>
      </c>
      <c r="D38" s="145">
        <f t="shared" si="14"/>
        <v>16552</v>
      </c>
      <c r="E38" s="145">
        <f t="shared" si="14"/>
        <v>22355</v>
      </c>
      <c r="F38" s="145">
        <f t="shared" si="14"/>
        <v>66659</v>
      </c>
      <c r="G38" s="145">
        <f t="shared" ref="G38:H38" si="15">SUM(G35:G36)</f>
        <v>136.81814158328416</v>
      </c>
      <c r="H38" s="145">
        <f t="shared" si="15"/>
        <v>27030.181858416716</v>
      </c>
      <c r="I38" s="145">
        <v>27383</v>
      </c>
      <c r="J38" s="145">
        <f t="shared" ref="J38:Q38" si="16">SUM(J35:J36)</f>
        <v>42141</v>
      </c>
      <c r="K38" s="145">
        <f t="shared" si="16"/>
        <v>96691</v>
      </c>
      <c r="L38" s="145"/>
      <c r="M38" s="145">
        <f t="shared" si="16"/>
        <v>-10441</v>
      </c>
      <c r="N38" s="145">
        <f t="shared" si="16"/>
        <v>37356</v>
      </c>
      <c r="O38" s="145">
        <f t="shared" si="16"/>
        <v>29127</v>
      </c>
      <c r="P38" s="145">
        <f t="shared" si="16"/>
        <v>44216</v>
      </c>
      <c r="Q38" s="145">
        <f t="shared" si="16"/>
        <v>100258</v>
      </c>
      <c r="R38" s="145">
        <f t="shared" ref="R38:Y38" si="17">SUM(R35:R36)</f>
        <v>7073.6175394285674</v>
      </c>
      <c r="S38" s="355">
        <f>SUM(S35:S36)</f>
        <v>6022.1680000000015</v>
      </c>
      <c r="T38" s="145">
        <f t="shared" si="17"/>
        <v>39828.46550057143</v>
      </c>
      <c r="U38" s="355">
        <f t="shared" ref="U38" si="18">SUM(U35:U36)</f>
        <v>39050.46550057143</v>
      </c>
      <c r="V38" s="145">
        <f t="shared" si="17"/>
        <v>25283.029259999996</v>
      </c>
      <c r="W38" s="355">
        <f t="shared" si="17"/>
        <v>25354.029259999996</v>
      </c>
      <c r="X38" s="145">
        <f t="shared" si="17"/>
        <v>40955.887699999999</v>
      </c>
      <c r="Y38" s="355">
        <f t="shared" si="17"/>
        <v>42732.337239428569</v>
      </c>
      <c r="Z38" s="250">
        <f t="shared" ref="Z38:AB38" si="19">SUM(Z35:Z36)</f>
        <v>113140</v>
      </c>
      <c r="AA38" s="355">
        <f t="shared" ref="AA38" si="20">SUM(AA35:AA36)</f>
        <v>113159</v>
      </c>
      <c r="AB38" s="250">
        <f t="shared" si="19"/>
        <v>-8004.6766469449503</v>
      </c>
      <c r="AC38" s="362"/>
    </row>
    <row r="39" spans="1:48" x14ac:dyDescent="0.25">
      <c r="A39" s="17" t="s">
        <v>21</v>
      </c>
      <c r="L39" s="110"/>
      <c r="S39" s="349"/>
      <c r="T39" s="110"/>
      <c r="U39" s="349"/>
      <c r="W39" s="349"/>
      <c r="Y39" s="349"/>
      <c r="AA39" s="349"/>
    </row>
    <row r="40" spans="1:48" x14ac:dyDescent="0.25">
      <c r="A40" s="13" t="s">
        <v>119</v>
      </c>
      <c r="B40" s="110"/>
      <c r="C40" s="110"/>
      <c r="D40" s="110"/>
      <c r="E40" s="110"/>
      <c r="F40" s="110"/>
      <c r="G40" s="110"/>
      <c r="H40" s="110"/>
      <c r="I40" s="110"/>
      <c r="J40" s="110"/>
      <c r="K40" s="110"/>
      <c r="L40" s="110"/>
      <c r="M40" s="110"/>
      <c r="N40" s="110"/>
      <c r="O40" s="110"/>
      <c r="P40" s="110"/>
      <c r="Q40" s="110"/>
      <c r="R40" s="190"/>
      <c r="S40" s="356"/>
      <c r="T40" s="110"/>
      <c r="U40" s="356"/>
      <c r="W40" s="356"/>
      <c r="Y40" s="356"/>
      <c r="AA40" s="356"/>
    </row>
    <row r="41" spans="1:48" x14ac:dyDescent="0.25">
      <c r="A41" s="15" t="s">
        <v>212</v>
      </c>
      <c r="B41" s="144">
        <v>-10679</v>
      </c>
      <c r="C41" s="144">
        <v>-5958</v>
      </c>
      <c r="D41" s="144">
        <v>-7125</v>
      </c>
      <c r="E41" s="144">
        <v>-3916</v>
      </c>
      <c r="F41" s="144">
        <v>-27678</v>
      </c>
      <c r="G41" s="144">
        <v>-8845</v>
      </c>
      <c r="H41" s="144">
        <v>-5535</v>
      </c>
      <c r="I41" s="144">
        <v>-6747</v>
      </c>
      <c r="J41" s="144">
        <f t="shared" ref="J41:J45" si="21">K41-G41-H41-I41</f>
        <v>-4458</v>
      </c>
      <c r="K41" s="144">
        <v>-25585</v>
      </c>
      <c r="L41" s="110"/>
      <c r="M41" s="144">
        <v>-8457</v>
      </c>
      <c r="N41" s="144">
        <v>-6415</v>
      </c>
      <c r="O41" s="144">
        <v>-5463</v>
      </c>
      <c r="P41" s="144">
        <f t="shared" ref="P41:P45" si="22">Q41-M41-N41-O41</f>
        <v>-5515</v>
      </c>
      <c r="Q41" s="144">
        <v>-25850</v>
      </c>
      <c r="R41" s="144">
        <v>-10114</v>
      </c>
      <c r="S41" s="352">
        <f>R41</f>
        <v>-10114</v>
      </c>
      <c r="T41" s="110">
        <v>-10333</v>
      </c>
      <c r="U41" s="352">
        <f>T41</f>
        <v>-10333</v>
      </c>
      <c r="V41" s="110">
        <v>-6312</v>
      </c>
      <c r="W41" s="352">
        <f t="shared" ref="W41:W45" si="23">V41</f>
        <v>-6312</v>
      </c>
      <c r="X41" s="110">
        <f t="shared" ref="X41:Y45" si="24">+Z41-SUM(R41,T41,V41)</f>
        <v>-8395</v>
      </c>
      <c r="Y41" s="352">
        <f t="shared" si="24"/>
        <v>-8395</v>
      </c>
      <c r="Z41" s="312">
        <v>-35154</v>
      </c>
      <c r="AA41" s="352">
        <f t="shared" ref="AA41:AA45" si="25">Z41</f>
        <v>-35154</v>
      </c>
      <c r="AB41" s="312">
        <v>-12680</v>
      </c>
      <c r="AC41" s="312"/>
    </row>
    <row r="42" spans="1:48" x14ac:dyDescent="0.25">
      <c r="A42" s="15" t="s">
        <v>204</v>
      </c>
      <c r="B42" s="260">
        <v>0</v>
      </c>
      <c r="C42" s="260">
        <v>0</v>
      </c>
      <c r="D42" s="260">
        <v>0</v>
      </c>
      <c r="E42" s="260">
        <v>0</v>
      </c>
      <c r="F42" s="260">
        <v>0</v>
      </c>
      <c r="G42" s="260">
        <v>0</v>
      </c>
      <c r="H42" s="260">
        <v>0</v>
      </c>
      <c r="I42" s="260">
        <v>0</v>
      </c>
      <c r="J42" s="33">
        <f t="shared" si="21"/>
        <v>0</v>
      </c>
      <c r="K42" s="260">
        <v>0</v>
      </c>
      <c r="L42" s="267"/>
      <c r="M42" s="260"/>
      <c r="N42" s="260"/>
      <c r="O42" s="260">
        <v>0</v>
      </c>
      <c r="P42" s="260">
        <f t="shared" si="22"/>
        <v>0</v>
      </c>
      <c r="Q42" s="260">
        <v>0</v>
      </c>
      <c r="R42" s="33">
        <v>0</v>
      </c>
      <c r="S42" s="288">
        <f t="shared" ref="S42:S45" si="26">R42</f>
        <v>0</v>
      </c>
      <c r="T42" s="33">
        <v>0</v>
      </c>
      <c r="U42" s="288">
        <f t="shared" ref="U42:U45" si="27">T42</f>
        <v>0</v>
      </c>
      <c r="V42" s="33">
        <v>0</v>
      </c>
      <c r="W42" s="288">
        <f t="shared" si="23"/>
        <v>0</v>
      </c>
      <c r="X42" s="30">
        <f t="shared" si="24"/>
        <v>-3000</v>
      </c>
      <c r="Y42" s="288">
        <f t="shared" si="24"/>
        <v>-3000</v>
      </c>
      <c r="Z42" s="264">
        <v>-3000</v>
      </c>
      <c r="AA42" s="288">
        <f t="shared" si="25"/>
        <v>-3000</v>
      </c>
      <c r="AB42" s="263">
        <v>0</v>
      </c>
      <c r="AC42" s="263"/>
    </row>
    <row r="43" spans="1:48" x14ac:dyDescent="0.25">
      <c r="A43" s="15" t="s">
        <v>196</v>
      </c>
      <c r="B43" s="149">
        <v>0</v>
      </c>
      <c r="C43" s="149">
        <v>0</v>
      </c>
      <c r="D43" s="149">
        <v>-6244</v>
      </c>
      <c r="E43" s="149">
        <v>-51941</v>
      </c>
      <c r="F43" s="149">
        <v>-58185</v>
      </c>
      <c r="G43" s="149">
        <v>-44419</v>
      </c>
      <c r="H43" s="149">
        <v>149</v>
      </c>
      <c r="I43" s="149">
        <v>0</v>
      </c>
      <c r="J43" s="144">
        <f t="shared" si="21"/>
        <v>0</v>
      </c>
      <c r="K43" s="149">
        <v>-44270</v>
      </c>
      <c r="L43" s="110"/>
      <c r="M43" s="149"/>
      <c r="N43" s="149"/>
      <c r="O43" s="149">
        <v>-9427</v>
      </c>
      <c r="P43" s="149">
        <f t="shared" si="22"/>
        <v>-19239</v>
      </c>
      <c r="Q43" s="149">
        <v>-28666</v>
      </c>
      <c r="R43" s="149">
        <v>0</v>
      </c>
      <c r="S43" s="351">
        <f t="shared" si="26"/>
        <v>0</v>
      </c>
      <c r="T43" s="149">
        <v>0</v>
      </c>
      <c r="U43" s="351">
        <f t="shared" si="27"/>
        <v>0</v>
      </c>
      <c r="V43" s="149">
        <v>-724</v>
      </c>
      <c r="W43" s="351">
        <f t="shared" si="23"/>
        <v>-724</v>
      </c>
      <c r="X43" s="204">
        <f t="shared" si="24"/>
        <v>-22576</v>
      </c>
      <c r="Y43" s="351">
        <f t="shared" si="24"/>
        <v>-22576</v>
      </c>
      <c r="Z43" s="264">
        <v>-23300</v>
      </c>
      <c r="AA43" s="351">
        <f t="shared" si="25"/>
        <v>-23300</v>
      </c>
      <c r="AB43" s="264">
        <v>-380</v>
      </c>
      <c r="AC43" s="264"/>
    </row>
    <row r="44" spans="1:48" x14ac:dyDescent="0.25">
      <c r="A44" s="15" t="s">
        <v>124</v>
      </c>
      <c r="B44" s="149">
        <v>-1005</v>
      </c>
      <c r="C44" s="149">
        <v>-403</v>
      </c>
      <c r="D44" s="149">
        <v>-6193</v>
      </c>
      <c r="E44" s="149">
        <v>-1533</v>
      </c>
      <c r="F44" s="149">
        <v>-9134</v>
      </c>
      <c r="G44" s="149">
        <v>-5995</v>
      </c>
      <c r="H44" s="149">
        <v>-65868</v>
      </c>
      <c r="I44" s="149">
        <v>-37299</v>
      </c>
      <c r="J44" s="144">
        <f t="shared" si="21"/>
        <v>-19888</v>
      </c>
      <c r="K44" s="149">
        <v>-129050</v>
      </c>
      <c r="L44" s="110"/>
      <c r="M44" s="149">
        <v>-101327</v>
      </c>
      <c r="N44" s="149">
        <v>-30948</v>
      </c>
      <c r="O44" s="149">
        <v>-23434</v>
      </c>
      <c r="P44" s="149">
        <f t="shared" si="22"/>
        <v>-26762</v>
      </c>
      <c r="Q44" s="149">
        <v>-182471</v>
      </c>
      <c r="R44" s="149">
        <v>-129837</v>
      </c>
      <c r="S44" s="351">
        <f t="shared" si="26"/>
        <v>-129837</v>
      </c>
      <c r="T44" s="149">
        <v>-39585</v>
      </c>
      <c r="U44" s="351">
        <f t="shared" si="27"/>
        <v>-39585</v>
      </c>
      <c r="V44" s="149">
        <v>-28475</v>
      </c>
      <c r="W44" s="351">
        <f t="shared" si="23"/>
        <v>-28475</v>
      </c>
      <c r="X44" s="204">
        <f t="shared" si="24"/>
        <v>-204824</v>
      </c>
      <c r="Y44" s="351">
        <f t="shared" si="24"/>
        <v>-204824</v>
      </c>
      <c r="Z44" s="264">
        <v>-402721</v>
      </c>
      <c r="AA44" s="351">
        <f t="shared" si="25"/>
        <v>-402721</v>
      </c>
      <c r="AB44" s="264">
        <v>-20310</v>
      </c>
      <c r="AC44" s="264"/>
    </row>
    <row r="45" spans="1:48" x14ac:dyDescent="0.25">
      <c r="A45" s="15" t="s">
        <v>125</v>
      </c>
      <c r="B45" s="149">
        <v>0</v>
      </c>
      <c r="C45" s="149">
        <v>0</v>
      </c>
      <c r="D45" s="149">
        <v>6986</v>
      </c>
      <c r="E45" s="149">
        <v>-251</v>
      </c>
      <c r="F45" s="149">
        <v>6735</v>
      </c>
      <c r="G45" s="149">
        <v>3079</v>
      </c>
      <c r="H45" s="149">
        <v>2922</v>
      </c>
      <c r="I45" s="149">
        <v>22639</v>
      </c>
      <c r="J45" s="144">
        <f t="shared" si="21"/>
        <v>96725</v>
      </c>
      <c r="K45" s="149">
        <v>125365</v>
      </c>
      <c r="L45" s="110"/>
      <c r="M45" s="149">
        <v>20004</v>
      </c>
      <c r="N45" s="149">
        <v>21175</v>
      </c>
      <c r="O45" s="149">
        <v>18050</v>
      </c>
      <c r="P45" s="149">
        <f t="shared" si="22"/>
        <v>123091</v>
      </c>
      <c r="Q45" s="149">
        <v>182320</v>
      </c>
      <c r="R45" s="149">
        <v>22879</v>
      </c>
      <c r="S45" s="351">
        <f t="shared" si="26"/>
        <v>22879</v>
      </c>
      <c r="T45" s="149">
        <v>16596</v>
      </c>
      <c r="U45" s="351">
        <f t="shared" si="27"/>
        <v>16596</v>
      </c>
      <c r="V45" s="149">
        <v>14763</v>
      </c>
      <c r="W45" s="351">
        <f t="shared" si="23"/>
        <v>14763</v>
      </c>
      <c r="X45" s="204">
        <f t="shared" si="24"/>
        <v>187201</v>
      </c>
      <c r="Y45" s="351">
        <f t="shared" si="24"/>
        <v>187201</v>
      </c>
      <c r="Z45" s="264">
        <v>241439</v>
      </c>
      <c r="AA45" s="351">
        <f t="shared" si="25"/>
        <v>241439</v>
      </c>
      <c r="AB45" s="264">
        <v>30358</v>
      </c>
      <c r="AC45" s="264"/>
    </row>
    <row r="46" spans="1:48" s="8" customFormat="1" x14ac:dyDescent="0.25">
      <c r="A46" s="55" t="s">
        <v>80</v>
      </c>
      <c r="B46" s="148">
        <f t="shared" ref="B46:H46" si="28">SUM(B41:B45)</f>
        <v>-11684</v>
      </c>
      <c r="C46" s="148">
        <f t="shared" si="28"/>
        <v>-6361</v>
      </c>
      <c r="D46" s="148">
        <f t="shared" si="28"/>
        <v>-12576</v>
      </c>
      <c r="E46" s="148">
        <f t="shared" si="28"/>
        <v>-57641</v>
      </c>
      <c r="F46" s="148">
        <f t="shared" si="28"/>
        <v>-88262</v>
      </c>
      <c r="G46" s="148">
        <f t="shared" si="28"/>
        <v>-56180</v>
      </c>
      <c r="H46" s="148">
        <f t="shared" si="28"/>
        <v>-68332</v>
      </c>
      <c r="I46" s="148">
        <v>-21407</v>
      </c>
      <c r="J46" s="148">
        <f>SUM(J41:J45)</f>
        <v>72379</v>
      </c>
      <c r="K46" s="148">
        <f>SUM(K41:K45)</f>
        <v>-73540</v>
      </c>
      <c r="L46" s="148"/>
      <c r="M46" s="148">
        <f t="shared" ref="M46:AB46" si="29">SUM(M41:M45)</f>
        <v>-89780</v>
      </c>
      <c r="N46" s="148">
        <f t="shared" si="29"/>
        <v>-16188</v>
      </c>
      <c r="O46" s="148">
        <f t="shared" si="29"/>
        <v>-20274</v>
      </c>
      <c r="P46" s="148">
        <f t="shared" si="29"/>
        <v>71575</v>
      </c>
      <c r="Q46" s="148">
        <f t="shared" si="29"/>
        <v>-54667</v>
      </c>
      <c r="R46" s="148">
        <f t="shared" si="29"/>
        <v>-117072</v>
      </c>
      <c r="S46" s="353">
        <f t="shared" si="29"/>
        <v>-117072</v>
      </c>
      <c r="T46" s="148">
        <f t="shared" si="29"/>
        <v>-33322</v>
      </c>
      <c r="U46" s="353">
        <f t="shared" si="29"/>
        <v>-33322</v>
      </c>
      <c r="V46" s="148">
        <f t="shared" si="29"/>
        <v>-20748</v>
      </c>
      <c r="W46" s="353">
        <f t="shared" si="29"/>
        <v>-20748</v>
      </c>
      <c r="X46" s="148">
        <f t="shared" si="29"/>
        <v>-51594</v>
      </c>
      <c r="Y46" s="353">
        <f t="shared" ref="Y46" si="30">SUM(Y41:Y45)</f>
        <v>-51594</v>
      </c>
      <c r="Z46" s="248">
        <f t="shared" si="29"/>
        <v>-222736</v>
      </c>
      <c r="AA46" s="353">
        <f t="shared" si="29"/>
        <v>-222736</v>
      </c>
      <c r="AB46" s="248">
        <f t="shared" si="29"/>
        <v>-3012</v>
      </c>
      <c r="AC46" s="360"/>
      <c r="AD46" s="1"/>
      <c r="AE46" s="1"/>
      <c r="AF46" s="1"/>
      <c r="AG46" s="1"/>
      <c r="AH46" s="1"/>
      <c r="AI46" s="1"/>
      <c r="AJ46" s="1"/>
      <c r="AK46" s="1"/>
      <c r="AL46" s="1"/>
      <c r="AM46" s="1"/>
      <c r="AN46" s="1"/>
      <c r="AO46" s="1"/>
      <c r="AP46" s="1"/>
      <c r="AQ46" s="1"/>
      <c r="AR46" s="1"/>
      <c r="AS46" s="1"/>
      <c r="AT46" s="1"/>
      <c r="AU46" s="1"/>
      <c r="AV46" s="1"/>
    </row>
    <row r="47" spans="1:48" s="8" customFormat="1" x14ac:dyDescent="0.25">
      <c r="A47" s="56" t="s">
        <v>81</v>
      </c>
      <c r="B47" s="147">
        <v>0</v>
      </c>
      <c r="C47" s="147">
        <v>0</v>
      </c>
      <c r="D47" s="147">
        <v>0</v>
      </c>
      <c r="E47" s="147">
        <v>0</v>
      </c>
      <c r="F47" s="147">
        <v>0</v>
      </c>
      <c r="G47" s="147">
        <v>0</v>
      </c>
      <c r="H47" s="147">
        <v>0</v>
      </c>
      <c r="I47" s="147">
        <v>0</v>
      </c>
      <c r="J47" s="147">
        <v>0</v>
      </c>
      <c r="K47" s="147">
        <v>0</v>
      </c>
      <c r="L47" s="110"/>
      <c r="M47" s="147"/>
      <c r="N47" s="147"/>
      <c r="O47" s="147"/>
      <c r="P47" s="147"/>
      <c r="Q47" s="147">
        <v>0</v>
      </c>
      <c r="R47" s="147"/>
      <c r="S47" s="357"/>
      <c r="T47" s="147"/>
      <c r="U47" s="357"/>
      <c r="V47" s="147"/>
      <c r="W47" s="357"/>
      <c r="X47" s="147"/>
      <c r="Y47" s="357"/>
      <c r="Z47" s="249"/>
      <c r="AA47" s="357"/>
      <c r="AB47" s="249"/>
      <c r="AC47" s="363"/>
      <c r="AD47" s="1"/>
      <c r="AE47" s="1"/>
      <c r="AF47" s="1"/>
      <c r="AG47" s="1"/>
      <c r="AH47" s="1"/>
      <c r="AI47" s="1"/>
      <c r="AJ47" s="1"/>
      <c r="AK47" s="1"/>
      <c r="AL47" s="1"/>
      <c r="AM47" s="1"/>
      <c r="AN47" s="1"/>
      <c r="AO47" s="1"/>
      <c r="AP47" s="1"/>
      <c r="AQ47" s="1"/>
      <c r="AR47" s="1"/>
      <c r="AS47" s="1"/>
      <c r="AT47" s="1"/>
      <c r="AU47" s="1"/>
      <c r="AV47" s="1"/>
    </row>
    <row r="48" spans="1:48" x14ac:dyDescent="0.25">
      <c r="A48" s="16"/>
      <c r="B48" s="144"/>
      <c r="C48" s="144"/>
      <c r="D48" s="144"/>
      <c r="E48" s="144"/>
      <c r="F48" s="144"/>
      <c r="G48" s="144"/>
      <c r="H48" s="144"/>
      <c r="I48" s="144"/>
      <c r="J48" s="144"/>
      <c r="K48" s="144"/>
      <c r="L48" s="110"/>
      <c r="M48" s="144"/>
      <c r="N48" s="144"/>
      <c r="O48" s="144"/>
      <c r="P48" s="144"/>
      <c r="Q48" s="144"/>
      <c r="R48" s="144"/>
      <c r="S48" s="352"/>
      <c r="T48" s="144"/>
      <c r="U48" s="352"/>
      <c r="W48" s="352"/>
      <c r="Y48" s="352"/>
      <c r="AA48" s="352"/>
    </row>
    <row r="49" spans="1:220" x14ac:dyDescent="0.25">
      <c r="A49" s="53" t="s">
        <v>77</v>
      </c>
      <c r="B49" s="145">
        <f t="shared" ref="B49:G49" si="31">SUM(B46:B47)</f>
        <v>-11684</v>
      </c>
      <c r="C49" s="145">
        <f t="shared" si="31"/>
        <v>-6361</v>
      </c>
      <c r="D49" s="145">
        <f t="shared" si="31"/>
        <v>-12576</v>
      </c>
      <c r="E49" s="145">
        <f t="shared" si="31"/>
        <v>-57641</v>
      </c>
      <c r="F49" s="145">
        <f t="shared" si="31"/>
        <v>-88262</v>
      </c>
      <c r="G49" s="145">
        <f t="shared" si="31"/>
        <v>-56180</v>
      </c>
      <c r="H49" s="145">
        <f t="shared" ref="H49" si="32">SUM(H46:H47)</f>
        <v>-68332</v>
      </c>
      <c r="I49" s="145">
        <v>-21407</v>
      </c>
      <c r="J49" s="145">
        <f t="shared" ref="J49:Q49" si="33">SUM(J46:J47)</f>
        <v>72379</v>
      </c>
      <c r="K49" s="145">
        <f t="shared" si="33"/>
        <v>-73540</v>
      </c>
      <c r="L49" s="145"/>
      <c r="M49" s="145">
        <f t="shared" si="33"/>
        <v>-89780</v>
      </c>
      <c r="N49" s="145">
        <f t="shared" si="33"/>
        <v>-16188</v>
      </c>
      <c r="O49" s="145">
        <f t="shared" si="33"/>
        <v>-20274</v>
      </c>
      <c r="P49" s="145">
        <f t="shared" si="33"/>
        <v>71575</v>
      </c>
      <c r="Q49" s="145">
        <f t="shared" si="33"/>
        <v>-54667</v>
      </c>
      <c r="R49" s="145">
        <f t="shared" ref="R49:X49" si="34">SUM(R46:R47)</f>
        <v>-117072</v>
      </c>
      <c r="S49" s="355">
        <f t="shared" si="34"/>
        <v>-117072</v>
      </c>
      <c r="T49" s="145">
        <f t="shared" si="34"/>
        <v>-33322</v>
      </c>
      <c r="U49" s="355">
        <f t="shared" si="34"/>
        <v>-33322</v>
      </c>
      <c r="V49" s="145">
        <f t="shared" si="34"/>
        <v>-20748</v>
      </c>
      <c r="W49" s="355">
        <f t="shared" si="34"/>
        <v>-20748</v>
      </c>
      <c r="X49" s="145">
        <f t="shared" si="34"/>
        <v>-51594</v>
      </c>
      <c r="Y49" s="355">
        <f t="shared" ref="Y49" si="35">SUM(Y46:Y47)</f>
        <v>-51594</v>
      </c>
      <c r="Z49" s="250">
        <f t="shared" ref="Z49:AB49" si="36">SUM(Z46:Z47)</f>
        <v>-222736</v>
      </c>
      <c r="AA49" s="355">
        <f t="shared" si="36"/>
        <v>-222736</v>
      </c>
      <c r="AB49" s="250">
        <f t="shared" si="36"/>
        <v>-3012</v>
      </c>
      <c r="AC49" s="362"/>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c r="GH49" s="129"/>
      <c r="GI49" s="129"/>
      <c r="GJ49" s="129"/>
      <c r="GK49" s="129"/>
      <c r="GL49" s="129"/>
      <c r="GM49" s="129"/>
      <c r="GN49" s="129"/>
      <c r="GO49" s="129"/>
      <c r="GP49" s="129"/>
      <c r="GQ49" s="129"/>
      <c r="GR49" s="129"/>
      <c r="GS49" s="129"/>
      <c r="GT49" s="129"/>
      <c r="GU49" s="129"/>
      <c r="GV49" s="129"/>
      <c r="GW49" s="129"/>
      <c r="GX49" s="129"/>
      <c r="GY49" s="129"/>
      <c r="GZ49" s="129"/>
      <c r="HA49" s="129"/>
      <c r="HB49" s="129"/>
      <c r="HC49" s="129"/>
      <c r="HD49" s="129"/>
      <c r="HE49" s="129"/>
      <c r="HF49" s="129"/>
      <c r="HG49" s="129"/>
      <c r="HH49" s="129"/>
      <c r="HI49" s="129"/>
      <c r="HJ49" s="129"/>
      <c r="HK49" s="129"/>
      <c r="HL49" s="129"/>
    </row>
    <row r="50" spans="1:220" x14ac:dyDescent="0.25">
      <c r="A50" s="17" t="s">
        <v>21</v>
      </c>
      <c r="L50" s="110"/>
      <c r="S50" s="349"/>
      <c r="T50" s="110"/>
      <c r="U50" s="349"/>
      <c r="W50" s="349"/>
      <c r="Y50" s="349"/>
      <c r="AA50" s="349"/>
    </row>
    <row r="51" spans="1:220" x14ac:dyDescent="0.25">
      <c r="A51" s="13" t="s">
        <v>120</v>
      </c>
      <c r="L51" s="110"/>
      <c r="S51" s="349"/>
      <c r="T51" s="110"/>
      <c r="U51" s="349"/>
      <c r="W51" s="349"/>
      <c r="Y51" s="349"/>
      <c r="AA51" s="349"/>
    </row>
    <row r="52" spans="1:220" x14ac:dyDescent="0.25">
      <c r="A52" s="15" t="s">
        <v>40</v>
      </c>
      <c r="B52" s="144">
        <v>0</v>
      </c>
      <c r="C52" s="144">
        <v>0</v>
      </c>
      <c r="D52" s="144">
        <v>0</v>
      </c>
      <c r="E52" s="144">
        <v>0</v>
      </c>
      <c r="F52" s="144">
        <v>0</v>
      </c>
      <c r="G52" s="144">
        <v>0</v>
      </c>
      <c r="H52" s="144">
        <v>0</v>
      </c>
      <c r="I52" s="144">
        <v>0</v>
      </c>
      <c r="J52" s="144">
        <f t="shared" ref="J52:J64" si="37">K52-G52-H52-I52</f>
        <v>0</v>
      </c>
      <c r="K52" s="144">
        <v>0</v>
      </c>
      <c r="L52" s="110"/>
      <c r="M52" s="131">
        <v>0</v>
      </c>
      <c r="N52" s="131">
        <v>0</v>
      </c>
      <c r="O52" s="131">
        <v>0</v>
      </c>
      <c r="P52" s="131">
        <f t="shared" ref="P52:P65" si="38">Q52-M52-N52-O52</f>
        <v>0</v>
      </c>
      <c r="Q52" s="144">
        <v>0</v>
      </c>
      <c r="R52" s="110">
        <v>0</v>
      </c>
      <c r="S52" s="358">
        <f>R52</f>
        <v>0</v>
      </c>
      <c r="T52" s="110">
        <v>0</v>
      </c>
      <c r="U52" s="358">
        <f>T52</f>
        <v>0</v>
      </c>
      <c r="V52" s="110">
        <v>0</v>
      </c>
      <c r="W52" s="358">
        <f>V52</f>
        <v>0</v>
      </c>
      <c r="X52" s="110">
        <f t="shared" ref="X52:Y65" si="39">+Z52-SUM(R52,T52,V52)</f>
        <v>0</v>
      </c>
      <c r="Y52" s="358">
        <f t="shared" si="39"/>
        <v>0</v>
      </c>
      <c r="Z52" s="267">
        <v>0</v>
      </c>
      <c r="AA52" s="358">
        <f t="shared" ref="AA52:AA65" si="40">Z52</f>
        <v>0</v>
      </c>
      <c r="AB52" s="267">
        <v>0</v>
      </c>
      <c r="AC52" s="267"/>
      <c r="AD52" s="2"/>
      <c r="AE52" s="2"/>
      <c r="AF52" s="2"/>
      <c r="AG52" s="2"/>
      <c r="AH52" s="2"/>
      <c r="AI52" s="2"/>
      <c r="AJ52" s="2"/>
      <c r="AK52" s="2"/>
      <c r="AL52" s="2"/>
      <c r="AM52" s="2"/>
      <c r="AN52" s="2"/>
      <c r="AO52" s="2"/>
      <c r="AP52" s="2"/>
      <c r="AQ52" s="2"/>
      <c r="AR52" s="2"/>
      <c r="AS52" s="2"/>
      <c r="AT52" s="2"/>
      <c r="AU52" s="2"/>
      <c r="AV52" s="2"/>
    </row>
    <row r="53" spans="1:220" x14ac:dyDescent="0.25">
      <c r="A53" s="15" t="s">
        <v>213</v>
      </c>
      <c r="B53" s="131">
        <v>0</v>
      </c>
      <c r="C53" s="131">
        <v>0</v>
      </c>
      <c r="D53" s="131">
        <v>0</v>
      </c>
      <c r="E53" s="131">
        <v>0</v>
      </c>
      <c r="F53" s="131">
        <v>0</v>
      </c>
      <c r="G53" s="131">
        <v>5000</v>
      </c>
      <c r="H53" s="131">
        <v>15000</v>
      </c>
      <c r="I53" s="131">
        <v>0</v>
      </c>
      <c r="J53" s="144">
        <f t="shared" si="37"/>
        <v>0</v>
      </c>
      <c r="K53" s="131">
        <v>20000</v>
      </c>
      <c r="L53" s="110"/>
      <c r="M53" s="131">
        <v>0</v>
      </c>
      <c r="N53" s="131">
        <v>0</v>
      </c>
      <c r="O53" s="131">
        <v>0</v>
      </c>
      <c r="P53" s="131">
        <f t="shared" si="38"/>
        <v>0</v>
      </c>
      <c r="Q53" s="131">
        <v>0</v>
      </c>
      <c r="R53" s="149">
        <v>0</v>
      </c>
      <c r="S53" s="351">
        <f t="shared" ref="S53:S65" si="41">R53</f>
        <v>0</v>
      </c>
      <c r="T53" s="149">
        <v>0</v>
      </c>
      <c r="U53" s="351">
        <f t="shared" ref="U53:U65" si="42">T53</f>
        <v>0</v>
      </c>
      <c r="V53" s="149">
        <v>0</v>
      </c>
      <c r="W53" s="351">
        <f t="shared" ref="W53:W65" si="43">V53</f>
        <v>0</v>
      </c>
      <c r="X53" s="204">
        <f t="shared" si="39"/>
        <v>60574</v>
      </c>
      <c r="Y53" s="351">
        <f t="shared" si="39"/>
        <v>60574</v>
      </c>
      <c r="Z53" s="313">
        <v>60574</v>
      </c>
      <c r="AA53" s="351">
        <f t="shared" si="40"/>
        <v>60574</v>
      </c>
      <c r="AB53" s="313">
        <v>12000</v>
      </c>
      <c r="AC53" s="313"/>
      <c r="AD53" s="2"/>
      <c r="AE53" s="2"/>
      <c r="AF53" s="2"/>
      <c r="AG53" s="2"/>
      <c r="AH53" s="2"/>
      <c r="AI53" s="2"/>
      <c r="AJ53" s="2"/>
      <c r="AK53" s="2"/>
      <c r="AL53" s="2"/>
      <c r="AM53" s="2"/>
      <c r="AN53" s="2"/>
      <c r="AO53" s="2"/>
      <c r="AP53" s="2"/>
      <c r="AQ53" s="2"/>
      <c r="AR53" s="2"/>
      <c r="AS53" s="2"/>
      <c r="AT53" s="2"/>
      <c r="AU53" s="2"/>
      <c r="AV53" s="2"/>
    </row>
    <row r="54" spans="1:220" x14ac:dyDescent="0.25">
      <c r="A54" s="15" t="s">
        <v>214</v>
      </c>
      <c r="B54" s="131">
        <v>0</v>
      </c>
      <c r="C54" s="131">
        <v>0</v>
      </c>
      <c r="D54" s="131">
        <v>0</v>
      </c>
      <c r="E54" s="131">
        <v>0</v>
      </c>
      <c r="F54" s="131">
        <v>0</v>
      </c>
      <c r="G54" s="131">
        <v>0</v>
      </c>
      <c r="H54" s="131">
        <v>-10000</v>
      </c>
      <c r="I54" s="131">
        <v>0</v>
      </c>
      <c r="J54" s="144">
        <f t="shared" si="37"/>
        <v>0</v>
      </c>
      <c r="K54" s="131">
        <v>-10000</v>
      </c>
      <c r="L54" s="110"/>
      <c r="M54" s="131">
        <v>0</v>
      </c>
      <c r="N54" s="131">
        <v>0</v>
      </c>
      <c r="O54" s="131">
        <v>0</v>
      </c>
      <c r="P54" s="131">
        <f t="shared" si="38"/>
        <v>-25000</v>
      </c>
      <c r="Q54" s="131">
        <v>-25000</v>
      </c>
      <c r="R54" s="149">
        <v>0</v>
      </c>
      <c r="S54" s="351">
        <f t="shared" si="41"/>
        <v>0</v>
      </c>
      <c r="T54" s="149">
        <v>0</v>
      </c>
      <c r="U54" s="351">
        <f t="shared" si="42"/>
        <v>0</v>
      </c>
      <c r="V54" s="149">
        <v>0</v>
      </c>
      <c r="W54" s="351">
        <f t="shared" si="43"/>
        <v>0</v>
      </c>
      <c r="X54" s="204">
        <f t="shared" si="39"/>
        <v>-45192</v>
      </c>
      <c r="Y54" s="351">
        <f t="shared" si="39"/>
        <v>-45192</v>
      </c>
      <c r="Z54" s="313">
        <v>-45192</v>
      </c>
      <c r="AA54" s="351">
        <f t="shared" si="40"/>
        <v>-45192</v>
      </c>
      <c r="AB54" s="313">
        <v>-5036</v>
      </c>
      <c r="AC54" s="313"/>
      <c r="AD54" s="2"/>
      <c r="AE54" s="2"/>
      <c r="AF54" s="2"/>
      <c r="AG54" s="2"/>
      <c r="AH54" s="2"/>
      <c r="AI54" s="2"/>
      <c r="AJ54" s="2"/>
      <c r="AK54" s="2"/>
      <c r="AL54" s="2"/>
      <c r="AM54" s="2"/>
      <c r="AN54" s="2"/>
      <c r="AO54" s="2"/>
      <c r="AP54" s="2"/>
      <c r="AQ54" s="2"/>
      <c r="AR54" s="2"/>
      <c r="AS54" s="2"/>
      <c r="AT54" s="2"/>
      <c r="AU54" s="2"/>
      <c r="AV54" s="2"/>
    </row>
    <row r="55" spans="1:220" x14ac:dyDescent="0.25">
      <c r="A55" s="15" t="s">
        <v>143</v>
      </c>
      <c r="B55" s="131">
        <v>0</v>
      </c>
      <c r="C55" s="131">
        <v>0</v>
      </c>
      <c r="D55" s="131">
        <v>0</v>
      </c>
      <c r="E55" s="131">
        <v>-405</v>
      </c>
      <c r="F55" s="131">
        <v>-405</v>
      </c>
      <c r="G55" s="131">
        <v>-50</v>
      </c>
      <c r="H55" s="131">
        <v>-24</v>
      </c>
      <c r="I55" s="131">
        <v>0</v>
      </c>
      <c r="J55" s="144">
        <f t="shared" si="37"/>
        <v>0</v>
      </c>
      <c r="K55" s="131">
        <v>-74</v>
      </c>
      <c r="L55" s="110"/>
      <c r="M55" s="131">
        <v>0</v>
      </c>
      <c r="N55" s="131">
        <v>0</v>
      </c>
      <c r="O55" s="131">
        <v>0</v>
      </c>
      <c r="P55" s="131">
        <f t="shared" si="38"/>
        <v>0</v>
      </c>
      <c r="Q55" s="131">
        <v>0</v>
      </c>
      <c r="R55" s="149">
        <v>0</v>
      </c>
      <c r="S55" s="351">
        <f t="shared" si="41"/>
        <v>0</v>
      </c>
      <c r="T55" s="149">
        <v>0</v>
      </c>
      <c r="U55" s="351">
        <f t="shared" si="42"/>
        <v>0</v>
      </c>
      <c r="V55" s="149">
        <v>0</v>
      </c>
      <c r="W55" s="351">
        <f t="shared" si="43"/>
        <v>0</v>
      </c>
      <c r="X55" s="204">
        <f t="shared" si="39"/>
        <v>-790</v>
      </c>
      <c r="Y55" s="351">
        <f t="shared" si="39"/>
        <v>-790</v>
      </c>
      <c r="Z55" s="313">
        <v>-790</v>
      </c>
      <c r="AA55" s="351">
        <f t="shared" si="40"/>
        <v>-790</v>
      </c>
      <c r="AB55" s="263">
        <v>0</v>
      </c>
      <c r="AC55" s="263"/>
      <c r="AD55" s="2"/>
      <c r="AE55" s="2"/>
      <c r="AF55" s="2"/>
      <c r="AG55" s="2"/>
      <c r="AH55" s="2"/>
      <c r="AI55" s="2"/>
      <c r="AJ55" s="2"/>
      <c r="AK55" s="2"/>
      <c r="AL55" s="2"/>
      <c r="AM55" s="2"/>
      <c r="AN55" s="2"/>
      <c r="AO55" s="2"/>
      <c r="AP55" s="2"/>
      <c r="AQ55" s="2"/>
      <c r="AR55" s="2"/>
      <c r="AS55" s="2"/>
      <c r="AT55" s="2"/>
      <c r="AU55" s="2"/>
      <c r="AV55" s="2"/>
    </row>
    <row r="56" spans="1:220" x14ac:dyDescent="0.25">
      <c r="A56" s="15" t="s">
        <v>41</v>
      </c>
      <c r="B56" s="149">
        <v>-288</v>
      </c>
      <c r="C56" s="149">
        <v>-276</v>
      </c>
      <c r="D56" s="149">
        <v>-243</v>
      </c>
      <c r="E56" s="149">
        <v>-160</v>
      </c>
      <c r="F56" s="149">
        <v>-967</v>
      </c>
      <c r="G56" s="149">
        <v>-223</v>
      </c>
      <c r="H56" s="149">
        <v>-135</v>
      </c>
      <c r="I56" s="149">
        <v>-201</v>
      </c>
      <c r="J56" s="144">
        <f t="shared" si="37"/>
        <v>-161</v>
      </c>
      <c r="K56" s="149">
        <v>-720</v>
      </c>
      <c r="L56" s="110"/>
      <c r="M56" s="149">
        <v>-123</v>
      </c>
      <c r="N56" s="149">
        <v>-117</v>
      </c>
      <c r="O56" s="149">
        <v>-52</v>
      </c>
      <c r="P56" s="149">
        <f t="shared" si="38"/>
        <v>-56</v>
      </c>
      <c r="Q56" s="149">
        <v>-348</v>
      </c>
      <c r="R56" s="149">
        <v>-43</v>
      </c>
      <c r="S56" s="351">
        <f t="shared" si="41"/>
        <v>-43</v>
      </c>
      <c r="T56" s="149">
        <v>-51</v>
      </c>
      <c r="U56" s="351">
        <f t="shared" si="42"/>
        <v>-51</v>
      </c>
      <c r="V56" s="149">
        <v>-39</v>
      </c>
      <c r="W56" s="351">
        <f t="shared" si="43"/>
        <v>-39</v>
      </c>
      <c r="X56" s="204">
        <f t="shared" si="39"/>
        <v>-41</v>
      </c>
      <c r="Y56" s="351">
        <f t="shared" si="39"/>
        <v>-41</v>
      </c>
      <c r="Z56" s="313">
        <v>-174</v>
      </c>
      <c r="AA56" s="351">
        <f t="shared" si="40"/>
        <v>-174</v>
      </c>
      <c r="AB56" s="313">
        <v>-42</v>
      </c>
      <c r="AC56" s="313"/>
      <c r="AD56" s="2"/>
      <c r="AE56" s="2"/>
      <c r="AF56" s="2"/>
      <c r="AG56" s="2"/>
      <c r="AH56" s="2"/>
      <c r="AI56" s="2"/>
      <c r="AJ56" s="2"/>
      <c r="AK56" s="2"/>
      <c r="AL56" s="2"/>
      <c r="AM56" s="2"/>
      <c r="AN56" s="2"/>
      <c r="AO56" s="2"/>
      <c r="AP56" s="2"/>
      <c r="AQ56" s="2"/>
      <c r="AR56" s="2"/>
      <c r="AS56" s="2"/>
      <c r="AT56" s="2"/>
      <c r="AU56" s="2"/>
      <c r="AV56" s="2"/>
    </row>
    <row r="57" spans="1:220" x14ac:dyDescent="0.25">
      <c r="A57" s="15" t="s">
        <v>42</v>
      </c>
      <c r="B57" s="149">
        <v>0</v>
      </c>
      <c r="C57" s="149">
        <v>0</v>
      </c>
      <c r="D57" s="149">
        <v>0</v>
      </c>
      <c r="E57" s="149">
        <v>0</v>
      </c>
      <c r="F57" s="131">
        <v>0</v>
      </c>
      <c r="G57" s="131">
        <v>0</v>
      </c>
      <c r="H57" s="131">
        <v>0</v>
      </c>
      <c r="I57" s="131">
        <v>0</v>
      </c>
      <c r="J57" s="144">
        <f t="shared" si="37"/>
        <v>0</v>
      </c>
      <c r="K57" s="131">
        <v>0</v>
      </c>
      <c r="L57" s="110"/>
      <c r="M57" s="131">
        <v>0</v>
      </c>
      <c r="N57" s="131">
        <v>0</v>
      </c>
      <c r="O57" s="131">
        <v>0</v>
      </c>
      <c r="P57" s="131">
        <f t="shared" si="38"/>
        <v>0</v>
      </c>
      <c r="Q57" s="131">
        <v>0</v>
      </c>
      <c r="R57" s="149">
        <v>0</v>
      </c>
      <c r="S57" s="351">
        <f t="shared" si="41"/>
        <v>0</v>
      </c>
      <c r="T57" s="149">
        <v>0</v>
      </c>
      <c r="U57" s="351">
        <f t="shared" si="42"/>
        <v>0</v>
      </c>
      <c r="V57" s="149">
        <v>0</v>
      </c>
      <c r="W57" s="351">
        <f t="shared" si="43"/>
        <v>0</v>
      </c>
      <c r="X57" s="204">
        <f t="shared" si="39"/>
        <v>0</v>
      </c>
      <c r="Y57" s="351">
        <f t="shared" si="39"/>
        <v>0</v>
      </c>
      <c r="Z57" s="268">
        <v>0</v>
      </c>
      <c r="AA57" s="351">
        <f t="shared" si="40"/>
        <v>0</v>
      </c>
      <c r="AB57" s="263">
        <v>0</v>
      </c>
      <c r="AC57" s="263"/>
      <c r="AD57" s="2"/>
      <c r="AE57" s="2"/>
      <c r="AF57" s="2"/>
      <c r="AG57" s="2"/>
      <c r="AH57" s="2"/>
      <c r="AI57" s="2"/>
      <c r="AJ57" s="2"/>
      <c r="AK57" s="2"/>
      <c r="AL57" s="2"/>
      <c r="AM57" s="2"/>
      <c r="AN57" s="2"/>
      <c r="AO57" s="2"/>
      <c r="AP57" s="2"/>
      <c r="AQ57" s="2"/>
      <c r="AR57" s="2"/>
      <c r="AS57" s="2"/>
      <c r="AT57" s="2"/>
      <c r="AU57" s="2"/>
      <c r="AV57" s="2"/>
    </row>
    <row r="58" spans="1:220" x14ac:dyDescent="0.25">
      <c r="A58" s="15" t="s">
        <v>55</v>
      </c>
      <c r="B58" s="149">
        <v>0</v>
      </c>
      <c r="C58" s="149">
        <v>0</v>
      </c>
      <c r="D58" s="149">
        <v>0</v>
      </c>
      <c r="E58" s="149">
        <v>0</v>
      </c>
      <c r="F58" s="131">
        <v>0</v>
      </c>
      <c r="G58" s="131">
        <v>0</v>
      </c>
      <c r="H58" s="131">
        <v>0</v>
      </c>
      <c r="I58" s="131">
        <v>0</v>
      </c>
      <c r="J58" s="144">
        <f t="shared" si="37"/>
        <v>0</v>
      </c>
      <c r="K58" s="131">
        <v>0</v>
      </c>
      <c r="L58" s="110"/>
      <c r="M58" s="131">
        <v>0</v>
      </c>
      <c r="N58" s="131">
        <v>0</v>
      </c>
      <c r="O58" s="131">
        <v>0</v>
      </c>
      <c r="P58" s="131">
        <f t="shared" si="38"/>
        <v>0</v>
      </c>
      <c r="Q58" s="131">
        <v>0</v>
      </c>
      <c r="R58" s="149">
        <v>0</v>
      </c>
      <c r="S58" s="351">
        <f t="shared" si="41"/>
        <v>0</v>
      </c>
      <c r="T58" s="149">
        <v>0</v>
      </c>
      <c r="U58" s="351">
        <f t="shared" si="42"/>
        <v>0</v>
      </c>
      <c r="V58" s="149">
        <v>0</v>
      </c>
      <c r="W58" s="351">
        <f t="shared" si="43"/>
        <v>0</v>
      </c>
      <c r="X58" s="204">
        <f t="shared" si="39"/>
        <v>0</v>
      </c>
      <c r="Y58" s="351">
        <f t="shared" si="39"/>
        <v>0</v>
      </c>
      <c r="Z58" s="268">
        <v>0</v>
      </c>
      <c r="AA58" s="351">
        <f t="shared" si="40"/>
        <v>0</v>
      </c>
      <c r="AB58" s="263">
        <v>0</v>
      </c>
      <c r="AC58" s="263"/>
      <c r="AD58" s="2"/>
      <c r="AE58" s="2"/>
      <c r="AF58" s="2"/>
      <c r="AG58" s="2"/>
      <c r="AH58" s="2"/>
      <c r="AI58" s="2"/>
      <c r="AJ58" s="2"/>
      <c r="AK58" s="2"/>
      <c r="AL58" s="2"/>
      <c r="AM58" s="2"/>
      <c r="AN58" s="2"/>
      <c r="AO58" s="2"/>
      <c r="AP58" s="2"/>
      <c r="AQ58" s="2"/>
      <c r="AR58" s="2"/>
      <c r="AS58" s="2"/>
      <c r="AT58" s="2"/>
      <c r="AU58" s="2"/>
      <c r="AV58" s="2"/>
    </row>
    <row r="59" spans="1:220" x14ac:dyDescent="0.25">
      <c r="A59" s="15" t="s">
        <v>54</v>
      </c>
      <c r="B59" s="149">
        <v>0</v>
      </c>
      <c r="C59" s="149">
        <v>0</v>
      </c>
      <c r="D59" s="149">
        <v>0</v>
      </c>
      <c r="E59" s="149">
        <v>0</v>
      </c>
      <c r="F59" s="131">
        <v>0</v>
      </c>
      <c r="G59" s="131">
        <v>0</v>
      </c>
      <c r="H59" s="131">
        <v>0</v>
      </c>
      <c r="I59" s="131">
        <v>0</v>
      </c>
      <c r="J59" s="144">
        <f t="shared" si="37"/>
        <v>0</v>
      </c>
      <c r="K59" s="131">
        <v>0</v>
      </c>
      <c r="L59" s="110"/>
      <c r="M59" s="131">
        <v>-5000</v>
      </c>
      <c r="N59" s="131">
        <v>-20000</v>
      </c>
      <c r="O59" s="131">
        <v>0</v>
      </c>
      <c r="P59" s="131">
        <f t="shared" si="38"/>
        <v>25000</v>
      </c>
      <c r="Q59" s="131">
        <v>0</v>
      </c>
      <c r="R59" s="149">
        <v>0</v>
      </c>
      <c r="S59" s="351">
        <f t="shared" si="41"/>
        <v>0</v>
      </c>
      <c r="T59" s="149">
        <v>0</v>
      </c>
      <c r="U59" s="351">
        <f t="shared" si="42"/>
        <v>0</v>
      </c>
      <c r="V59" s="149">
        <v>0</v>
      </c>
      <c r="W59" s="351">
        <f t="shared" si="43"/>
        <v>0</v>
      </c>
      <c r="X59" s="204">
        <f t="shared" si="39"/>
        <v>0</v>
      </c>
      <c r="Y59" s="351">
        <f t="shared" si="39"/>
        <v>0</v>
      </c>
      <c r="Z59" s="268">
        <v>0</v>
      </c>
      <c r="AA59" s="351">
        <f t="shared" si="40"/>
        <v>0</v>
      </c>
      <c r="AB59" s="263">
        <v>0</v>
      </c>
      <c r="AC59" s="263"/>
      <c r="AD59" s="2"/>
      <c r="AE59" s="2"/>
      <c r="AF59" s="2"/>
      <c r="AG59" s="2"/>
      <c r="AH59" s="2"/>
      <c r="AI59" s="2"/>
      <c r="AJ59" s="2"/>
      <c r="AK59" s="2"/>
      <c r="AL59" s="2"/>
      <c r="AM59" s="2"/>
      <c r="AN59" s="2"/>
      <c r="AO59" s="2"/>
      <c r="AP59" s="2"/>
      <c r="AQ59" s="2"/>
      <c r="AR59" s="2"/>
      <c r="AS59" s="2"/>
      <c r="AT59" s="2"/>
      <c r="AU59" s="2"/>
      <c r="AV59" s="2"/>
    </row>
    <row r="60" spans="1:220" x14ac:dyDescent="0.25">
      <c r="A60" s="15" t="s">
        <v>43</v>
      </c>
      <c r="B60" s="149">
        <v>1673</v>
      </c>
      <c r="C60" s="149">
        <v>1140</v>
      </c>
      <c r="D60" s="149">
        <v>2157</v>
      </c>
      <c r="E60" s="149">
        <v>1489</v>
      </c>
      <c r="F60" s="149">
        <v>6459</v>
      </c>
      <c r="G60" s="149">
        <v>1883</v>
      </c>
      <c r="H60" s="149">
        <v>483</v>
      </c>
      <c r="I60" s="149">
        <v>796</v>
      </c>
      <c r="J60" s="144">
        <f t="shared" si="37"/>
        <v>212</v>
      </c>
      <c r="K60" s="149">
        <v>3374</v>
      </c>
      <c r="L60" s="110"/>
      <c r="M60" s="149">
        <v>2010</v>
      </c>
      <c r="N60" s="149">
        <v>2185</v>
      </c>
      <c r="O60" s="149">
        <v>2031</v>
      </c>
      <c r="P60" s="149">
        <f t="shared" si="38"/>
        <v>273</v>
      </c>
      <c r="Q60" s="149">
        <v>6499</v>
      </c>
      <c r="R60" s="149">
        <v>191</v>
      </c>
      <c r="S60" s="351">
        <f t="shared" si="41"/>
        <v>191</v>
      </c>
      <c r="T60" s="149">
        <v>1587</v>
      </c>
      <c r="U60" s="351">
        <f t="shared" si="42"/>
        <v>1587</v>
      </c>
      <c r="V60" s="149">
        <v>2497</v>
      </c>
      <c r="W60" s="351">
        <f t="shared" si="43"/>
        <v>2497</v>
      </c>
      <c r="X60" s="204">
        <f t="shared" si="39"/>
        <v>4286</v>
      </c>
      <c r="Y60" s="351">
        <f t="shared" si="39"/>
        <v>4286</v>
      </c>
      <c r="Z60" s="313">
        <v>8561</v>
      </c>
      <c r="AA60" s="351">
        <f t="shared" si="40"/>
        <v>8561</v>
      </c>
      <c r="AB60" s="313">
        <v>431</v>
      </c>
      <c r="AC60" s="313"/>
      <c r="AD60" s="2"/>
      <c r="AE60" s="2"/>
      <c r="AF60" s="2"/>
      <c r="AG60" s="2"/>
      <c r="AH60" s="2"/>
      <c r="AI60" s="2"/>
      <c r="AJ60" s="2"/>
      <c r="AK60" s="2"/>
      <c r="AL60" s="2"/>
      <c r="AM60" s="2"/>
      <c r="AN60" s="2"/>
      <c r="AO60" s="2"/>
      <c r="AP60" s="2"/>
      <c r="AQ60" s="2"/>
      <c r="AR60" s="2"/>
      <c r="AS60" s="2"/>
      <c r="AT60" s="2"/>
      <c r="AU60" s="2"/>
      <c r="AV60" s="2"/>
    </row>
    <row r="61" spans="1:220" x14ac:dyDescent="0.25">
      <c r="A61" s="15" t="s">
        <v>56</v>
      </c>
      <c r="B61" s="149">
        <v>0</v>
      </c>
      <c r="C61" s="149">
        <v>0</v>
      </c>
      <c r="D61" s="149">
        <v>0</v>
      </c>
      <c r="E61" s="149">
        <v>1181</v>
      </c>
      <c r="F61" s="149">
        <v>1181</v>
      </c>
      <c r="G61" s="149">
        <v>0</v>
      </c>
      <c r="H61" s="149">
        <v>0</v>
      </c>
      <c r="I61" s="149">
        <v>0</v>
      </c>
      <c r="J61" s="144">
        <f t="shared" si="37"/>
        <v>1458</v>
      </c>
      <c r="K61" s="149">
        <v>1458</v>
      </c>
      <c r="L61" s="110"/>
      <c r="M61" s="131">
        <v>0</v>
      </c>
      <c r="N61" s="131">
        <v>0</v>
      </c>
      <c r="O61" s="131">
        <v>0</v>
      </c>
      <c r="P61" s="131">
        <f t="shared" si="38"/>
        <v>4326</v>
      </c>
      <c r="Q61" s="149">
        <v>4326</v>
      </c>
      <c r="R61" s="149">
        <v>0</v>
      </c>
      <c r="S61" s="351">
        <f t="shared" si="41"/>
        <v>0</v>
      </c>
      <c r="T61" s="149">
        <v>0</v>
      </c>
      <c r="U61" s="351">
        <f t="shared" si="42"/>
        <v>0</v>
      </c>
      <c r="V61" s="149">
        <v>0</v>
      </c>
      <c r="W61" s="351">
        <f t="shared" si="43"/>
        <v>0</v>
      </c>
      <c r="X61" s="204">
        <f t="shared" si="39"/>
        <v>0</v>
      </c>
      <c r="Y61" s="351">
        <f t="shared" si="39"/>
        <v>0</v>
      </c>
      <c r="Z61" s="268">
        <v>0</v>
      </c>
      <c r="AA61" s="351">
        <f t="shared" si="40"/>
        <v>0</v>
      </c>
      <c r="AB61" s="263">
        <v>0</v>
      </c>
      <c r="AC61" s="263"/>
      <c r="AD61" s="2"/>
      <c r="AE61" s="2"/>
      <c r="AF61" s="2"/>
      <c r="AG61" s="2"/>
      <c r="AH61" s="2"/>
      <c r="AI61" s="2"/>
      <c r="AJ61" s="2"/>
      <c r="AK61" s="2"/>
      <c r="AL61" s="2"/>
      <c r="AM61" s="2"/>
      <c r="AN61" s="2"/>
      <c r="AO61" s="2"/>
      <c r="AP61" s="2"/>
      <c r="AQ61" s="2"/>
      <c r="AR61" s="2"/>
      <c r="AS61" s="2"/>
      <c r="AT61" s="2"/>
      <c r="AU61" s="2"/>
      <c r="AV61" s="2"/>
    </row>
    <row r="62" spans="1:220" ht="26.4" x14ac:dyDescent="0.25">
      <c r="A62" s="20" t="s">
        <v>144</v>
      </c>
      <c r="B62" s="131">
        <v>0</v>
      </c>
      <c r="C62" s="131">
        <v>0</v>
      </c>
      <c r="D62" s="131">
        <v>0</v>
      </c>
      <c r="E62" s="131">
        <v>0</v>
      </c>
      <c r="F62" s="131">
        <v>0</v>
      </c>
      <c r="G62" s="131">
        <v>0</v>
      </c>
      <c r="H62" s="131">
        <v>0</v>
      </c>
      <c r="I62" s="131">
        <v>0</v>
      </c>
      <c r="J62" s="144">
        <f t="shared" si="37"/>
        <v>0</v>
      </c>
      <c r="K62" s="131">
        <v>0</v>
      </c>
      <c r="L62" s="110"/>
      <c r="M62" s="131">
        <v>0</v>
      </c>
      <c r="N62" s="131">
        <v>0</v>
      </c>
      <c r="O62" s="131">
        <v>0</v>
      </c>
      <c r="P62" s="131">
        <f t="shared" si="38"/>
        <v>0</v>
      </c>
      <c r="Q62" s="131">
        <v>0</v>
      </c>
      <c r="R62" s="149">
        <v>0</v>
      </c>
      <c r="S62" s="351">
        <f t="shared" si="41"/>
        <v>0</v>
      </c>
      <c r="T62" s="149">
        <v>0</v>
      </c>
      <c r="U62" s="351">
        <f t="shared" si="42"/>
        <v>0</v>
      </c>
      <c r="V62" s="149">
        <v>0</v>
      </c>
      <c r="W62" s="351">
        <f t="shared" si="43"/>
        <v>0</v>
      </c>
      <c r="X62" s="204">
        <f t="shared" si="39"/>
        <v>0</v>
      </c>
      <c r="Y62" s="351">
        <f t="shared" si="39"/>
        <v>0</v>
      </c>
      <c r="Z62" s="268">
        <v>0</v>
      </c>
      <c r="AA62" s="351">
        <f t="shared" si="40"/>
        <v>0</v>
      </c>
      <c r="AB62" s="263">
        <v>0</v>
      </c>
      <c r="AC62" s="263"/>
      <c r="AD62" s="2"/>
      <c r="AE62" s="2"/>
      <c r="AF62" s="2"/>
      <c r="AG62" s="2"/>
      <c r="AH62" s="2"/>
      <c r="AI62" s="2"/>
      <c r="AJ62" s="2"/>
      <c r="AK62" s="2"/>
      <c r="AL62" s="2"/>
      <c r="AM62" s="2"/>
      <c r="AN62" s="2"/>
      <c r="AO62" s="2"/>
      <c r="AP62" s="2"/>
      <c r="AQ62" s="2"/>
      <c r="AR62" s="2"/>
      <c r="AS62" s="2"/>
      <c r="AT62" s="2"/>
      <c r="AU62" s="2"/>
      <c r="AV62" s="2"/>
    </row>
    <row r="63" spans="1:220" x14ac:dyDescent="0.25">
      <c r="A63" s="15" t="s">
        <v>128</v>
      </c>
      <c r="B63" s="149">
        <v>0</v>
      </c>
      <c r="C63" s="149">
        <v>0</v>
      </c>
      <c r="D63" s="149">
        <v>0</v>
      </c>
      <c r="E63" s="149">
        <v>0</v>
      </c>
      <c r="F63" s="131">
        <v>0</v>
      </c>
      <c r="G63" s="131">
        <v>0</v>
      </c>
      <c r="H63" s="131">
        <v>0</v>
      </c>
      <c r="I63" s="131">
        <v>0</v>
      </c>
      <c r="J63" s="144">
        <f t="shared" si="37"/>
        <v>176</v>
      </c>
      <c r="K63" s="131">
        <v>176</v>
      </c>
      <c r="L63" s="110"/>
      <c r="M63" s="131">
        <v>0</v>
      </c>
      <c r="N63" s="131">
        <v>0</v>
      </c>
      <c r="O63" s="131">
        <v>0</v>
      </c>
      <c r="P63" s="131">
        <f t="shared" si="38"/>
        <v>0</v>
      </c>
      <c r="Q63" s="131">
        <v>0</v>
      </c>
      <c r="R63" s="149">
        <v>0</v>
      </c>
      <c r="S63" s="351">
        <f t="shared" si="41"/>
        <v>0</v>
      </c>
      <c r="T63" s="149">
        <v>0</v>
      </c>
      <c r="U63" s="351">
        <f t="shared" si="42"/>
        <v>0</v>
      </c>
      <c r="V63" s="149">
        <v>0</v>
      </c>
      <c r="W63" s="351">
        <f t="shared" si="43"/>
        <v>0</v>
      </c>
      <c r="X63" s="204">
        <f t="shared" si="39"/>
        <v>0</v>
      </c>
      <c r="Y63" s="351">
        <f t="shared" si="39"/>
        <v>0</v>
      </c>
      <c r="Z63" s="268">
        <v>0</v>
      </c>
      <c r="AA63" s="351">
        <f t="shared" si="40"/>
        <v>0</v>
      </c>
      <c r="AB63" s="263">
        <v>0</v>
      </c>
      <c r="AC63" s="263"/>
      <c r="AD63" s="2"/>
      <c r="AE63" s="2"/>
      <c r="AF63" s="2"/>
      <c r="AG63" s="2"/>
      <c r="AH63" s="2"/>
      <c r="AI63" s="2"/>
      <c r="AJ63" s="2"/>
      <c r="AK63" s="2"/>
      <c r="AL63" s="2"/>
      <c r="AM63" s="2"/>
      <c r="AN63" s="2"/>
      <c r="AO63" s="2"/>
      <c r="AP63" s="2"/>
      <c r="AQ63" s="2"/>
      <c r="AR63" s="2"/>
      <c r="AS63" s="2"/>
      <c r="AT63" s="2"/>
      <c r="AU63" s="2"/>
      <c r="AV63" s="2"/>
    </row>
    <row r="64" spans="1:220" x14ac:dyDescent="0.25">
      <c r="A64" s="15" t="s">
        <v>166</v>
      </c>
      <c r="B64" s="131">
        <v>0</v>
      </c>
      <c r="C64" s="131">
        <v>0</v>
      </c>
      <c r="D64" s="131">
        <v>0</v>
      </c>
      <c r="E64" s="131">
        <v>50000</v>
      </c>
      <c r="F64" s="149">
        <v>50000</v>
      </c>
      <c r="G64" s="149">
        <v>25000</v>
      </c>
      <c r="H64" s="149">
        <v>-15000</v>
      </c>
      <c r="I64" s="149">
        <v>0</v>
      </c>
      <c r="J64" s="144">
        <f t="shared" si="37"/>
        <v>0</v>
      </c>
      <c r="K64" s="149">
        <v>10000</v>
      </c>
      <c r="L64" s="110"/>
      <c r="M64" s="131">
        <v>0</v>
      </c>
      <c r="N64" s="131">
        <v>0</v>
      </c>
      <c r="O64" s="131">
        <v>0</v>
      </c>
      <c r="P64" s="131">
        <f t="shared" si="38"/>
        <v>0</v>
      </c>
      <c r="Q64" s="149">
        <v>0</v>
      </c>
      <c r="R64" s="149">
        <v>0</v>
      </c>
      <c r="S64" s="351">
        <f t="shared" si="41"/>
        <v>0</v>
      </c>
      <c r="T64" s="149">
        <v>0</v>
      </c>
      <c r="U64" s="351">
        <f t="shared" si="42"/>
        <v>0</v>
      </c>
      <c r="V64" s="149">
        <v>0</v>
      </c>
      <c r="W64" s="351">
        <f t="shared" si="43"/>
        <v>0</v>
      </c>
      <c r="X64" s="204">
        <f t="shared" si="39"/>
        <v>0</v>
      </c>
      <c r="Y64" s="351">
        <f t="shared" si="39"/>
        <v>0</v>
      </c>
      <c r="Z64" s="268">
        <v>0</v>
      </c>
      <c r="AA64" s="351">
        <f t="shared" si="40"/>
        <v>0</v>
      </c>
      <c r="AB64" s="263">
        <v>0</v>
      </c>
      <c r="AC64" s="263"/>
      <c r="AD64" s="2"/>
      <c r="AE64" s="2"/>
      <c r="AF64" s="2"/>
      <c r="AG64" s="2"/>
      <c r="AH64" s="2"/>
      <c r="AI64" s="2"/>
      <c r="AJ64" s="2"/>
      <c r="AK64" s="2"/>
      <c r="AL64" s="2"/>
      <c r="AM64" s="2"/>
      <c r="AN64" s="2"/>
      <c r="AO64" s="2"/>
      <c r="AP64" s="2"/>
      <c r="AQ64" s="2"/>
      <c r="AR64" s="2"/>
      <c r="AS64" s="2"/>
      <c r="AT64" s="2"/>
      <c r="AU64" s="2"/>
      <c r="AV64" s="2"/>
    </row>
    <row r="65" spans="1:48" x14ac:dyDescent="0.25">
      <c r="A65" s="15" t="s">
        <v>44</v>
      </c>
      <c r="B65" s="149">
        <v>-459</v>
      </c>
      <c r="C65" s="149">
        <v>0</v>
      </c>
      <c r="D65" s="149">
        <v>-2863</v>
      </c>
      <c r="E65" s="149">
        <v>0</v>
      </c>
      <c r="F65" s="149">
        <v>-3322</v>
      </c>
      <c r="G65" s="149">
        <v>-397</v>
      </c>
      <c r="H65" s="149">
        <v>-4708</v>
      </c>
      <c r="I65" s="149">
        <v>-7910</v>
      </c>
      <c r="J65" s="144">
        <f>K65-G65-H65-I65</f>
        <v>-1180</v>
      </c>
      <c r="K65" s="149">
        <v>-14195</v>
      </c>
      <c r="L65" s="110"/>
      <c r="M65" s="149">
        <v>-6855</v>
      </c>
      <c r="N65" s="149">
        <v>-2849</v>
      </c>
      <c r="O65" s="149">
        <v>-5465</v>
      </c>
      <c r="P65" s="149">
        <f t="shared" si="38"/>
        <v>-3034</v>
      </c>
      <c r="Q65" s="149">
        <v>-18203</v>
      </c>
      <c r="R65" s="149">
        <v>-11913</v>
      </c>
      <c r="S65" s="351">
        <f t="shared" si="41"/>
        <v>-11913</v>
      </c>
      <c r="T65" s="149">
        <v>-11419</v>
      </c>
      <c r="U65" s="351">
        <f t="shared" si="42"/>
        <v>-11419</v>
      </c>
      <c r="V65" s="149">
        <v>-9004</v>
      </c>
      <c r="W65" s="351">
        <f t="shared" si="43"/>
        <v>-9004</v>
      </c>
      <c r="X65" s="204">
        <f t="shared" si="39"/>
        <v>-11118</v>
      </c>
      <c r="Y65" s="351">
        <f t="shared" si="39"/>
        <v>-11118</v>
      </c>
      <c r="Z65" s="313">
        <v>-43454</v>
      </c>
      <c r="AA65" s="351">
        <f t="shared" si="40"/>
        <v>-43454</v>
      </c>
      <c r="AB65" s="313">
        <v>-13504</v>
      </c>
      <c r="AC65" s="313"/>
      <c r="AD65" s="2"/>
      <c r="AE65" s="2"/>
      <c r="AF65" s="2"/>
      <c r="AG65" s="2"/>
      <c r="AH65" s="2"/>
      <c r="AI65" s="2"/>
      <c r="AJ65" s="2"/>
      <c r="AK65" s="2"/>
      <c r="AL65" s="2"/>
      <c r="AM65" s="2"/>
      <c r="AN65" s="2"/>
      <c r="AO65" s="2"/>
      <c r="AP65" s="2"/>
      <c r="AQ65" s="2"/>
      <c r="AR65" s="2"/>
      <c r="AS65" s="2"/>
      <c r="AT65" s="2"/>
      <c r="AU65" s="2"/>
      <c r="AV65" s="2"/>
    </row>
    <row r="66" spans="1:48" x14ac:dyDescent="0.25">
      <c r="A66" s="55" t="s">
        <v>82</v>
      </c>
      <c r="B66" s="148">
        <f t="shared" ref="B66:G66" si="44">SUM(B52:B65)</f>
        <v>926</v>
      </c>
      <c r="C66" s="148">
        <f t="shared" si="44"/>
        <v>864</v>
      </c>
      <c r="D66" s="148">
        <f t="shared" si="44"/>
        <v>-949</v>
      </c>
      <c r="E66" s="148">
        <f t="shared" si="44"/>
        <v>52105</v>
      </c>
      <c r="F66" s="148">
        <f t="shared" si="44"/>
        <v>52946</v>
      </c>
      <c r="G66" s="148">
        <f t="shared" si="44"/>
        <v>31213</v>
      </c>
      <c r="H66" s="148">
        <f t="shared" ref="H66" si="45">SUM(H52:H65)</f>
        <v>-14384</v>
      </c>
      <c r="I66" s="148">
        <v>-7315</v>
      </c>
      <c r="J66" s="148">
        <f>SUM(J52:J65)</f>
        <v>505</v>
      </c>
      <c r="K66" s="148">
        <f t="shared" ref="K66:Q66" si="46">SUM(K52:K65)</f>
        <v>10019</v>
      </c>
      <c r="L66" s="148"/>
      <c r="M66" s="148">
        <f t="shared" si="46"/>
        <v>-9968</v>
      </c>
      <c r="N66" s="148">
        <f t="shared" si="46"/>
        <v>-20781</v>
      </c>
      <c r="O66" s="148">
        <f t="shared" si="46"/>
        <v>-3486</v>
      </c>
      <c r="P66" s="148">
        <f t="shared" si="46"/>
        <v>1509</v>
      </c>
      <c r="Q66" s="148">
        <f t="shared" si="46"/>
        <v>-32726</v>
      </c>
      <c r="R66" s="148">
        <f t="shared" ref="R66:W66" si="47">SUM(R52:R65)</f>
        <v>-11765</v>
      </c>
      <c r="S66" s="353">
        <f t="shared" si="47"/>
        <v>-11765</v>
      </c>
      <c r="T66" s="148">
        <f t="shared" si="47"/>
        <v>-9883</v>
      </c>
      <c r="U66" s="353">
        <f t="shared" si="47"/>
        <v>-9883</v>
      </c>
      <c r="V66" s="148">
        <f t="shared" si="47"/>
        <v>-6546</v>
      </c>
      <c r="W66" s="353">
        <f t="shared" si="47"/>
        <v>-6546</v>
      </c>
      <c r="X66" s="148">
        <f t="shared" ref="X66:AB66" si="48">SUM(X52:X65)</f>
        <v>7719</v>
      </c>
      <c r="Y66" s="353">
        <f t="shared" ref="Y66" si="49">SUM(Y52:Y65)</f>
        <v>7719</v>
      </c>
      <c r="Z66" s="248">
        <f t="shared" si="48"/>
        <v>-20475</v>
      </c>
      <c r="AA66" s="353">
        <f t="shared" si="48"/>
        <v>-20475</v>
      </c>
      <c r="AB66" s="248">
        <f t="shared" si="48"/>
        <v>-6151</v>
      </c>
      <c r="AC66" s="360"/>
      <c r="AD66" s="2"/>
      <c r="AE66" s="2"/>
      <c r="AF66" s="2"/>
      <c r="AG66" s="2"/>
      <c r="AH66" s="2"/>
      <c r="AI66" s="2"/>
      <c r="AJ66" s="2"/>
      <c r="AK66" s="2"/>
      <c r="AL66" s="2"/>
      <c r="AM66" s="2"/>
      <c r="AN66" s="2"/>
      <c r="AO66" s="2"/>
      <c r="AP66" s="2"/>
      <c r="AQ66" s="2"/>
      <c r="AR66" s="2"/>
      <c r="AS66" s="2"/>
      <c r="AT66" s="2"/>
      <c r="AU66" s="2"/>
      <c r="AV66" s="2"/>
    </row>
    <row r="67" spans="1:48" x14ac:dyDescent="0.25">
      <c r="A67" s="56" t="s">
        <v>83</v>
      </c>
      <c r="B67" s="147">
        <v>0</v>
      </c>
      <c r="C67" s="147">
        <v>0</v>
      </c>
      <c r="D67" s="147">
        <v>0</v>
      </c>
      <c r="E67" s="147">
        <v>0</v>
      </c>
      <c r="F67" s="147">
        <v>0</v>
      </c>
      <c r="G67" s="147">
        <v>0</v>
      </c>
      <c r="H67" s="147">
        <v>0</v>
      </c>
      <c r="I67" s="147">
        <v>0</v>
      </c>
      <c r="J67" s="147">
        <v>0</v>
      </c>
      <c r="K67" s="147">
        <v>0</v>
      </c>
      <c r="L67" s="110"/>
      <c r="M67" s="147"/>
      <c r="N67" s="147"/>
      <c r="O67" s="147"/>
      <c r="P67" s="147"/>
      <c r="Q67" s="147">
        <v>0</v>
      </c>
      <c r="R67" s="147"/>
      <c r="S67" s="357"/>
      <c r="T67" s="147"/>
      <c r="U67" s="357"/>
      <c r="V67" s="147"/>
      <c r="W67" s="357"/>
      <c r="X67" s="147"/>
      <c r="Y67" s="357"/>
      <c r="Z67" s="249"/>
      <c r="AA67" s="357"/>
      <c r="AB67" s="249"/>
      <c r="AC67" s="363"/>
      <c r="AD67" s="2"/>
      <c r="AE67" s="2"/>
      <c r="AF67" s="2"/>
      <c r="AG67" s="2"/>
      <c r="AH67" s="2"/>
      <c r="AI67" s="2"/>
      <c r="AJ67" s="2"/>
      <c r="AK67" s="2"/>
      <c r="AL67" s="2"/>
      <c r="AM67" s="2"/>
      <c r="AN67" s="2"/>
      <c r="AO67" s="2"/>
      <c r="AP67" s="2"/>
      <c r="AQ67" s="2"/>
      <c r="AR67" s="2"/>
      <c r="AS67" s="2"/>
      <c r="AT67" s="2"/>
      <c r="AU67" s="2"/>
      <c r="AV67" s="2"/>
    </row>
    <row r="68" spans="1:48" x14ac:dyDescent="0.25">
      <c r="A68" s="17" t="s">
        <v>21</v>
      </c>
      <c r="B68" s="146"/>
      <c r="C68" s="146"/>
      <c r="D68" s="146"/>
      <c r="E68" s="146"/>
      <c r="F68" s="146"/>
      <c r="G68" s="146"/>
      <c r="H68" s="146"/>
      <c r="I68" s="146"/>
      <c r="J68" s="146"/>
      <c r="K68" s="146"/>
      <c r="L68" s="110"/>
      <c r="M68" s="146"/>
      <c r="N68" s="146"/>
      <c r="O68" s="146"/>
      <c r="P68" s="146"/>
      <c r="Q68" s="146"/>
      <c r="R68" s="146"/>
      <c r="S68" s="350"/>
      <c r="T68" s="146"/>
      <c r="U68" s="350"/>
      <c r="V68" s="2"/>
      <c r="W68" s="350"/>
      <c r="X68" s="2"/>
      <c r="Y68" s="350"/>
      <c r="Z68" s="251"/>
      <c r="AA68" s="350"/>
      <c r="AB68" s="251"/>
      <c r="AC68" s="251"/>
      <c r="AD68" s="2"/>
      <c r="AE68" s="2"/>
      <c r="AF68" s="2"/>
      <c r="AG68" s="2"/>
      <c r="AH68" s="2"/>
      <c r="AI68" s="2"/>
      <c r="AJ68" s="2"/>
      <c r="AK68" s="2"/>
      <c r="AL68" s="2"/>
      <c r="AM68" s="2"/>
      <c r="AN68" s="2"/>
      <c r="AO68" s="2"/>
      <c r="AP68" s="2"/>
      <c r="AQ68" s="2"/>
      <c r="AR68" s="2"/>
      <c r="AS68" s="2"/>
      <c r="AT68" s="2"/>
      <c r="AU68" s="2"/>
      <c r="AV68" s="2"/>
    </row>
    <row r="69" spans="1:48" x14ac:dyDescent="0.25">
      <c r="A69" s="54" t="s">
        <v>78</v>
      </c>
      <c r="B69" s="145">
        <f t="shared" ref="B69:F69" si="50">SUM(B66:B67)</f>
        <v>926</v>
      </c>
      <c r="C69" s="145">
        <f t="shared" si="50"/>
        <v>864</v>
      </c>
      <c r="D69" s="145">
        <f t="shared" si="50"/>
        <v>-949</v>
      </c>
      <c r="E69" s="145">
        <f t="shared" si="50"/>
        <v>52105</v>
      </c>
      <c r="F69" s="145">
        <f t="shared" si="50"/>
        <v>52946</v>
      </c>
      <c r="G69" s="145">
        <f t="shared" ref="G69:H69" si="51">SUM(G66:G67)</f>
        <v>31213</v>
      </c>
      <c r="H69" s="145">
        <f t="shared" si="51"/>
        <v>-14384</v>
      </c>
      <c r="I69" s="145">
        <v>-7315</v>
      </c>
      <c r="J69" s="145">
        <f>SUM(J66:J67)</f>
        <v>505</v>
      </c>
      <c r="K69" s="145">
        <f t="shared" ref="K69:Q69" si="52">SUM(K66:K67)</f>
        <v>10019</v>
      </c>
      <c r="L69" s="145"/>
      <c r="M69" s="145">
        <f t="shared" si="52"/>
        <v>-9968</v>
      </c>
      <c r="N69" s="145">
        <f t="shared" si="52"/>
        <v>-20781</v>
      </c>
      <c r="O69" s="145">
        <f t="shared" si="52"/>
        <v>-3486</v>
      </c>
      <c r="P69" s="145">
        <f t="shared" si="52"/>
        <v>1509</v>
      </c>
      <c r="Q69" s="145">
        <f t="shared" si="52"/>
        <v>-32726</v>
      </c>
      <c r="R69" s="145">
        <f t="shared" ref="R69:X69" si="53">SUM(R66:R67)</f>
        <v>-11765</v>
      </c>
      <c r="S69" s="355">
        <f t="shared" si="53"/>
        <v>-11765</v>
      </c>
      <c r="T69" s="145">
        <f t="shared" si="53"/>
        <v>-9883</v>
      </c>
      <c r="U69" s="355">
        <f t="shared" si="53"/>
        <v>-9883</v>
      </c>
      <c r="V69" s="145">
        <f t="shared" si="53"/>
        <v>-6546</v>
      </c>
      <c r="W69" s="355">
        <f t="shared" si="53"/>
        <v>-6546</v>
      </c>
      <c r="X69" s="145">
        <f t="shared" si="53"/>
        <v>7719</v>
      </c>
      <c r="Y69" s="355">
        <f t="shared" ref="Y69" si="54">SUM(Y66:Y67)</f>
        <v>7719</v>
      </c>
      <c r="Z69" s="250">
        <f t="shared" ref="Z69:AB69" si="55">SUM(Z66:Z67)</f>
        <v>-20475</v>
      </c>
      <c r="AA69" s="355">
        <f t="shared" si="55"/>
        <v>-20475</v>
      </c>
      <c r="AB69" s="250">
        <f t="shared" si="55"/>
        <v>-6151</v>
      </c>
      <c r="AC69" s="362"/>
      <c r="AD69" s="2"/>
      <c r="AE69" s="2"/>
      <c r="AF69" s="2"/>
      <c r="AG69" s="2"/>
      <c r="AH69" s="2"/>
      <c r="AI69" s="2"/>
      <c r="AJ69" s="2"/>
      <c r="AK69" s="2"/>
      <c r="AL69" s="2"/>
      <c r="AM69" s="2"/>
      <c r="AN69" s="2"/>
      <c r="AO69" s="2"/>
      <c r="AP69" s="2"/>
      <c r="AQ69" s="2"/>
      <c r="AR69" s="2"/>
      <c r="AS69" s="2"/>
      <c r="AT69" s="2"/>
      <c r="AU69" s="2"/>
      <c r="AV69" s="2"/>
    </row>
    <row r="70" spans="1:48" x14ac:dyDescent="0.25">
      <c r="A70" s="16"/>
      <c r="L70" s="110"/>
      <c r="S70" s="349"/>
      <c r="T70" s="110"/>
      <c r="U70" s="349"/>
      <c r="V70" s="2"/>
      <c r="W70" s="349"/>
      <c r="X70" s="2"/>
      <c r="Y70" s="349"/>
      <c r="Z70" s="251"/>
      <c r="AA70" s="349"/>
      <c r="AB70" s="251"/>
      <c r="AC70" s="251"/>
      <c r="AD70" s="2"/>
      <c r="AE70" s="2"/>
      <c r="AF70" s="2"/>
      <c r="AG70" s="2"/>
      <c r="AH70" s="2"/>
      <c r="AI70" s="2"/>
      <c r="AJ70" s="2"/>
      <c r="AK70" s="2"/>
      <c r="AL70" s="2"/>
      <c r="AM70" s="2"/>
      <c r="AN70" s="2"/>
      <c r="AO70" s="2"/>
      <c r="AP70" s="2"/>
      <c r="AQ70" s="2"/>
      <c r="AR70" s="2"/>
      <c r="AS70" s="2"/>
      <c r="AT70" s="2"/>
      <c r="AU70" s="2"/>
      <c r="AV70" s="2"/>
    </row>
    <row r="71" spans="1:48" x14ac:dyDescent="0.25">
      <c r="A71" s="16" t="s">
        <v>57</v>
      </c>
      <c r="B71" s="144">
        <v>1420</v>
      </c>
      <c r="C71" s="144">
        <v>-46</v>
      </c>
      <c r="D71" s="144">
        <v>-2536</v>
      </c>
      <c r="E71" s="171">
        <v>-1747</v>
      </c>
      <c r="F71" s="144">
        <v>-2909</v>
      </c>
      <c r="G71" s="144">
        <v>-350</v>
      </c>
      <c r="H71" s="144">
        <v>-982</v>
      </c>
      <c r="I71" s="144">
        <v>-2656</v>
      </c>
      <c r="J71" s="144">
        <f t="shared" ref="J71" si="56">K71-G71-H71-I71</f>
        <v>-358</v>
      </c>
      <c r="K71" s="144">
        <v>-4346</v>
      </c>
      <c r="L71" s="110"/>
      <c r="M71" s="144">
        <v>640</v>
      </c>
      <c r="N71" s="144">
        <v>-3048</v>
      </c>
      <c r="O71" s="144">
        <v>-106</v>
      </c>
      <c r="P71" s="144">
        <f>Q71-M71-N71-O71</f>
        <v>-2519</v>
      </c>
      <c r="Q71" s="144">
        <v>-5033</v>
      </c>
      <c r="R71" s="144">
        <v>309</v>
      </c>
      <c r="S71" s="352">
        <v>469</v>
      </c>
      <c r="T71" s="110">
        <v>1091</v>
      </c>
      <c r="U71" s="352">
        <v>1110</v>
      </c>
      <c r="V71" s="110">
        <v>262</v>
      </c>
      <c r="W71" s="352">
        <v>224</v>
      </c>
      <c r="X71" s="110">
        <f t="shared" ref="X71:Y71" si="57">+Z71-SUM(R71,T71,V71)</f>
        <v>2049</v>
      </c>
      <c r="Y71" s="352">
        <f t="shared" si="57"/>
        <v>2132</v>
      </c>
      <c r="Z71" s="252">
        <v>3711</v>
      </c>
      <c r="AA71" s="352">
        <v>3935</v>
      </c>
      <c r="AB71" s="252">
        <v>-644</v>
      </c>
      <c r="AC71" s="252"/>
      <c r="AD71" s="2"/>
      <c r="AE71" s="2"/>
      <c r="AF71" s="2"/>
      <c r="AG71" s="2"/>
      <c r="AH71" s="2"/>
      <c r="AI71" s="2"/>
      <c r="AJ71" s="2"/>
      <c r="AK71" s="2"/>
      <c r="AL71" s="2"/>
      <c r="AM71" s="2"/>
      <c r="AN71" s="2"/>
      <c r="AO71" s="2"/>
      <c r="AP71" s="2"/>
      <c r="AQ71" s="2"/>
      <c r="AR71" s="2"/>
      <c r="AS71" s="2"/>
      <c r="AT71" s="2"/>
      <c r="AU71" s="2"/>
      <c r="AV71" s="2"/>
    </row>
    <row r="72" spans="1:48" x14ac:dyDescent="0.25">
      <c r="A72" s="17" t="s">
        <v>21</v>
      </c>
      <c r="L72" s="110"/>
      <c r="S72" s="349"/>
      <c r="T72" s="110"/>
      <c r="U72" s="349"/>
      <c r="V72" s="2"/>
      <c r="W72" s="349"/>
      <c r="X72" s="2"/>
      <c r="Y72" s="349"/>
      <c r="Z72" s="251"/>
      <c r="AA72" s="349"/>
      <c r="AB72" s="251"/>
      <c r="AC72" s="251"/>
      <c r="AD72" s="2"/>
      <c r="AE72" s="2"/>
      <c r="AF72" s="2"/>
      <c r="AG72" s="2"/>
      <c r="AH72" s="2"/>
      <c r="AI72" s="2"/>
      <c r="AJ72" s="2"/>
      <c r="AK72" s="2"/>
      <c r="AL72" s="2"/>
      <c r="AM72" s="2"/>
      <c r="AN72" s="2"/>
      <c r="AO72" s="2"/>
      <c r="AP72" s="2"/>
      <c r="AQ72" s="2"/>
      <c r="AR72" s="2"/>
      <c r="AS72" s="2"/>
      <c r="AT72" s="2"/>
      <c r="AU72" s="2"/>
      <c r="AV72" s="2"/>
    </row>
    <row r="73" spans="1:48" x14ac:dyDescent="0.25">
      <c r="A73" s="13" t="s">
        <v>121</v>
      </c>
      <c r="B73" s="143">
        <v>-4373</v>
      </c>
      <c r="C73" s="143">
        <v>17244</v>
      </c>
      <c r="D73" s="143">
        <v>491</v>
      </c>
      <c r="E73" s="143">
        <v>15072</v>
      </c>
      <c r="F73" s="143">
        <f>F69+F49+F38+F71</f>
        <v>28434</v>
      </c>
      <c r="G73" s="143">
        <f>G69+G49+G38+G71</f>
        <v>-25180.181858416716</v>
      </c>
      <c r="H73" s="143">
        <f>H69+H49+H38+H71</f>
        <v>-56667.818141583281</v>
      </c>
      <c r="I73" s="143">
        <v>-3995</v>
      </c>
      <c r="J73" s="143">
        <f>J69+J49+J38+J71</f>
        <v>114667</v>
      </c>
      <c r="K73" s="143">
        <f>K69+K49+K38+K71</f>
        <v>28824</v>
      </c>
      <c r="L73" s="143"/>
      <c r="M73" s="143">
        <f t="shared" ref="M73:AB73" si="58">M69+M49+M38+M71</f>
        <v>-109549</v>
      </c>
      <c r="N73" s="143">
        <f t="shared" si="58"/>
        <v>-2661</v>
      </c>
      <c r="O73" s="143">
        <f t="shared" si="58"/>
        <v>5261</v>
      </c>
      <c r="P73" s="143">
        <f t="shared" si="58"/>
        <v>114781</v>
      </c>
      <c r="Q73" s="143">
        <f t="shared" si="58"/>
        <v>7832</v>
      </c>
      <c r="R73" s="146">
        <f t="shared" si="58"/>
        <v>-121454.38246057143</v>
      </c>
      <c r="S73" s="350">
        <f t="shared" si="58"/>
        <v>-122345.83199999999</v>
      </c>
      <c r="T73" s="146">
        <f t="shared" si="58"/>
        <v>-2285.5344994285697</v>
      </c>
      <c r="U73" s="350">
        <f t="shared" ref="U73" si="59">U69+U49+U38+U71</f>
        <v>-3044.5344994285697</v>
      </c>
      <c r="V73" s="146">
        <f t="shared" si="58"/>
        <v>-1748.9707400000043</v>
      </c>
      <c r="W73" s="350">
        <f t="shared" ref="W73" si="60">W69+W49+W38+W71</f>
        <v>-1715.9707400000043</v>
      </c>
      <c r="X73" s="146">
        <f t="shared" si="58"/>
        <v>-870.11230000000069</v>
      </c>
      <c r="Y73" s="350">
        <f t="shared" ref="Y73" si="61">Y69+Y49+Y38+Y71</f>
        <v>989.33723942856886</v>
      </c>
      <c r="Z73" s="253">
        <f t="shared" si="58"/>
        <v>-126360</v>
      </c>
      <c r="AA73" s="350">
        <f t="shared" ref="AA73" si="62">AA69+AA49+AA38+AA71</f>
        <v>-126117</v>
      </c>
      <c r="AB73" s="253">
        <f t="shared" si="58"/>
        <v>-17811.67664694495</v>
      </c>
      <c r="AC73" s="253"/>
      <c r="AD73" s="2"/>
      <c r="AE73" s="2"/>
      <c r="AF73" s="2"/>
      <c r="AG73" s="2"/>
      <c r="AH73" s="2"/>
      <c r="AI73" s="2"/>
      <c r="AJ73" s="2"/>
      <c r="AK73" s="2"/>
      <c r="AL73" s="2"/>
      <c r="AM73" s="2"/>
      <c r="AN73" s="2"/>
      <c r="AO73" s="2"/>
      <c r="AP73" s="2"/>
      <c r="AQ73" s="2"/>
      <c r="AR73" s="2"/>
      <c r="AS73" s="2"/>
      <c r="AT73" s="2"/>
      <c r="AU73" s="2"/>
      <c r="AV73" s="2"/>
    </row>
    <row r="74" spans="1:48" x14ac:dyDescent="0.25">
      <c r="A74" s="37" t="s">
        <v>122</v>
      </c>
      <c r="B74" s="131">
        <v>148065.14944958445</v>
      </c>
      <c r="C74" s="131">
        <v>143692.14944958445</v>
      </c>
      <c r="D74" s="131">
        <v>160936.14944958445</v>
      </c>
      <c r="E74" s="131">
        <v>161427.14944958445</v>
      </c>
      <c r="F74" s="131">
        <v>148065.14944958445</v>
      </c>
      <c r="G74" s="131">
        <f>ROUND($F$76,0)</f>
        <v>176499</v>
      </c>
      <c r="H74" s="131">
        <f>G76</f>
        <v>151318.8181415833</v>
      </c>
      <c r="I74" s="131">
        <v>94651.000000000015</v>
      </c>
      <c r="J74" s="144">
        <f>I76</f>
        <v>90656.000000000015</v>
      </c>
      <c r="K74" s="131">
        <f>F76</f>
        <v>176499.14944958445</v>
      </c>
      <c r="L74" s="110"/>
      <c r="M74" s="131">
        <f>K76</f>
        <v>205323.14944958445</v>
      </c>
      <c r="N74" s="131">
        <f>M76</f>
        <v>95774.149449584453</v>
      </c>
      <c r="O74" s="131">
        <v>93113.149449584453</v>
      </c>
      <c r="P74" s="131">
        <f>O76</f>
        <v>98374.149449584453</v>
      </c>
      <c r="Q74" s="131">
        <f>K76</f>
        <v>205323.14944958445</v>
      </c>
      <c r="R74" s="149">
        <f>P76</f>
        <v>213155.14944958445</v>
      </c>
      <c r="S74" s="351">
        <v>220394</v>
      </c>
      <c r="T74" s="149">
        <f t="shared" ref="T74:Y74" si="63">+R76</f>
        <v>91699.76698901302</v>
      </c>
      <c r="U74" s="351">
        <f t="shared" si="63"/>
        <v>98048.168000000005</v>
      </c>
      <c r="V74" s="149">
        <f t="shared" si="63"/>
        <v>89414.23248958445</v>
      </c>
      <c r="W74" s="351">
        <f t="shared" si="63"/>
        <v>95003.633500571435</v>
      </c>
      <c r="X74" s="197">
        <f t="shared" si="63"/>
        <v>87665.261749584446</v>
      </c>
      <c r="Y74" s="351">
        <f t="shared" si="63"/>
        <v>93287.662760571431</v>
      </c>
      <c r="Z74" s="254">
        <f>+Q76</f>
        <v>213155.14944958445</v>
      </c>
      <c r="AA74" s="351">
        <f>+S74</f>
        <v>220394</v>
      </c>
      <c r="AB74" s="254">
        <f>AA76</f>
        <v>94277</v>
      </c>
      <c r="AC74" s="254"/>
      <c r="AD74" s="2"/>
      <c r="AE74" s="2"/>
      <c r="AF74" s="2"/>
      <c r="AG74" s="2"/>
      <c r="AH74" s="2"/>
      <c r="AI74" s="2"/>
      <c r="AJ74" s="2"/>
      <c r="AK74" s="2"/>
      <c r="AL74" s="2"/>
      <c r="AM74" s="2"/>
      <c r="AN74" s="2"/>
      <c r="AO74" s="2"/>
      <c r="AP74" s="2"/>
      <c r="AQ74" s="2"/>
      <c r="AR74" s="2"/>
      <c r="AS74" s="2"/>
      <c r="AT74" s="2"/>
      <c r="AU74" s="2"/>
      <c r="AV74" s="2"/>
    </row>
    <row r="75" spans="1:48" hidden="1" x14ac:dyDescent="0.25">
      <c r="A75" s="37" t="s">
        <v>168</v>
      </c>
      <c r="B75" s="131"/>
      <c r="C75" s="131"/>
      <c r="D75" s="131"/>
      <c r="E75" s="131"/>
      <c r="F75" s="131"/>
      <c r="G75" s="131"/>
      <c r="H75" s="131"/>
      <c r="I75" s="131"/>
      <c r="J75" s="144"/>
      <c r="K75" s="131"/>
      <c r="L75" s="110"/>
      <c r="M75" s="131"/>
      <c r="N75" s="131"/>
      <c r="O75" s="131"/>
      <c r="P75" s="131"/>
      <c r="Q75" s="131"/>
      <c r="R75" s="149"/>
      <c r="S75" s="351"/>
      <c r="T75" s="149"/>
      <c r="U75" s="351"/>
      <c r="V75" s="2"/>
      <c r="W75" s="351"/>
      <c r="X75" s="2"/>
      <c r="Y75" s="351"/>
      <c r="Z75" s="251"/>
      <c r="AA75" s="351"/>
      <c r="AB75" s="251"/>
      <c r="AC75" s="251"/>
      <c r="AD75" s="2"/>
      <c r="AE75" s="2"/>
      <c r="AF75" s="2"/>
      <c r="AG75" s="2"/>
      <c r="AH75" s="2"/>
      <c r="AI75" s="2"/>
      <c r="AJ75" s="2"/>
      <c r="AK75" s="2"/>
      <c r="AL75" s="2"/>
      <c r="AM75" s="2"/>
      <c r="AN75" s="2"/>
      <c r="AO75" s="2"/>
      <c r="AP75" s="2"/>
      <c r="AQ75" s="2"/>
      <c r="AR75" s="2"/>
      <c r="AS75" s="2"/>
      <c r="AT75" s="2"/>
      <c r="AU75" s="2"/>
      <c r="AV75" s="2"/>
    </row>
    <row r="76" spans="1:48" x14ac:dyDescent="0.25">
      <c r="A76" s="37" t="s">
        <v>45</v>
      </c>
      <c r="B76" s="131">
        <v>143692.14944958445</v>
      </c>
      <c r="C76" s="131">
        <v>160936.14944958445</v>
      </c>
      <c r="D76" s="131">
        <v>161427.14944958445</v>
      </c>
      <c r="E76" s="131">
        <v>176499.14944958445</v>
      </c>
      <c r="F76" s="131">
        <f t="shared" ref="F76" si="64">SUM(F73:F74)</f>
        <v>176499.14944958445</v>
      </c>
      <c r="G76" s="131">
        <f>SUM(G73:G74)</f>
        <v>151318.8181415833</v>
      </c>
      <c r="H76" s="131">
        <f>SUM(H73:H74)</f>
        <v>94651.000000000015</v>
      </c>
      <c r="I76" s="131">
        <v>90656.000000000015</v>
      </c>
      <c r="J76" s="131">
        <f>SUM(J73:J75)</f>
        <v>205323</v>
      </c>
      <c r="K76" s="131">
        <f>SUM(K73:K75)</f>
        <v>205323.14944958445</v>
      </c>
      <c r="L76" s="131"/>
      <c r="M76" s="131">
        <f t="shared" ref="M76:Q76" si="65">SUM(M73:M75)</f>
        <v>95774.149449584453</v>
      </c>
      <c r="N76" s="131">
        <f t="shared" si="65"/>
        <v>93113.149449584453</v>
      </c>
      <c r="O76" s="131">
        <f t="shared" si="65"/>
        <v>98374.149449584453</v>
      </c>
      <c r="P76" s="131">
        <f t="shared" si="65"/>
        <v>213155.14944958445</v>
      </c>
      <c r="Q76" s="131">
        <f t="shared" si="65"/>
        <v>213155.14944958445</v>
      </c>
      <c r="R76" s="149">
        <f>SUM(R73:R75)-1</f>
        <v>91699.76698901302</v>
      </c>
      <c r="S76" s="351">
        <f t="shared" ref="S76:AB76" si="66">SUM(S73:S75)</f>
        <v>98048.168000000005</v>
      </c>
      <c r="T76" s="149">
        <f t="shared" si="66"/>
        <v>89414.23248958445</v>
      </c>
      <c r="U76" s="351">
        <f t="shared" si="66"/>
        <v>95003.633500571435</v>
      </c>
      <c r="V76" s="149">
        <f t="shared" si="66"/>
        <v>87665.261749584446</v>
      </c>
      <c r="W76" s="351">
        <f t="shared" si="66"/>
        <v>93287.662760571431</v>
      </c>
      <c r="X76" s="149">
        <f t="shared" si="66"/>
        <v>86795.149449584453</v>
      </c>
      <c r="Y76" s="351">
        <f t="shared" si="66"/>
        <v>94277</v>
      </c>
      <c r="Z76" s="255">
        <f t="shared" si="66"/>
        <v>86795.149449584453</v>
      </c>
      <c r="AA76" s="351">
        <f t="shared" si="66"/>
        <v>94277</v>
      </c>
      <c r="AB76" s="255">
        <f t="shared" si="66"/>
        <v>76465.32335305505</v>
      </c>
      <c r="AC76" s="255"/>
      <c r="AD76" s="2"/>
      <c r="AE76" s="2"/>
      <c r="AF76" s="2"/>
      <c r="AG76" s="2"/>
      <c r="AH76" s="2"/>
      <c r="AI76" s="2"/>
      <c r="AJ76" s="2"/>
      <c r="AK76" s="2"/>
      <c r="AL76" s="2"/>
      <c r="AM76" s="2"/>
      <c r="AN76" s="2"/>
      <c r="AO76" s="2"/>
      <c r="AP76" s="2"/>
      <c r="AQ76" s="2"/>
      <c r="AR76" s="2"/>
      <c r="AS76" s="2"/>
      <c r="AT76" s="2"/>
      <c r="AU76" s="2"/>
      <c r="AV76" s="2"/>
    </row>
    <row r="77" spans="1:48" x14ac:dyDescent="0.25">
      <c r="A77" s="16" t="s">
        <v>123</v>
      </c>
      <c r="B77" s="131">
        <v>0</v>
      </c>
      <c r="C77" s="131">
        <v>0</v>
      </c>
      <c r="D77" s="131">
        <v>0</v>
      </c>
      <c r="E77" s="131">
        <v>0</v>
      </c>
      <c r="F77" s="260">
        <v>0</v>
      </c>
      <c r="G77" s="260">
        <v>0</v>
      </c>
      <c r="H77" s="260">
        <v>0</v>
      </c>
      <c r="I77" s="260">
        <v>0</v>
      </c>
      <c r="J77" s="260">
        <v>0</v>
      </c>
      <c r="K77" s="260">
        <v>0</v>
      </c>
      <c r="L77" s="267"/>
      <c r="M77" s="260">
        <v>0</v>
      </c>
      <c r="N77" s="260">
        <v>0</v>
      </c>
      <c r="O77" s="260">
        <v>0</v>
      </c>
      <c r="P77" s="260">
        <v>0</v>
      </c>
      <c r="Q77" s="260">
        <v>0</v>
      </c>
      <c r="R77" s="33">
        <v>0</v>
      </c>
      <c r="S77" s="288"/>
      <c r="T77" s="33">
        <v>0</v>
      </c>
      <c r="U77" s="288">
        <v>0</v>
      </c>
      <c r="V77" s="33">
        <v>0</v>
      </c>
      <c r="W77" s="288">
        <v>0</v>
      </c>
      <c r="X77" s="33">
        <v>0</v>
      </c>
      <c r="Y77" s="288">
        <v>0</v>
      </c>
      <c r="Z77" s="269">
        <v>0</v>
      </c>
      <c r="AA77" s="288">
        <v>0</v>
      </c>
      <c r="AB77" s="269">
        <v>0</v>
      </c>
      <c r="AC77" s="269"/>
      <c r="AD77" s="2"/>
      <c r="AE77" s="2"/>
      <c r="AF77" s="2"/>
      <c r="AG77" s="2"/>
      <c r="AH77" s="2"/>
      <c r="AI77" s="2"/>
      <c r="AJ77" s="2"/>
      <c r="AK77" s="2"/>
      <c r="AL77" s="2"/>
      <c r="AM77" s="2"/>
      <c r="AN77" s="2"/>
      <c r="AO77" s="2"/>
      <c r="AP77" s="2"/>
      <c r="AQ77" s="2"/>
      <c r="AR77" s="2"/>
      <c r="AS77" s="2"/>
      <c r="AT77" s="2"/>
      <c r="AU77" s="2"/>
      <c r="AV77" s="2"/>
    </row>
    <row r="78" spans="1:48" x14ac:dyDescent="0.25">
      <c r="A78" s="54" t="s">
        <v>79</v>
      </c>
      <c r="B78" s="125">
        <f t="shared" ref="B78:F78" si="67">SUM(B76:B77)</f>
        <v>143692.14944958445</v>
      </c>
      <c r="C78" s="125">
        <f t="shared" si="67"/>
        <v>160936.14944958445</v>
      </c>
      <c r="D78" s="125">
        <f t="shared" si="67"/>
        <v>161427.14944958445</v>
      </c>
      <c r="E78" s="125">
        <f t="shared" si="67"/>
        <v>176499.14944958445</v>
      </c>
      <c r="F78" s="125">
        <f t="shared" si="67"/>
        <v>176499.14944958445</v>
      </c>
      <c r="G78" s="125">
        <f t="shared" ref="G78:H78" si="68">SUM(G76:G77)</f>
        <v>151318.8181415833</v>
      </c>
      <c r="H78" s="125">
        <f t="shared" si="68"/>
        <v>94651.000000000015</v>
      </c>
      <c r="I78" s="125">
        <v>90656.000000000015</v>
      </c>
      <c r="J78" s="125">
        <f t="shared" ref="J78:P78" si="69">SUM(J76:J77)</f>
        <v>205323</v>
      </c>
      <c r="K78" s="125">
        <f t="shared" si="69"/>
        <v>205323.14944958445</v>
      </c>
      <c r="L78" s="110"/>
      <c r="M78" s="125">
        <f t="shared" si="69"/>
        <v>95774.149449584453</v>
      </c>
      <c r="N78" s="125">
        <f t="shared" si="69"/>
        <v>93113.149449584453</v>
      </c>
      <c r="O78" s="125">
        <f t="shared" si="69"/>
        <v>98374.149449584453</v>
      </c>
      <c r="P78" s="125">
        <f t="shared" si="69"/>
        <v>213155.14944958445</v>
      </c>
      <c r="Q78" s="125">
        <f>SUM(Q76:Q77)</f>
        <v>213155.14944958445</v>
      </c>
      <c r="R78" s="145">
        <f t="shared" ref="R78:AB78" si="70">SUM(R76:R77)</f>
        <v>91699.76698901302</v>
      </c>
      <c r="S78" s="355">
        <f t="shared" si="70"/>
        <v>98048.168000000005</v>
      </c>
      <c r="T78" s="145">
        <f t="shared" si="70"/>
        <v>89414.23248958445</v>
      </c>
      <c r="U78" s="355">
        <f t="shared" ref="U78" si="71">SUM(U76:U77)</f>
        <v>95003.633500571435</v>
      </c>
      <c r="V78" s="145">
        <f t="shared" si="70"/>
        <v>87665.261749584446</v>
      </c>
      <c r="W78" s="355">
        <f t="shared" ref="W78" si="72">SUM(W76:W77)</f>
        <v>93287.662760571431</v>
      </c>
      <c r="X78" s="145">
        <f t="shared" si="70"/>
        <v>86795.149449584453</v>
      </c>
      <c r="Y78" s="355">
        <f t="shared" ref="Y78" si="73">SUM(Y76:Y77)</f>
        <v>94277</v>
      </c>
      <c r="Z78" s="250">
        <f t="shared" si="70"/>
        <v>86795.149449584453</v>
      </c>
      <c r="AA78" s="355">
        <f t="shared" ref="AA78" si="74">SUM(AA76:AA77)</f>
        <v>94277</v>
      </c>
      <c r="AB78" s="250">
        <f t="shared" si="70"/>
        <v>76465.32335305505</v>
      </c>
      <c r="AC78" s="362"/>
      <c r="AD78" s="2"/>
      <c r="AE78" s="2"/>
      <c r="AF78" s="2"/>
      <c r="AG78" s="2"/>
      <c r="AH78" s="2"/>
      <c r="AI78" s="2"/>
      <c r="AJ78" s="2"/>
      <c r="AK78" s="2"/>
      <c r="AL78" s="2"/>
      <c r="AM78" s="2"/>
      <c r="AN78" s="2"/>
      <c r="AO78" s="2"/>
      <c r="AP78" s="2"/>
      <c r="AQ78" s="2"/>
      <c r="AR78" s="2"/>
      <c r="AS78" s="2"/>
      <c r="AT78" s="2"/>
      <c r="AU78" s="2"/>
      <c r="AV78" s="2"/>
    </row>
    <row r="79" spans="1:48" hidden="1" x14ac:dyDescent="0.25">
      <c r="A79" s="16"/>
      <c r="B79" s="110"/>
      <c r="C79" s="110"/>
      <c r="D79" s="110"/>
      <c r="E79" s="110"/>
      <c r="F79" s="110"/>
      <c r="G79" s="110"/>
      <c r="H79" s="110"/>
      <c r="I79" s="110"/>
      <c r="J79" s="110"/>
      <c r="K79" s="110"/>
      <c r="L79" s="2"/>
      <c r="M79" s="110"/>
      <c r="N79" s="110"/>
      <c r="O79" s="110"/>
      <c r="P79" s="110"/>
      <c r="Q79" s="110"/>
      <c r="R79" s="190"/>
      <c r="S79" s="190"/>
      <c r="T79" s="110"/>
      <c r="U79" s="110"/>
      <c r="V79" s="2"/>
      <c r="W79" s="2"/>
      <c r="X79" s="2"/>
      <c r="Y79" s="2"/>
      <c r="Z79" s="251"/>
      <c r="AA79" s="251"/>
      <c r="AB79" s="251"/>
      <c r="AC79" s="251"/>
      <c r="AD79" s="2"/>
      <c r="AE79" s="2"/>
      <c r="AF79" s="2"/>
      <c r="AG79" s="2"/>
      <c r="AH79" s="2"/>
      <c r="AI79" s="2"/>
      <c r="AJ79" s="2"/>
      <c r="AK79" s="2"/>
      <c r="AL79" s="2"/>
      <c r="AM79" s="2"/>
      <c r="AN79" s="2"/>
      <c r="AO79" s="2"/>
      <c r="AP79" s="2"/>
      <c r="AQ79" s="2"/>
      <c r="AR79" s="2"/>
      <c r="AS79" s="2"/>
      <c r="AT79" s="2"/>
      <c r="AU79" s="2"/>
      <c r="AV79" s="2"/>
    </row>
    <row r="80" spans="1:48" hidden="1" x14ac:dyDescent="0.25">
      <c r="B80" s="110"/>
      <c r="C80" s="110"/>
      <c r="D80" s="110"/>
      <c r="E80" s="110"/>
      <c r="F80" s="110"/>
      <c r="G80" s="110"/>
      <c r="H80" s="110"/>
      <c r="I80" s="110"/>
      <c r="J80" s="110"/>
      <c r="K80" s="110"/>
      <c r="L80" s="2"/>
      <c r="M80" s="110"/>
      <c r="N80" s="110">
        <v>0.1494495844526682</v>
      </c>
      <c r="O80" s="110">
        <v>0.1494495844526682</v>
      </c>
      <c r="P80" s="110">
        <v>0.1494495844526682</v>
      </c>
      <c r="Q80" s="110"/>
      <c r="R80" s="190"/>
      <c r="S80" s="190"/>
      <c r="T80" s="110"/>
      <c r="U80" s="110"/>
      <c r="V80" s="2"/>
      <c r="W80" s="2"/>
      <c r="X80" s="2"/>
      <c r="Y80" s="2"/>
      <c r="Z80" s="251"/>
      <c r="AA80" s="251"/>
      <c r="AB80" s="251"/>
      <c r="AC80" s="251"/>
      <c r="AD80" s="2"/>
      <c r="AE80" s="2"/>
      <c r="AF80" s="2"/>
      <c r="AG80" s="2"/>
      <c r="AH80" s="2"/>
      <c r="AI80" s="2"/>
      <c r="AJ80" s="2"/>
      <c r="AK80" s="2"/>
      <c r="AL80" s="2"/>
      <c r="AM80" s="2"/>
      <c r="AN80" s="2"/>
      <c r="AO80" s="2"/>
      <c r="AP80" s="2"/>
      <c r="AQ80" s="2"/>
      <c r="AR80" s="2"/>
      <c r="AS80" s="2"/>
      <c r="AT80" s="2"/>
      <c r="AU80" s="2"/>
      <c r="AV80" s="2"/>
    </row>
    <row r="81" spans="1:48" x14ac:dyDescent="0.25">
      <c r="A81" s="2" t="s">
        <v>245</v>
      </c>
      <c r="H81" s="110"/>
      <c r="I81" s="110"/>
      <c r="K81" s="110"/>
      <c r="M81" s="110"/>
      <c r="N81" s="110"/>
      <c r="O81" s="110"/>
      <c r="P81" s="110"/>
      <c r="Q81" s="110"/>
      <c r="R81" s="190"/>
      <c r="S81" s="190"/>
      <c r="T81" s="110"/>
      <c r="U81" s="110"/>
    </row>
    <row r="82" spans="1:48" x14ac:dyDescent="0.25">
      <c r="L82" s="2"/>
      <c r="Q82" s="110"/>
      <c r="T82" s="110"/>
      <c r="U82" s="110"/>
      <c r="V82" s="2"/>
      <c r="W82" s="2"/>
      <c r="X82" s="2"/>
      <c r="Y82" s="2"/>
      <c r="Z82" s="251"/>
      <c r="AA82" s="251"/>
      <c r="AB82" s="251"/>
      <c r="AC82" s="251"/>
      <c r="AD82" s="2"/>
      <c r="AE82" s="2"/>
      <c r="AF82" s="2"/>
      <c r="AG82" s="2"/>
      <c r="AH82" s="2"/>
      <c r="AI82" s="2"/>
      <c r="AJ82" s="2"/>
      <c r="AK82" s="2"/>
      <c r="AL82" s="2"/>
      <c r="AM82" s="2"/>
      <c r="AN82" s="2"/>
      <c r="AO82" s="2"/>
      <c r="AP82" s="2"/>
      <c r="AQ82" s="2"/>
      <c r="AR82" s="2"/>
      <c r="AS82" s="2"/>
      <c r="AT82" s="2"/>
      <c r="AU82" s="2"/>
      <c r="AV82" s="2"/>
    </row>
    <row r="83" spans="1:48" x14ac:dyDescent="0.25">
      <c r="T83" s="110"/>
      <c r="U83" s="110"/>
    </row>
    <row r="84" spans="1:48" x14ac:dyDescent="0.25">
      <c r="T84" s="110"/>
      <c r="U84" s="110"/>
    </row>
    <row r="85" spans="1:48" x14ac:dyDescent="0.25">
      <c r="T85" s="110"/>
      <c r="U85" s="110"/>
    </row>
    <row r="86" spans="1:48" x14ac:dyDescent="0.25">
      <c r="T86" s="110"/>
      <c r="U86" s="110"/>
    </row>
    <row r="87" spans="1:48" x14ac:dyDescent="0.25">
      <c r="T87" s="110"/>
      <c r="U87" s="110"/>
    </row>
    <row r="88" spans="1:48" x14ac:dyDescent="0.25">
      <c r="T88" s="110"/>
      <c r="U88" s="110"/>
    </row>
    <row r="89" spans="1:48" x14ac:dyDescent="0.25">
      <c r="T89" s="110"/>
      <c r="U89" s="110"/>
    </row>
    <row r="90" spans="1:48" x14ac:dyDescent="0.25">
      <c r="T90" s="110"/>
      <c r="U90" s="110"/>
    </row>
    <row r="91" spans="1:48" x14ac:dyDescent="0.25">
      <c r="T91" s="110"/>
      <c r="U91" s="110"/>
    </row>
    <row r="92" spans="1:48" x14ac:dyDescent="0.25">
      <c r="T92" s="110"/>
      <c r="U92" s="110"/>
    </row>
    <row r="93" spans="1:48" x14ac:dyDescent="0.25">
      <c r="T93" s="110"/>
      <c r="U93" s="110"/>
    </row>
    <row r="94" spans="1:48" x14ac:dyDescent="0.25">
      <c r="T94" s="110"/>
      <c r="U94" s="110"/>
    </row>
  </sheetData>
  <phoneticPr fontId="17" type="noConversion"/>
  <pageMargins left="0.38" right="0.36" top="0.39" bottom="0.46" header="0.3" footer="0.3"/>
  <pageSetup paperSize="5" scale="4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05"/>
  <sheetViews>
    <sheetView showGridLines="0" view="pageBreakPreview" zoomScale="60" zoomScaleNormal="80" workbookViewId="0">
      <pane xSplit="2" ySplit="4" topLeftCell="G37" activePane="bottomRight" state="frozen"/>
      <selection pane="topRight" activeCell="C1" sqref="C1"/>
      <selection pane="bottomLeft" activeCell="A5" sqref="A5"/>
      <selection pane="bottomRight" activeCell="T53" sqref="T53"/>
    </sheetView>
  </sheetViews>
  <sheetFormatPr defaultColWidth="9.109375" defaultRowHeight="21" outlineLevelCol="1" x14ac:dyDescent="0.4"/>
  <cols>
    <col min="1" max="1" width="2.44140625" style="205" customWidth="1"/>
    <col min="2" max="2" width="58.5546875" style="208" customWidth="1"/>
    <col min="3" max="4" width="15.33203125" style="208" bestFit="1" customWidth="1"/>
    <col min="5" max="8" width="15.33203125" style="208" bestFit="1" customWidth="1" outlineLevel="1"/>
    <col min="9" max="9" width="15.33203125" style="208" bestFit="1" customWidth="1"/>
    <col min="10" max="10" width="15.33203125" style="208" bestFit="1" customWidth="1" outlineLevel="1"/>
    <col min="11" max="11" width="18.33203125" style="208" bestFit="1" customWidth="1" outlineLevel="1"/>
    <col min="12" max="12" width="15.33203125" style="208" bestFit="1" customWidth="1"/>
    <col min="13" max="13" width="18.33203125" style="208" bestFit="1" customWidth="1"/>
    <col min="14" max="14" width="15.33203125" style="208" bestFit="1" customWidth="1"/>
    <col min="15" max="15" width="18.33203125" style="208" bestFit="1" customWidth="1"/>
    <col min="16" max="16" width="17.33203125" style="208" customWidth="1"/>
    <col min="17" max="17" width="17.33203125" style="208" bestFit="1" customWidth="1"/>
    <col min="18" max="18" width="17.33203125" style="208" customWidth="1"/>
    <col min="19" max="19" width="16.33203125" style="208" bestFit="1" customWidth="1"/>
    <col min="20" max="20" width="17.33203125" style="208" customWidth="1"/>
    <col min="21" max="21" width="12.6640625" style="208" customWidth="1"/>
    <col min="22" max="16384" width="9.109375" style="208"/>
  </cols>
  <sheetData>
    <row r="1" spans="1:20" ht="21.6" thickBot="1" x14ac:dyDescent="0.45">
      <c r="A1" s="205" t="s">
        <v>197</v>
      </c>
      <c r="B1" s="206"/>
      <c r="C1" s="207"/>
      <c r="D1" s="207"/>
      <c r="E1" s="207"/>
      <c r="F1" s="207"/>
      <c r="G1" s="207"/>
      <c r="H1" s="207"/>
      <c r="I1" s="207"/>
      <c r="J1" s="207"/>
      <c r="K1" s="207"/>
    </row>
    <row r="2" spans="1:20" ht="21.6" thickBot="1" x14ac:dyDescent="0.45">
      <c r="B2" s="206"/>
      <c r="C2" s="207"/>
      <c r="D2" s="207"/>
      <c r="E2" s="207"/>
      <c r="F2" s="207"/>
      <c r="G2" s="207"/>
      <c r="H2" s="207"/>
      <c r="I2" s="207"/>
      <c r="J2" s="373">
        <v>2017</v>
      </c>
      <c r="K2" s="374"/>
      <c r="L2" s="374"/>
      <c r="M2" s="374"/>
      <c r="N2" s="374"/>
      <c r="O2" s="374"/>
      <c r="P2" s="374"/>
      <c r="Q2" s="374"/>
      <c r="R2" s="374"/>
      <c r="S2" s="375"/>
    </row>
    <row r="3" spans="1:20" ht="24" thickBot="1" x14ac:dyDescent="0.45">
      <c r="A3" s="209"/>
      <c r="B3" s="210"/>
      <c r="C3" s="211">
        <v>2014</v>
      </c>
      <c r="D3" s="211">
        <v>2015</v>
      </c>
      <c r="E3" s="369">
        <v>2016</v>
      </c>
      <c r="F3" s="370"/>
      <c r="G3" s="370"/>
      <c r="H3" s="370"/>
      <c r="I3" s="371"/>
      <c r="J3" s="338"/>
      <c r="K3" s="339" t="s">
        <v>229</v>
      </c>
      <c r="L3" s="340"/>
      <c r="M3" s="339" t="s">
        <v>229</v>
      </c>
      <c r="N3" s="340"/>
      <c r="O3" s="339" t="s">
        <v>229</v>
      </c>
      <c r="P3" s="340"/>
      <c r="Q3" s="339" t="s">
        <v>230</v>
      </c>
      <c r="R3" s="341">
        <v>2017</v>
      </c>
      <c r="S3" s="342" t="s">
        <v>230</v>
      </c>
      <c r="T3" s="324">
        <v>2018</v>
      </c>
    </row>
    <row r="4" spans="1:20" x14ac:dyDescent="0.4">
      <c r="A4" s="209"/>
      <c r="B4" s="210"/>
      <c r="C4" s="212" t="s">
        <v>13</v>
      </c>
      <c r="D4" s="212" t="s">
        <v>13</v>
      </c>
      <c r="E4" s="212" t="s">
        <v>9</v>
      </c>
      <c r="F4" s="212" t="s">
        <v>10</v>
      </c>
      <c r="G4" s="212" t="s">
        <v>11</v>
      </c>
      <c r="H4" s="212" t="s">
        <v>12</v>
      </c>
      <c r="I4" s="212" t="s">
        <v>13</v>
      </c>
      <c r="J4" s="212" t="s">
        <v>9</v>
      </c>
      <c r="K4" s="300" t="s">
        <v>9</v>
      </c>
      <c r="L4" s="212" t="s">
        <v>10</v>
      </c>
      <c r="M4" s="300" t="s">
        <v>10</v>
      </c>
      <c r="N4" s="212" t="s">
        <v>11</v>
      </c>
      <c r="O4" s="300" t="s">
        <v>11</v>
      </c>
      <c r="P4" s="212" t="s">
        <v>12</v>
      </c>
      <c r="Q4" s="300" t="s">
        <v>12</v>
      </c>
      <c r="R4" s="212" t="s">
        <v>13</v>
      </c>
      <c r="S4" s="300" t="s">
        <v>228</v>
      </c>
      <c r="T4" s="212" t="s">
        <v>9</v>
      </c>
    </row>
    <row r="5" spans="1:20" x14ac:dyDescent="0.4">
      <c r="A5" s="213" t="s">
        <v>1</v>
      </c>
      <c r="B5" s="210"/>
      <c r="C5" s="214"/>
      <c r="D5" s="214"/>
      <c r="E5" s="214"/>
      <c r="F5" s="214"/>
      <c r="G5" s="214"/>
      <c r="H5" s="214"/>
      <c r="I5" s="214"/>
      <c r="J5" s="214"/>
      <c r="K5" s="301"/>
      <c r="M5" s="307"/>
      <c r="O5" s="307"/>
      <c r="Q5" s="307"/>
      <c r="S5" s="307"/>
    </row>
    <row r="6" spans="1:20" hidden="1" x14ac:dyDescent="0.4">
      <c r="A6" s="215"/>
      <c r="B6" s="216" t="s">
        <v>169</v>
      </c>
      <c r="C6" s="217"/>
      <c r="D6" s="217"/>
      <c r="E6" s="217"/>
      <c r="F6" s="217"/>
      <c r="G6" s="217"/>
      <c r="H6" s="217"/>
      <c r="I6" s="217"/>
      <c r="J6" s="217"/>
      <c r="K6" s="302"/>
      <c r="L6" s="217"/>
      <c r="M6" s="302"/>
      <c r="N6" s="217"/>
      <c r="O6" s="306"/>
      <c r="P6" s="225"/>
      <c r="Q6" s="306"/>
      <c r="R6" s="225"/>
      <c r="S6" s="306"/>
      <c r="T6" s="225"/>
    </row>
    <row r="7" spans="1:20" hidden="1" x14ac:dyDescent="0.4">
      <c r="A7" s="209"/>
      <c r="B7" s="218" t="s">
        <v>155</v>
      </c>
      <c r="C7" s="219"/>
      <c r="D7" s="219"/>
      <c r="E7" s="219"/>
      <c r="F7" s="219"/>
      <c r="G7" s="219"/>
      <c r="H7" s="219"/>
      <c r="I7" s="219"/>
      <c r="J7" s="219"/>
      <c r="K7" s="303"/>
      <c r="M7" s="307"/>
      <c r="O7" s="307"/>
      <c r="Q7" s="307"/>
      <c r="S7" s="307"/>
    </row>
    <row r="8" spans="1:20" hidden="1" x14ac:dyDescent="0.4">
      <c r="A8" s="209"/>
      <c r="B8" s="218" t="s">
        <v>171</v>
      </c>
      <c r="C8" s="220"/>
      <c r="D8" s="220"/>
      <c r="E8" s="220"/>
      <c r="F8" s="220"/>
      <c r="G8" s="220"/>
      <c r="H8" s="220"/>
      <c r="I8" s="220"/>
      <c r="J8" s="220"/>
      <c r="K8" s="304"/>
      <c r="L8" s="221"/>
      <c r="M8" s="308"/>
      <c r="O8" s="307"/>
      <c r="Q8" s="307"/>
      <c r="S8" s="307"/>
    </row>
    <row r="9" spans="1:20" hidden="1" x14ac:dyDescent="0.4">
      <c r="A9" s="209"/>
      <c r="B9" s="218" t="s">
        <v>58</v>
      </c>
      <c r="C9" s="222"/>
      <c r="D9" s="222"/>
      <c r="E9" s="222"/>
      <c r="F9" s="222"/>
      <c r="G9" s="222"/>
      <c r="H9" s="222"/>
      <c r="I9" s="222"/>
      <c r="J9" s="222"/>
      <c r="K9" s="305"/>
      <c r="M9" s="307"/>
      <c r="O9" s="307"/>
      <c r="Q9" s="307"/>
      <c r="S9" s="307"/>
    </row>
    <row r="10" spans="1:20" hidden="1" x14ac:dyDescent="0.4">
      <c r="A10" s="209"/>
      <c r="B10" s="218" t="s">
        <v>60</v>
      </c>
      <c r="C10" s="220"/>
      <c r="D10" s="220"/>
      <c r="E10" s="220"/>
      <c r="F10" s="220"/>
      <c r="G10" s="220"/>
      <c r="H10" s="220"/>
      <c r="I10" s="220"/>
      <c r="J10" s="220"/>
      <c r="K10" s="304"/>
      <c r="M10" s="307"/>
      <c r="O10" s="307"/>
      <c r="Q10" s="307"/>
      <c r="S10" s="307"/>
    </row>
    <row r="11" spans="1:20" hidden="1" x14ac:dyDescent="0.4">
      <c r="A11" s="209"/>
      <c r="B11" s="210"/>
      <c r="C11" s="214"/>
      <c r="D11" s="214"/>
      <c r="E11" s="214"/>
      <c r="F11" s="214"/>
      <c r="G11" s="214"/>
      <c r="H11" s="214"/>
      <c r="I11" s="214"/>
      <c r="J11" s="214"/>
      <c r="K11" s="301"/>
      <c r="M11" s="307"/>
      <c r="O11" s="307"/>
      <c r="Q11" s="307"/>
      <c r="S11" s="307"/>
    </row>
    <row r="12" spans="1:20" hidden="1" x14ac:dyDescent="0.4">
      <c r="A12" s="215"/>
      <c r="B12" s="216" t="s">
        <v>170</v>
      </c>
      <c r="C12" s="217"/>
      <c r="D12" s="217"/>
      <c r="E12" s="217"/>
      <c r="F12" s="217"/>
      <c r="G12" s="217"/>
      <c r="H12" s="217"/>
      <c r="I12" s="217"/>
      <c r="J12" s="217"/>
      <c r="K12" s="302"/>
      <c r="L12" s="217"/>
      <c r="M12" s="302"/>
      <c r="N12" s="217"/>
      <c r="O12" s="306"/>
      <c r="P12" s="225"/>
      <c r="Q12" s="306"/>
      <c r="R12" s="225"/>
      <c r="S12" s="306"/>
      <c r="T12" s="225"/>
    </row>
    <row r="13" spans="1:20" hidden="1" x14ac:dyDescent="0.4">
      <c r="A13" s="209"/>
      <c r="B13" s="218" t="s">
        <v>155</v>
      </c>
      <c r="C13" s="219"/>
      <c r="D13" s="219"/>
      <c r="E13" s="219"/>
      <c r="F13" s="219"/>
      <c r="G13" s="219"/>
      <c r="H13" s="219"/>
      <c r="I13" s="219"/>
      <c r="J13" s="219"/>
      <c r="K13" s="303"/>
      <c r="M13" s="307"/>
      <c r="O13" s="307"/>
      <c r="Q13" s="307"/>
      <c r="S13" s="307"/>
    </row>
    <row r="14" spans="1:20" hidden="1" x14ac:dyDescent="0.4">
      <c r="A14" s="209"/>
      <c r="B14" s="218" t="s">
        <v>58</v>
      </c>
      <c r="C14" s="222"/>
      <c r="D14" s="222"/>
      <c r="E14" s="222"/>
      <c r="F14" s="222"/>
      <c r="G14" s="222"/>
      <c r="H14" s="222"/>
      <c r="I14" s="222"/>
      <c r="J14" s="222"/>
      <c r="K14" s="305"/>
      <c r="M14" s="307"/>
      <c r="O14" s="307"/>
      <c r="Q14" s="307"/>
      <c r="S14" s="307"/>
    </row>
    <row r="15" spans="1:20" hidden="1" x14ac:dyDescent="0.4">
      <c r="A15" s="209"/>
      <c r="B15" s="218" t="s">
        <v>60</v>
      </c>
      <c r="C15" s="220"/>
      <c r="D15" s="220"/>
      <c r="E15" s="220"/>
      <c r="F15" s="220"/>
      <c r="G15" s="220"/>
      <c r="H15" s="220"/>
      <c r="I15" s="220"/>
      <c r="J15" s="220"/>
      <c r="K15" s="304"/>
      <c r="M15" s="307"/>
      <c r="O15" s="307"/>
      <c r="Q15" s="307"/>
      <c r="S15" s="307"/>
    </row>
    <row r="16" spans="1:20" x14ac:dyDescent="0.4">
      <c r="A16" s="213"/>
      <c r="B16" s="210"/>
      <c r="C16" s="214"/>
      <c r="D16" s="214"/>
      <c r="E16" s="214"/>
      <c r="F16" s="214"/>
      <c r="G16" s="214"/>
      <c r="H16" s="214"/>
      <c r="I16" s="214"/>
      <c r="J16" s="214"/>
      <c r="K16" s="301"/>
      <c r="M16" s="307"/>
      <c r="O16" s="307"/>
      <c r="Q16" s="307"/>
      <c r="S16" s="307"/>
    </row>
    <row r="17" spans="1:21" x14ac:dyDescent="0.4">
      <c r="A17" s="215"/>
      <c r="B17" s="216" t="s">
        <v>186</v>
      </c>
      <c r="C17" s="217">
        <v>433663</v>
      </c>
      <c r="D17" s="217">
        <v>506340.59694368718</v>
      </c>
      <c r="E17" s="217">
        <v>128070</v>
      </c>
      <c r="F17" s="217">
        <v>130869</v>
      </c>
      <c r="G17" s="217">
        <v>129563</v>
      </c>
      <c r="H17" s="217">
        <f>I17-E17-F17-G17</f>
        <v>131752</v>
      </c>
      <c r="I17" s="217">
        <v>520254</v>
      </c>
      <c r="J17" s="217">
        <f t="shared" ref="J17:T17" si="0">J23+J29+J35+J41+J47</f>
        <v>134026.19538285094</v>
      </c>
      <c r="K17" s="217">
        <f t="shared" si="0"/>
        <v>134026</v>
      </c>
      <c r="L17" s="217">
        <f t="shared" si="0"/>
        <v>137498</v>
      </c>
      <c r="M17" s="217">
        <f t="shared" si="0"/>
        <v>137498</v>
      </c>
      <c r="N17" s="217">
        <f t="shared" si="0"/>
        <v>138601</v>
      </c>
      <c r="O17" s="217">
        <f t="shared" si="0"/>
        <v>138601</v>
      </c>
      <c r="P17" s="217">
        <f t="shared" si="0"/>
        <v>142242</v>
      </c>
      <c r="Q17" s="217">
        <f t="shared" ref="Q17" si="1">Q23+Q29+Q35+Q41+Q47</f>
        <v>142242</v>
      </c>
      <c r="R17" s="217">
        <f t="shared" si="0"/>
        <v>552367</v>
      </c>
      <c r="S17" s="217">
        <f t="shared" ref="S17" si="2">S23+S29+S35+S41+S47</f>
        <v>552367</v>
      </c>
      <c r="T17" s="217">
        <f t="shared" si="0"/>
        <v>149871</v>
      </c>
      <c r="U17" s="223"/>
    </row>
    <row r="18" spans="1:21" x14ac:dyDescent="0.4">
      <c r="A18" s="209"/>
      <c r="B18" s="218" t="s">
        <v>155</v>
      </c>
      <c r="C18" s="219">
        <v>1.7261264301722257E-3</v>
      </c>
      <c r="D18" s="219">
        <f>D17/C17-1</f>
        <v>0.16759003406720696</v>
      </c>
      <c r="E18" s="219">
        <v>3.404860388708153E-2</v>
      </c>
      <c r="F18" s="219">
        <v>4.6552096069604199E-2</v>
      </c>
      <c r="G18" s="219">
        <v>1.1874323276879206E-2</v>
      </c>
      <c r="H18" s="219">
        <v>1.8197659386003817E-2</v>
      </c>
      <c r="I18" s="219">
        <f t="shared" ref="I18:J18" si="3">I17/D17-1</f>
        <v>2.7478347855762086E-2</v>
      </c>
      <c r="J18" s="219">
        <f t="shared" si="3"/>
        <v>4.650734272547008E-2</v>
      </c>
      <c r="K18" s="303">
        <f>K17/E17-1</f>
        <v>4.6505817131256455E-2</v>
      </c>
      <c r="L18" s="219">
        <f>L17/F17-1</f>
        <v>5.065370714225681E-2</v>
      </c>
      <c r="M18" s="303">
        <f>M17/F17-1</f>
        <v>5.065370714225681E-2</v>
      </c>
      <c r="N18" s="219">
        <f>N17/G17-1</f>
        <v>6.975756967652802E-2</v>
      </c>
      <c r="O18" s="303">
        <f>O17/G17-1</f>
        <v>6.975756967652802E-2</v>
      </c>
      <c r="P18" s="219">
        <f>P17/H17-1</f>
        <v>7.9619284716740513E-2</v>
      </c>
      <c r="Q18" s="303">
        <f>Q17/H17-1</f>
        <v>7.9619284716740513E-2</v>
      </c>
      <c r="R18" s="219">
        <f>R17/I17-1</f>
        <v>6.1725618640125823E-2</v>
      </c>
      <c r="S18" s="303">
        <f>S17/I17-1</f>
        <v>6.1725618640125823E-2</v>
      </c>
      <c r="T18" s="219">
        <f>T17/K17-1</f>
        <v>0.11822332980168038</v>
      </c>
      <c r="U18" s="223"/>
    </row>
    <row r="19" spans="1:21" x14ac:dyDescent="0.4">
      <c r="A19" s="209"/>
      <c r="B19" s="218" t="s">
        <v>171</v>
      </c>
      <c r="C19" s="220">
        <v>1.11E-2</v>
      </c>
      <c r="D19" s="220">
        <v>0.18440000000000001</v>
      </c>
      <c r="E19" s="220">
        <v>5.6000000000000001E-2</v>
      </c>
      <c r="F19" s="220">
        <v>6.6000000000000003E-2</v>
      </c>
      <c r="G19" s="220">
        <v>2.4E-2</v>
      </c>
      <c r="H19" s="220">
        <v>3.2000000000000001E-2</v>
      </c>
      <c r="I19" s="220">
        <v>4.3999999999999997E-2</v>
      </c>
      <c r="J19" s="220">
        <v>4.9000000000000002E-2</v>
      </c>
      <c r="K19" s="304">
        <v>4.9000000000000002E-2</v>
      </c>
      <c r="L19" s="221">
        <v>4.8525496185022776E-2</v>
      </c>
      <c r="M19" s="308">
        <v>4.8525496185022776E-2</v>
      </c>
      <c r="N19" s="219">
        <v>6.4270961809923532E-2</v>
      </c>
      <c r="O19" s="303">
        <v>6.4270961809923532E-2</v>
      </c>
      <c r="P19" s="219">
        <v>6.8680050795172143E-2</v>
      </c>
      <c r="Q19" s="303">
        <v>6.8680050795172143E-2</v>
      </c>
      <c r="R19" s="219">
        <v>5.7701269035152603E-2</v>
      </c>
      <c r="S19" s="303">
        <v>5.7701269035152603E-2</v>
      </c>
      <c r="T19" s="219">
        <v>0.104152477303735</v>
      </c>
      <c r="U19" s="223"/>
    </row>
    <row r="20" spans="1:21" x14ac:dyDescent="0.4">
      <c r="A20" s="209"/>
      <c r="B20" s="218" t="s">
        <v>58</v>
      </c>
      <c r="C20" s="222">
        <v>147170.4587213741</v>
      </c>
      <c r="D20" s="222">
        <v>182261.52705927051</v>
      </c>
      <c r="E20" s="222">
        <v>44462.19093017219</v>
      </c>
      <c r="F20" s="222">
        <v>44387</v>
      </c>
      <c r="G20" s="222">
        <v>43575</v>
      </c>
      <c r="H20" s="222">
        <f>I20-E20-F20-G20</f>
        <v>46214.80906982781</v>
      </c>
      <c r="I20" s="222">
        <v>178639</v>
      </c>
      <c r="J20" s="222">
        <f t="shared" ref="J20" si="4">J26+J32+J38+J44+J50</f>
        <v>45945</v>
      </c>
      <c r="K20" s="305">
        <f t="shared" ref="K20:T20" si="5">ROUND(K26+K32+K38+K44+K50,0)</f>
        <v>46710</v>
      </c>
      <c r="L20" s="222">
        <f t="shared" si="5"/>
        <v>46147</v>
      </c>
      <c r="M20" s="305">
        <f t="shared" si="5"/>
        <v>47415</v>
      </c>
      <c r="N20" s="222">
        <f t="shared" si="5"/>
        <v>49862</v>
      </c>
      <c r="O20" s="305">
        <f t="shared" si="5"/>
        <v>51154</v>
      </c>
      <c r="P20" s="222">
        <f t="shared" si="5"/>
        <v>48525</v>
      </c>
      <c r="Q20" s="305">
        <f t="shared" si="5"/>
        <v>48906</v>
      </c>
      <c r="R20" s="222">
        <f t="shared" si="5"/>
        <v>193804</v>
      </c>
      <c r="S20" s="305">
        <f t="shared" si="5"/>
        <v>194185</v>
      </c>
      <c r="T20" s="222">
        <f t="shared" si="5"/>
        <v>49845</v>
      </c>
      <c r="U20" s="322"/>
    </row>
    <row r="21" spans="1:21" x14ac:dyDescent="0.4">
      <c r="A21" s="209"/>
      <c r="B21" s="218" t="s">
        <v>60</v>
      </c>
      <c r="C21" s="220">
        <v>0.33939999999999998</v>
      </c>
      <c r="D21" s="220">
        <v>0.36</v>
      </c>
      <c r="E21" s="220">
        <v>0.34720000000000001</v>
      </c>
      <c r="F21" s="220">
        <v>0.3392</v>
      </c>
      <c r="G21" s="220">
        <v>0.33629999999999999</v>
      </c>
      <c r="H21" s="220">
        <v>0.3508</v>
      </c>
      <c r="I21" s="220">
        <v>0.34339999999999998</v>
      </c>
      <c r="J21" s="220">
        <f t="shared" ref="J21:T21" si="6">J20/J17</f>
        <v>0.34280611986900289</v>
      </c>
      <c r="K21" s="304">
        <f t="shared" si="6"/>
        <v>0.34851446734215752</v>
      </c>
      <c r="L21" s="220">
        <f t="shared" si="6"/>
        <v>0.33561942719166826</v>
      </c>
      <c r="M21" s="304">
        <f t="shared" si="6"/>
        <v>0.34484137951097471</v>
      </c>
      <c r="N21" s="220">
        <f t="shared" si="6"/>
        <v>0.35975209414073489</v>
      </c>
      <c r="O21" s="304">
        <f t="shared" si="6"/>
        <v>0.36907381620623225</v>
      </c>
      <c r="P21" s="220">
        <f t="shared" si="6"/>
        <v>0.34114396591723961</v>
      </c>
      <c r="Q21" s="304">
        <f t="shared" ref="Q21" si="7">Q20/Q17</f>
        <v>0.34382249968363776</v>
      </c>
      <c r="R21" s="220">
        <f t="shared" si="6"/>
        <v>0.35086093122869394</v>
      </c>
      <c r="S21" s="304">
        <f t="shared" ref="S21" si="8">S20/S17</f>
        <v>0.35155069003036027</v>
      </c>
      <c r="T21" s="220">
        <f t="shared" si="6"/>
        <v>0.33258602398062331</v>
      </c>
      <c r="U21" s="223"/>
    </row>
    <row r="22" spans="1:21" x14ac:dyDescent="0.4">
      <c r="A22" s="209"/>
      <c r="B22" s="218"/>
      <c r="C22" s="220"/>
      <c r="D22" s="220"/>
      <c r="E22" s="220"/>
      <c r="F22" s="220"/>
      <c r="G22" s="220"/>
      <c r="H22" s="220"/>
      <c r="I22" s="220"/>
      <c r="J22" s="220"/>
      <c r="K22" s="304"/>
      <c r="M22" s="307"/>
      <c r="O22" s="307"/>
      <c r="Q22" s="307"/>
      <c r="S22" s="307"/>
      <c r="U22" s="223"/>
    </row>
    <row r="23" spans="1:21" x14ac:dyDescent="0.4">
      <c r="A23" s="224"/>
      <c r="B23" s="224" t="s">
        <v>159</v>
      </c>
      <c r="C23" s="225">
        <v>151308.36800953333</v>
      </c>
      <c r="D23" s="225">
        <v>199878.22804440593</v>
      </c>
      <c r="E23" s="225">
        <v>48298.689470000005</v>
      </c>
      <c r="F23" s="225">
        <v>50596.605320000017</v>
      </c>
      <c r="G23" s="225">
        <v>52801.058303600017</v>
      </c>
      <c r="H23" s="225">
        <v>54631.03404415027</v>
      </c>
      <c r="I23" s="225">
        <f>SUM(E23:H23)</f>
        <v>206327.38713775028</v>
      </c>
      <c r="J23" s="225">
        <v>55921</v>
      </c>
      <c r="K23" s="306">
        <v>55921</v>
      </c>
      <c r="L23" s="226">
        <v>58255</v>
      </c>
      <c r="M23" s="309">
        <v>58255</v>
      </c>
      <c r="N23" s="226">
        <v>59608</v>
      </c>
      <c r="O23" s="309">
        <v>59608</v>
      </c>
      <c r="P23" s="226">
        <f>+R23-SUM(K23,M23,O23)</f>
        <v>61010</v>
      </c>
      <c r="Q23" s="309">
        <f>+S23-SUM(K23,M23,O23)</f>
        <v>61010</v>
      </c>
      <c r="R23" s="226">
        <v>234794</v>
      </c>
      <c r="S23" s="309">
        <v>234794</v>
      </c>
      <c r="T23" s="226">
        <v>63903</v>
      </c>
      <c r="U23" s="223"/>
    </row>
    <row r="24" spans="1:21" x14ac:dyDescent="0.4">
      <c r="A24" s="209"/>
      <c r="B24" s="218" t="s">
        <v>155</v>
      </c>
      <c r="C24" s="219"/>
      <c r="D24" s="219">
        <f>D23/C23-1</f>
        <v>0.32099916662779959</v>
      </c>
      <c r="E24" s="219">
        <v>-3.5542278919833858E-2</v>
      </c>
      <c r="F24" s="219">
        <v>-1.3593102664144374E-2</v>
      </c>
      <c r="G24" s="219">
        <v>6.4944653613187464E-2</v>
      </c>
      <c r="H24" s="219">
        <v>0.11663393601060656</v>
      </c>
      <c r="I24" s="219">
        <f t="shared" ref="I24" si="9">I23/D23-1</f>
        <v>3.2265440595719008E-2</v>
      </c>
      <c r="J24" s="219">
        <f>J23/E23-1</f>
        <v>0.15781609425933762</v>
      </c>
      <c r="K24" s="303">
        <f>K23/E23-1</f>
        <v>0.15781609425933762</v>
      </c>
      <c r="L24" s="219">
        <f>L23/F23-1</f>
        <v>0.15136182816147836</v>
      </c>
      <c r="M24" s="303">
        <f>M23/F23-1</f>
        <v>0.15136182816147836</v>
      </c>
      <c r="N24" s="219">
        <f>N23/G23-1</f>
        <v>0.12891676635079641</v>
      </c>
      <c r="O24" s="303">
        <f>O23/G23-1</f>
        <v>0.12891676635079641</v>
      </c>
      <c r="P24" s="219">
        <f>P23/H23-1</f>
        <v>0.1167645106386701</v>
      </c>
      <c r="Q24" s="303">
        <f>Q23/H23-1</f>
        <v>0.1167645106386701</v>
      </c>
      <c r="R24" s="219">
        <f>R23/I23-1</f>
        <v>0.13796817406137452</v>
      </c>
      <c r="S24" s="303">
        <f>S23/I23-1</f>
        <v>0.13796817406137452</v>
      </c>
      <c r="T24" s="219">
        <f>T23/K23-1</f>
        <v>0.14273707551724746</v>
      </c>
    </row>
    <row r="25" spans="1:21" x14ac:dyDescent="0.4">
      <c r="A25" s="209"/>
      <c r="B25" s="218" t="s">
        <v>171</v>
      </c>
      <c r="C25" s="219"/>
      <c r="D25" s="219">
        <v>0.3291</v>
      </c>
      <c r="E25" s="219">
        <v>-2.58E-2</v>
      </c>
      <c r="F25" s="219">
        <v>-2.3E-3</v>
      </c>
      <c r="G25" s="219">
        <v>7.1099999999999997E-2</v>
      </c>
      <c r="H25" s="219">
        <v>0.1217</v>
      </c>
      <c r="I25" s="219">
        <v>4.1300000000000003E-2</v>
      </c>
      <c r="J25" s="219">
        <v>0.15235101898850245</v>
      </c>
      <c r="K25" s="303">
        <v>0.15235101898850245</v>
      </c>
      <c r="L25" s="221">
        <v>0.14485320587353745</v>
      </c>
      <c r="M25" s="308">
        <v>0.14485320587353745</v>
      </c>
      <c r="N25" s="219">
        <v>0.12063360440937987</v>
      </c>
      <c r="O25" s="303">
        <v>0.12063360440937987</v>
      </c>
      <c r="P25" s="219">
        <v>0.10686042279762753</v>
      </c>
      <c r="Q25" s="303">
        <v>0.10686042279762753</v>
      </c>
      <c r="R25" s="219">
        <v>0.13035117064593615</v>
      </c>
      <c r="S25" s="303">
        <v>0.13035117064593615</v>
      </c>
      <c r="T25" s="219">
        <v>0.12985053069688801</v>
      </c>
      <c r="U25" s="227"/>
    </row>
    <row r="26" spans="1:21" x14ac:dyDescent="0.4">
      <c r="A26" s="209"/>
      <c r="B26" s="218" t="s">
        <v>58</v>
      </c>
      <c r="C26" s="222">
        <v>44282.172456781256</v>
      </c>
      <c r="D26" s="222">
        <v>65682.292844508804</v>
      </c>
      <c r="E26" s="222">
        <v>14030.063296331726</v>
      </c>
      <c r="F26" s="222">
        <v>14145.917471839959</v>
      </c>
      <c r="G26" s="222">
        <v>15004.324337266604</v>
      </c>
      <c r="H26" s="222">
        <v>16944.025737502052</v>
      </c>
      <c r="I26" s="222">
        <f>SUM(E26:H26)</f>
        <v>60124.330842940341</v>
      </c>
      <c r="J26" s="222">
        <v>17592</v>
      </c>
      <c r="K26" s="305">
        <f>ROUND(17890.6824188671,0)</f>
        <v>17891</v>
      </c>
      <c r="L26" s="228">
        <v>17279</v>
      </c>
      <c r="M26" s="305">
        <v>17784.168604602171</v>
      </c>
      <c r="N26" s="222">
        <v>19909</v>
      </c>
      <c r="O26" s="305">
        <f>ROUND(20434.2308482625,0)</f>
        <v>20434</v>
      </c>
      <c r="P26" s="222">
        <f>ROUND(+R26-SUM(K26,M26,O26),0)</f>
        <v>19156</v>
      </c>
      <c r="Q26" s="305">
        <f>ROUND(+S26-SUM(K26,M26,O26),0)</f>
        <v>19252</v>
      </c>
      <c r="R26" s="222">
        <v>75265</v>
      </c>
      <c r="S26" s="305">
        <f>ROUND(75361.1380508299,0)</f>
        <v>75361</v>
      </c>
      <c r="T26" s="222">
        <v>21476</v>
      </c>
      <c r="U26" s="314"/>
    </row>
    <row r="27" spans="1:21" x14ac:dyDescent="0.4">
      <c r="A27" s="209"/>
      <c r="B27" s="218" t="s">
        <v>60</v>
      </c>
      <c r="C27" s="220">
        <f>C26/C23</f>
        <v>0.29266175453026638</v>
      </c>
      <c r="D27" s="220">
        <f t="shared" ref="D27:I27" si="10">D26/D23</f>
        <v>0.32861154257339376</v>
      </c>
      <c r="E27" s="220">
        <f t="shared" si="10"/>
        <v>0.2904853827358253</v>
      </c>
      <c r="F27" s="220">
        <f t="shared" si="10"/>
        <v>0.27958234317052705</v>
      </c>
      <c r="G27" s="220">
        <f t="shared" si="10"/>
        <v>0.28416711367778774</v>
      </c>
      <c r="H27" s="220">
        <f t="shared" si="10"/>
        <v>0.31015385364678755</v>
      </c>
      <c r="I27" s="220">
        <f t="shared" si="10"/>
        <v>0.29140256985273388</v>
      </c>
      <c r="J27" s="220">
        <f t="shared" ref="J27:T27" si="11">J26/J23</f>
        <v>0.31458664902272848</v>
      </c>
      <c r="K27" s="304">
        <f>K26/K23</f>
        <v>0.31993347758444951</v>
      </c>
      <c r="L27" s="220">
        <f t="shared" si="11"/>
        <v>0.29660973307012273</v>
      </c>
      <c r="M27" s="304">
        <f t="shared" si="11"/>
        <v>0.30528141111667961</v>
      </c>
      <c r="N27" s="220">
        <f t="shared" si="11"/>
        <v>0.3339987921084418</v>
      </c>
      <c r="O27" s="304">
        <f t="shared" si="11"/>
        <v>0.3428063347201718</v>
      </c>
      <c r="P27" s="220">
        <f t="shared" si="11"/>
        <v>0.31398131453860023</v>
      </c>
      <c r="Q27" s="304">
        <f t="shared" ref="Q27" si="12">Q26/Q23</f>
        <v>0.3155548270775283</v>
      </c>
      <c r="R27" s="220">
        <f t="shared" si="11"/>
        <v>0.32055759516853072</v>
      </c>
      <c r="S27" s="304">
        <f t="shared" ref="S27" si="13">S26/S23</f>
        <v>0.32096646421969899</v>
      </c>
      <c r="T27" s="220">
        <f t="shared" si="11"/>
        <v>0.33607185891116226</v>
      </c>
      <c r="U27" s="223"/>
    </row>
    <row r="28" spans="1:21" x14ac:dyDescent="0.4">
      <c r="A28" s="209"/>
      <c r="B28" s="218"/>
      <c r="C28" s="222"/>
      <c r="D28" s="220"/>
      <c r="E28" s="229"/>
      <c r="F28" s="220"/>
      <c r="G28" s="220"/>
      <c r="H28" s="220"/>
      <c r="I28" s="222"/>
      <c r="J28" s="229"/>
      <c r="K28" s="304"/>
      <c r="M28" s="307"/>
      <c r="O28" s="307"/>
      <c r="Q28" s="307"/>
      <c r="S28" s="307"/>
      <c r="U28" s="223"/>
    </row>
    <row r="29" spans="1:21" x14ac:dyDescent="0.4">
      <c r="A29" s="224"/>
      <c r="B29" s="224" t="s">
        <v>158</v>
      </c>
      <c r="C29" s="225">
        <v>42848.177989999996</v>
      </c>
      <c r="D29" s="225">
        <v>55208.836490000002</v>
      </c>
      <c r="E29" s="225">
        <v>16387.584720000003</v>
      </c>
      <c r="F29" s="225">
        <v>17441.937469999997</v>
      </c>
      <c r="G29" s="225">
        <v>15958.648679999989</v>
      </c>
      <c r="H29" s="225">
        <v>18867.690340788853</v>
      </c>
      <c r="I29" s="225">
        <f>SUM(E29:H29)</f>
        <v>68655.861210788848</v>
      </c>
      <c r="J29" s="225">
        <v>18932.123280000007</v>
      </c>
      <c r="K29" s="306">
        <v>18932</v>
      </c>
      <c r="L29" s="226">
        <v>18923</v>
      </c>
      <c r="M29" s="309">
        <v>18923</v>
      </c>
      <c r="N29" s="226">
        <v>18872</v>
      </c>
      <c r="O29" s="309">
        <v>18872</v>
      </c>
      <c r="P29" s="226">
        <f>+R29-SUM(K29,M29,O29)</f>
        <v>20286</v>
      </c>
      <c r="Q29" s="309">
        <f>+S29-SUM(K29,M29,O29)</f>
        <v>20286</v>
      </c>
      <c r="R29" s="226">
        <v>77013</v>
      </c>
      <c r="S29" s="309">
        <v>77013</v>
      </c>
      <c r="T29" s="226">
        <v>22797</v>
      </c>
      <c r="U29" s="223"/>
    </row>
    <row r="30" spans="1:21" x14ac:dyDescent="0.4">
      <c r="A30" s="209"/>
      <c r="B30" s="218" t="s">
        <v>155</v>
      </c>
      <c r="C30" s="219"/>
      <c r="D30" s="219">
        <f>D29/C29-1</f>
        <v>0.28847570841599768</v>
      </c>
      <c r="E30" s="219">
        <v>0.26860000000000001</v>
      </c>
      <c r="F30" s="219">
        <v>0.34899999999999998</v>
      </c>
      <c r="G30" s="219">
        <v>0.16009999999999999</v>
      </c>
      <c r="H30" s="219">
        <v>0.20899999999999999</v>
      </c>
      <c r="I30" s="219">
        <f t="shared" ref="I30" si="14">I29/D29-1</f>
        <v>0.24356652984752736</v>
      </c>
      <c r="J30" s="219">
        <f>J29/E29-1</f>
        <v>0.15527233594677048</v>
      </c>
      <c r="K30" s="303">
        <f>K29/E29-1</f>
        <v>0.15526481317864382</v>
      </c>
      <c r="L30" s="219">
        <f>L29/F29-1</f>
        <v>8.4913876829762813E-2</v>
      </c>
      <c r="M30" s="303">
        <f>M29/F29-1</f>
        <v>8.4913876829762813E-2</v>
      </c>
      <c r="N30" s="230">
        <f>N29/G29-1</f>
        <v>0.18255626641190092</v>
      </c>
      <c r="O30" s="303">
        <f>O29/G29-1</f>
        <v>0.18255626641190092</v>
      </c>
      <c r="P30" s="230">
        <f>P29/H29-1</f>
        <v>7.5171344960278219E-2</v>
      </c>
      <c r="Q30" s="303">
        <f>Q29/H29-1</f>
        <v>7.5171344960278219E-2</v>
      </c>
      <c r="R30" s="230">
        <f>R29/I29-1</f>
        <v>0.12172505947529899</v>
      </c>
      <c r="S30" s="303">
        <f>S29/I29-1</f>
        <v>0.12172505947529899</v>
      </c>
      <c r="T30" s="230">
        <f>T29/K29-1</f>
        <v>0.20415170082400169</v>
      </c>
    </row>
    <row r="31" spans="1:21" x14ac:dyDescent="0.4">
      <c r="A31" s="209"/>
      <c r="B31" s="218" t="s">
        <v>171</v>
      </c>
      <c r="C31" s="219"/>
      <c r="D31" s="219">
        <v>0.28889999999999999</v>
      </c>
      <c r="E31" s="219">
        <v>0.26860000000000001</v>
      </c>
      <c r="F31" s="219">
        <v>0.34899999999999998</v>
      </c>
      <c r="G31" s="219">
        <v>0.16009999999999999</v>
      </c>
      <c r="H31" s="219">
        <v>0.20899999999999999</v>
      </c>
      <c r="I31" s="219">
        <v>0.24360000000000001</v>
      </c>
      <c r="J31" s="219">
        <v>0.15625881183456625</v>
      </c>
      <c r="K31" s="303">
        <v>0.15625881183456625</v>
      </c>
      <c r="L31" s="221">
        <v>8.5925937063991764E-2</v>
      </c>
      <c r="M31" s="308">
        <v>8.5925937063991764E-2</v>
      </c>
      <c r="N31" s="219">
        <v>0.18313485759232662</v>
      </c>
      <c r="O31" s="303">
        <v>0.18313485759232662</v>
      </c>
      <c r="P31" s="219">
        <v>7.5285882262229098E-2</v>
      </c>
      <c r="Q31" s="303">
        <v>7.5285882262229098E-2</v>
      </c>
      <c r="R31" s="219">
        <v>0.12238539808923177</v>
      </c>
      <c r="S31" s="303">
        <v>0.12238539808923177</v>
      </c>
      <c r="T31" s="219">
        <v>0.20412407210167127</v>
      </c>
    </row>
    <row r="32" spans="1:21" x14ac:dyDescent="0.4">
      <c r="A32" s="209"/>
      <c r="B32" s="218" t="s">
        <v>58</v>
      </c>
      <c r="C32" s="222">
        <v>13249.691106379691</v>
      </c>
      <c r="D32" s="222">
        <v>17984.528806078859</v>
      </c>
      <c r="E32" s="222">
        <v>5842.2778813829245</v>
      </c>
      <c r="F32" s="222">
        <v>6434.3608419753309</v>
      </c>
      <c r="G32" s="222">
        <v>5071.8574793260614</v>
      </c>
      <c r="H32" s="222">
        <v>7209.8527749647874</v>
      </c>
      <c r="I32" s="222">
        <f>SUM(E32:H32)</f>
        <v>24558.348977649104</v>
      </c>
      <c r="J32" s="222">
        <f>ROUND(6746.21831263017,0)</f>
        <v>6746</v>
      </c>
      <c r="K32" s="305">
        <f>ROUND(6623.4364085443,0)</f>
        <v>6623</v>
      </c>
      <c r="L32" s="222">
        <v>6673</v>
      </c>
      <c r="M32" s="305">
        <v>6616.794367465307</v>
      </c>
      <c r="N32" s="222">
        <v>6905</v>
      </c>
      <c r="O32" s="305">
        <f>ROUND(6797.84019495859,0)+1</f>
        <v>6799</v>
      </c>
      <c r="P32" s="222">
        <f>ROUND(+R32-SUM(K32,M32,O32),0)</f>
        <v>7491</v>
      </c>
      <c r="Q32" s="305">
        <f>ROUND(+S32-SUM(K32,M32,O32),0)</f>
        <v>7562</v>
      </c>
      <c r="R32" s="222">
        <v>27530</v>
      </c>
      <c r="S32" s="305">
        <f>ROUND(27600.7825640754,0)</f>
        <v>27601</v>
      </c>
      <c r="T32" s="222">
        <v>5555</v>
      </c>
      <c r="U32" s="314"/>
    </row>
    <row r="33" spans="1:21" x14ac:dyDescent="0.4">
      <c r="A33" s="209"/>
      <c r="B33" s="218" t="s">
        <v>60</v>
      </c>
      <c r="C33" s="220">
        <f>C32/C29</f>
        <v>0.30922414272718746</v>
      </c>
      <c r="D33" s="220">
        <f t="shared" ref="D33" si="15">D32/D29</f>
        <v>0.32575453404703436</v>
      </c>
      <c r="E33" s="220">
        <f t="shared" ref="E33" si="16">E32/E29</f>
        <v>0.35650634191704877</v>
      </c>
      <c r="F33" s="220">
        <f t="shared" ref="F33" si="17">F32/F29</f>
        <v>0.36890172625847234</v>
      </c>
      <c r="G33" s="220">
        <f t="shared" ref="G33" si="18">G32/G29</f>
        <v>0.3178124652673327</v>
      </c>
      <c r="H33" s="220">
        <f t="shared" ref="H33" si="19">H32/H29</f>
        <v>0.38212694000909414</v>
      </c>
      <c r="I33" s="220">
        <f t="shared" ref="I33" si="20">I32/I29</f>
        <v>0.35770214726823513</v>
      </c>
      <c r="J33" s="220">
        <f t="shared" ref="J33:T33" si="21">J32/J29</f>
        <v>0.35632559012155329</v>
      </c>
      <c r="K33" s="304">
        <f t="shared" si="21"/>
        <v>0.34983097401225438</v>
      </c>
      <c r="L33" s="220">
        <f t="shared" si="21"/>
        <v>0.35263964487660521</v>
      </c>
      <c r="M33" s="304">
        <f t="shared" si="21"/>
        <v>0.34966941644904648</v>
      </c>
      <c r="N33" s="220">
        <f t="shared" si="21"/>
        <v>0.36588596863077577</v>
      </c>
      <c r="O33" s="304">
        <f t="shared" si="21"/>
        <v>0.36026918185671897</v>
      </c>
      <c r="P33" s="220">
        <f t="shared" si="21"/>
        <v>0.36926944690919844</v>
      </c>
      <c r="Q33" s="304">
        <f t="shared" ref="Q33" si="22">Q32/Q29</f>
        <v>0.37276939761411809</v>
      </c>
      <c r="R33" s="220">
        <f t="shared" si="21"/>
        <v>0.35747211509745108</v>
      </c>
      <c r="S33" s="304">
        <f t="shared" ref="S33" si="23">S32/S29</f>
        <v>0.35839403737031411</v>
      </c>
      <c r="T33" s="220">
        <f t="shared" si="21"/>
        <v>0.24367241303680309</v>
      </c>
    </row>
    <row r="34" spans="1:21" x14ac:dyDescent="0.4">
      <c r="A34" s="209"/>
      <c r="B34" s="218"/>
      <c r="C34" s="222"/>
      <c r="D34" s="222"/>
      <c r="E34" s="229"/>
      <c r="F34" s="220"/>
      <c r="G34" s="220"/>
      <c r="H34" s="220"/>
      <c r="I34" s="222"/>
      <c r="J34" s="229"/>
      <c r="K34" s="304"/>
      <c r="M34" s="307"/>
      <c r="O34" s="307"/>
      <c r="Q34" s="307"/>
      <c r="S34" s="307"/>
    </row>
    <row r="35" spans="1:21" x14ac:dyDescent="0.4">
      <c r="A35" s="224"/>
      <c r="B35" s="224" t="s">
        <v>156</v>
      </c>
      <c r="C35" s="225">
        <v>47492.421269999999</v>
      </c>
      <c r="D35" s="225">
        <v>62264.395700000008</v>
      </c>
      <c r="E35" s="225">
        <v>17558.967769999999</v>
      </c>
      <c r="F35" s="225">
        <v>17545.106169999995</v>
      </c>
      <c r="G35" s="225">
        <v>17518.984499999999</v>
      </c>
      <c r="H35" s="225">
        <v>16743.114587483804</v>
      </c>
      <c r="I35" s="225">
        <f>SUM(E35:H35)</f>
        <v>69366.173027483805</v>
      </c>
      <c r="J35" s="225">
        <v>17042.714922980405</v>
      </c>
      <c r="K35" s="306">
        <v>17043</v>
      </c>
      <c r="L35" s="226">
        <v>17835</v>
      </c>
      <c r="M35" s="309">
        <v>17835</v>
      </c>
      <c r="N35" s="226">
        <v>18496</v>
      </c>
      <c r="O35" s="309">
        <v>18496</v>
      </c>
      <c r="P35" s="226">
        <f>+R35-SUM(K35,M35,O35)</f>
        <v>17577</v>
      </c>
      <c r="Q35" s="309">
        <f>+S35-SUM(K35,M35,O35)</f>
        <v>17577</v>
      </c>
      <c r="R35" s="226">
        <v>70951</v>
      </c>
      <c r="S35" s="309">
        <v>70951</v>
      </c>
      <c r="T35" s="226">
        <v>17499</v>
      </c>
    </row>
    <row r="36" spans="1:21" x14ac:dyDescent="0.4">
      <c r="A36" s="209"/>
      <c r="B36" s="218" t="s">
        <v>155</v>
      </c>
      <c r="C36" s="219"/>
      <c r="D36" s="219">
        <f>D35/C35-1</f>
        <v>0.3110385622585885</v>
      </c>
      <c r="E36" s="219">
        <v>0.24727413257275432</v>
      </c>
      <c r="F36" s="219">
        <v>0.19672846511191211</v>
      </c>
      <c r="G36" s="219">
        <v>9.2784432323543831E-2</v>
      </c>
      <c r="H36" s="219">
        <v>-4.2929047052516989E-2</v>
      </c>
      <c r="I36" s="219">
        <f t="shared" ref="I36" si="24">I35/D35-1</f>
        <v>0.1140583996302047</v>
      </c>
      <c r="J36" s="219">
        <f>J35/E35-1</f>
        <v>-2.9401093149770796E-2</v>
      </c>
      <c r="K36" s="303">
        <f>K35/E35-1</f>
        <v>-2.9384857740985537E-2</v>
      </c>
      <c r="L36" s="219">
        <f>L35/F35-1</f>
        <v>1.6522774338959989E-2</v>
      </c>
      <c r="M36" s="303">
        <f>M35/F35-1</f>
        <v>1.6522774338959989E-2</v>
      </c>
      <c r="N36" s="219">
        <f>N35/G35-1</f>
        <v>5.5768957384487727E-2</v>
      </c>
      <c r="O36" s="303">
        <f>O35/G35-1</f>
        <v>5.5768957384487727E-2</v>
      </c>
      <c r="P36" s="219">
        <f>P35/H35-1</f>
        <v>4.9804676911162193E-2</v>
      </c>
      <c r="Q36" s="303">
        <f>Q35/H35-1</f>
        <v>4.9804676911162193E-2</v>
      </c>
      <c r="R36" s="219">
        <f>R35/I35-1</f>
        <v>2.2847259742702963E-2</v>
      </c>
      <c r="S36" s="303">
        <f>S35/I35-1</f>
        <v>2.2847259742702963E-2</v>
      </c>
      <c r="T36" s="219">
        <f>T35/K35-1</f>
        <v>2.6755852842809347E-2</v>
      </c>
    </row>
    <row r="37" spans="1:21" x14ac:dyDescent="0.4">
      <c r="A37" s="209"/>
      <c r="B37" s="218" t="s">
        <v>171</v>
      </c>
      <c r="C37" s="219"/>
      <c r="D37" s="219">
        <v>0.3513</v>
      </c>
      <c r="E37" s="219">
        <v>0.2994</v>
      </c>
      <c r="F37" s="219">
        <v>0.23619999999999999</v>
      </c>
      <c r="G37" s="219">
        <v>0.1109</v>
      </c>
      <c r="H37" s="219">
        <v>-1.72E-2</v>
      </c>
      <c r="I37" s="219">
        <v>0.14699999999999999</v>
      </c>
      <c r="J37" s="219">
        <v>-8.7898081101827064E-3</v>
      </c>
      <c r="K37" s="303">
        <v>-8.7898081101827064E-3</v>
      </c>
      <c r="L37" s="221">
        <v>3.0415633413528154E-2</v>
      </c>
      <c r="M37" s="308">
        <v>3.0415633413528154E-2</v>
      </c>
      <c r="N37" s="219">
        <v>6.9456755626851718E-2</v>
      </c>
      <c r="O37" s="303">
        <v>6.9456755626851718E-2</v>
      </c>
      <c r="P37" s="219">
        <v>5.1325079581286515E-2</v>
      </c>
      <c r="Q37" s="303">
        <v>5.1325079581286515E-2</v>
      </c>
      <c r="R37" s="219">
        <v>3.5398495320312362E-2</v>
      </c>
      <c r="S37" s="303">
        <v>3.5398495320312362E-2</v>
      </c>
      <c r="T37" s="219">
        <v>2.2017804564526511E-2</v>
      </c>
    </row>
    <row r="38" spans="1:21" x14ac:dyDescent="0.4">
      <c r="A38" s="209"/>
      <c r="B38" s="218" t="s">
        <v>58</v>
      </c>
      <c r="C38" s="222">
        <v>17547.47159472257</v>
      </c>
      <c r="D38" s="222">
        <v>24758.198504829226</v>
      </c>
      <c r="E38" s="222">
        <v>7096.413997130705</v>
      </c>
      <c r="F38" s="222">
        <v>6743.8109230066148</v>
      </c>
      <c r="G38" s="222">
        <v>6882.3177134990838</v>
      </c>
      <c r="H38" s="222">
        <v>6681.9046943482699</v>
      </c>
      <c r="I38" s="222">
        <f>SUM(E38:H38)</f>
        <v>27404.447327984672</v>
      </c>
      <c r="J38" s="222">
        <v>6819</v>
      </c>
      <c r="K38" s="305">
        <f>ROUND(6904.8321447588,0)</f>
        <v>6905</v>
      </c>
      <c r="L38" s="228">
        <v>7362</v>
      </c>
      <c r="M38" s="305">
        <v>7512.1982279049298</v>
      </c>
      <c r="N38" s="222">
        <v>8361</v>
      </c>
      <c r="O38" s="305">
        <f>ROUND(8500.24509549765,0)</f>
        <v>8500</v>
      </c>
      <c r="P38" s="222">
        <f>ROUND(+R38-SUM(K38,M38,O38),0)</f>
        <v>6625</v>
      </c>
      <c r="Q38" s="305">
        <f>ROUND(+S38-SUM(K38,M38,O38),0)</f>
        <v>6697</v>
      </c>
      <c r="R38" s="222">
        <v>29542</v>
      </c>
      <c r="S38" s="305">
        <f>ROUND(29614.3890430638,0)</f>
        <v>29614</v>
      </c>
      <c r="T38" s="222">
        <v>7056</v>
      </c>
      <c r="U38" s="314"/>
    </row>
    <row r="39" spans="1:21" x14ac:dyDescent="0.4">
      <c r="A39" s="209"/>
      <c r="B39" s="218" t="s">
        <v>60</v>
      </c>
      <c r="C39" s="220">
        <f>C38/C35</f>
        <v>0.3694794058816907</v>
      </c>
      <c r="D39" s="220">
        <f t="shared" ref="D39" si="25">D38/D35</f>
        <v>0.3976301098964849</v>
      </c>
      <c r="E39" s="220">
        <f t="shared" ref="E39" si="26">E38/E35</f>
        <v>0.40414756095487187</v>
      </c>
      <c r="F39" s="220">
        <f t="shared" ref="F39" si="27">F38/F35</f>
        <v>0.3843699124795103</v>
      </c>
      <c r="G39" s="220">
        <f t="shared" ref="G39" si="28">G38/G35</f>
        <v>0.39284912396030058</v>
      </c>
      <c r="H39" s="220">
        <f t="shared" ref="H39" si="29">H38/H35</f>
        <v>0.39908373435748212</v>
      </c>
      <c r="I39" s="220">
        <f t="shared" ref="I39" si="30">I38/I35</f>
        <v>0.39506932748223927</v>
      </c>
      <c r="J39" s="220">
        <f t="shared" ref="J39:T39" si="31">J38/J35</f>
        <v>0.40011230785801954</v>
      </c>
      <c r="K39" s="304">
        <f t="shared" si="31"/>
        <v>0.40515167517455847</v>
      </c>
      <c r="L39" s="231">
        <f t="shared" si="31"/>
        <v>0.41278385197645079</v>
      </c>
      <c r="M39" s="304">
        <f t="shared" si="31"/>
        <v>0.42120539545303781</v>
      </c>
      <c r="N39" s="231">
        <f t="shared" si="31"/>
        <v>0.45204368512110726</v>
      </c>
      <c r="O39" s="304">
        <f t="shared" si="31"/>
        <v>0.45955882352941174</v>
      </c>
      <c r="P39" s="231">
        <f t="shared" si="31"/>
        <v>0.37691301132161348</v>
      </c>
      <c r="Q39" s="304">
        <f t="shared" ref="Q39" si="32">Q38/Q35</f>
        <v>0.38100927348239177</v>
      </c>
      <c r="R39" s="231">
        <f t="shared" si="31"/>
        <v>0.41637186227114487</v>
      </c>
      <c r="S39" s="304">
        <f t="shared" ref="S39" si="33">S38/S35</f>
        <v>0.4173866471226621</v>
      </c>
      <c r="T39" s="231">
        <f t="shared" si="31"/>
        <v>0.40322304131664666</v>
      </c>
    </row>
    <row r="40" spans="1:21" x14ac:dyDescent="0.4">
      <c r="A40" s="209"/>
      <c r="B40" s="218"/>
      <c r="C40" s="222"/>
      <c r="D40" s="222"/>
      <c r="E40" s="229"/>
      <c r="F40" s="222"/>
      <c r="G40" s="220"/>
      <c r="H40" s="220"/>
      <c r="I40" s="222"/>
      <c r="J40" s="229"/>
      <c r="K40" s="304"/>
      <c r="M40" s="307"/>
      <c r="O40" s="307"/>
      <c r="Q40" s="307"/>
      <c r="S40" s="307"/>
    </row>
    <row r="41" spans="1:21" x14ac:dyDescent="0.4">
      <c r="A41" s="224"/>
      <c r="B41" s="224" t="s">
        <v>180</v>
      </c>
      <c r="C41" s="225">
        <v>92013.012085009483</v>
      </c>
      <c r="D41" s="225">
        <v>78504.085756886008</v>
      </c>
      <c r="E41" s="225">
        <v>19818.352157100006</v>
      </c>
      <c r="F41" s="225">
        <v>19284.475142600004</v>
      </c>
      <c r="G41" s="225">
        <v>19857.807480000003</v>
      </c>
      <c r="H41" s="225">
        <v>20455.601914249866</v>
      </c>
      <c r="I41" s="225">
        <f>SUM(E41:H41)</f>
        <v>79416.236693949875</v>
      </c>
      <c r="J41" s="225">
        <v>21014.357179870552</v>
      </c>
      <c r="K41" s="306">
        <v>21014</v>
      </c>
      <c r="L41" s="226">
        <v>21038</v>
      </c>
      <c r="M41" s="309">
        <v>21038</v>
      </c>
      <c r="N41" s="226">
        <v>21642</v>
      </c>
      <c r="O41" s="309">
        <v>21642</v>
      </c>
      <c r="P41" s="226">
        <f>+R41-SUM(K41,M41,O41)</f>
        <v>22833</v>
      </c>
      <c r="Q41" s="309">
        <f>+S41-SUM(K41,M41,O41)</f>
        <v>22833</v>
      </c>
      <c r="R41" s="226">
        <v>86527</v>
      </c>
      <c r="S41" s="309">
        <v>86527</v>
      </c>
      <c r="T41" s="226">
        <v>23972</v>
      </c>
    </row>
    <row r="42" spans="1:21" x14ac:dyDescent="0.4">
      <c r="A42" s="209"/>
      <c r="B42" s="218" t="s">
        <v>155</v>
      </c>
      <c r="C42" s="219"/>
      <c r="D42" s="219">
        <f>D41/C41-1</f>
        <v>-0.14681539080193107</v>
      </c>
      <c r="E42" s="219">
        <v>-7.4618175234064665E-4</v>
      </c>
      <c r="F42" s="219">
        <v>-1.0612374653135803E-2</v>
      </c>
      <c r="G42" s="219">
        <v>1.8524805758866947E-2</v>
      </c>
      <c r="H42" s="219">
        <v>3.9253616501386812E-2</v>
      </c>
      <c r="I42" s="219">
        <f t="shared" ref="I42" si="34">I41/D41-1</f>
        <v>1.1619152408049782E-2</v>
      </c>
      <c r="J42" s="219">
        <f>J41/E41-1</f>
        <v>6.034835859660892E-2</v>
      </c>
      <c r="K42" s="303">
        <f>K41/E41-1</f>
        <v>6.033033591401038E-2</v>
      </c>
      <c r="L42" s="219">
        <f>L41/F41-1</f>
        <v>9.0929353505007082E-2</v>
      </c>
      <c r="M42" s="303">
        <f>M41/F41-1</f>
        <v>9.0929353505007082E-2</v>
      </c>
      <c r="N42" s="219">
        <f>N41/G41-1</f>
        <v>8.98484146246743E-2</v>
      </c>
      <c r="O42" s="303">
        <f>O41/G41-1</f>
        <v>8.98484146246743E-2</v>
      </c>
      <c r="P42" s="219">
        <f>P41/H41-1</f>
        <v>0.11622234807444021</v>
      </c>
      <c r="Q42" s="303">
        <f>Q41/H41-1</f>
        <v>0.11622234807444021</v>
      </c>
      <c r="R42" s="219">
        <f>R41/I41-1</f>
        <v>8.953790310479226E-2</v>
      </c>
      <c r="S42" s="303">
        <f>S41/I41-1</f>
        <v>8.953790310479226E-2</v>
      </c>
      <c r="T42" s="219">
        <f>T41/K41-1</f>
        <v>0.14076330065670506</v>
      </c>
    </row>
    <row r="43" spans="1:21" x14ac:dyDescent="0.4">
      <c r="A43" s="209"/>
      <c r="B43" s="218" t="s">
        <v>171</v>
      </c>
      <c r="C43" s="219"/>
      <c r="D43" s="219">
        <v>-0.14280000000000001</v>
      </c>
      <c r="E43" s="219">
        <v>1.0800000000000001E-2</v>
      </c>
      <c r="F43" s="219">
        <v>5.1000000000000004E-3</v>
      </c>
      <c r="G43" s="219">
        <v>2.5999999999999999E-2</v>
      </c>
      <c r="H43" s="219">
        <v>5.04E-2</v>
      </c>
      <c r="I43" s="219">
        <v>1.95E-2</v>
      </c>
      <c r="J43" s="219">
        <v>5.9375507743957501E-2</v>
      </c>
      <c r="K43" s="303">
        <v>5.9375507743957501E-2</v>
      </c>
      <c r="L43" s="221">
        <v>8.7111291904700794E-2</v>
      </c>
      <c r="M43" s="308">
        <v>8.7111291904700794E-2</v>
      </c>
      <c r="N43" s="219">
        <v>7.8793541177875737E-2</v>
      </c>
      <c r="O43" s="303">
        <v>7.8793541177875737E-2</v>
      </c>
      <c r="P43" s="219">
        <v>9.9241949534063068E-2</v>
      </c>
      <c r="Q43" s="303">
        <v>9.9241949534063068E-2</v>
      </c>
      <c r="R43" s="219">
        <v>8.1234534877984155E-2</v>
      </c>
      <c r="S43" s="303">
        <v>8.1234534877984155E-2</v>
      </c>
      <c r="T43" s="219">
        <v>0.11758214400387579</v>
      </c>
    </row>
    <row r="44" spans="1:21" x14ac:dyDescent="0.4">
      <c r="A44" s="209"/>
      <c r="B44" s="218" t="s">
        <v>58</v>
      </c>
      <c r="C44" s="222">
        <v>35243.453580917499</v>
      </c>
      <c r="D44" s="222">
        <v>31658.04934269638</v>
      </c>
      <c r="E44" s="222">
        <v>8374.6219015083079</v>
      </c>
      <c r="F44" s="222">
        <v>7355.1145986762203</v>
      </c>
      <c r="G44" s="222">
        <v>7845.7788462436238</v>
      </c>
      <c r="H44" s="222">
        <v>7538.2434568414137</v>
      </c>
      <c r="I44" s="222">
        <f>SUM(E44:H44)</f>
        <v>31113.758803269568</v>
      </c>
      <c r="J44" s="222">
        <f>ROUND(8116.4758014259,0)</f>
        <v>8116</v>
      </c>
      <c r="K44" s="305">
        <f>ROUND(8588.46080539107,0)</f>
        <v>8588</v>
      </c>
      <c r="L44" s="228">
        <v>8083</v>
      </c>
      <c r="M44" s="305">
        <v>8699.880853350036</v>
      </c>
      <c r="N44" s="222">
        <v>8332</v>
      </c>
      <c r="O44" s="305">
        <f>ROUND(9007.93462975813,0)</f>
        <v>9008</v>
      </c>
      <c r="P44" s="222">
        <f>ROUND(+R44-SUM(K44,M44,O44),0)</f>
        <v>8786</v>
      </c>
      <c r="Q44" s="305">
        <f>ROUND(+S44-SUM(K44,M44,O44),0)</f>
        <v>8869</v>
      </c>
      <c r="R44" s="222">
        <v>35082</v>
      </c>
      <c r="S44" s="305">
        <f>ROUND(35165.0600100329,0)</f>
        <v>35165</v>
      </c>
      <c r="T44" s="222">
        <v>9243</v>
      </c>
      <c r="U44" s="314"/>
    </row>
    <row r="45" spans="1:21" x14ac:dyDescent="0.4">
      <c r="A45" s="209"/>
      <c r="B45" s="218" t="s">
        <v>60</v>
      </c>
      <c r="C45" s="220">
        <f>C44/C41</f>
        <v>0.38302684351161753</v>
      </c>
      <c r="D45" s="220">
        <f t="shared" ref="D45" si="35">D44/D41</f>
        <v>0.40326626362780726</v>
      </c>
      <c r="E45" s="220">
        <f t="shared" ref="E45" si="36">E44/E41</f>
        <v>0.42256903273908497</v>
      </c>
      <c r="F45" s="220">
        <f t="shared" ref="F45" si="37">F44/F41</f>
        <v>0.38140081823790706</v>
      </c>
      <c r="G45" s="220">
        <f t="shared" ref="G45" si="38">G44/G41</f>
        <v>0.39509794090538852</v>
      </c>
      <c r="H45" s="220">
        <f t="shared" ref="H45" si="39">H44/H41</f>
        <v>0.36851731317620584</v>
      </c>
      <c r="I45" s="220">
        <f t="shared" ref="I45" si="40">I44/I41</f>
        <v>0.3917808259181827</v>
      </c>
      <c r="J45" s="220">
        <f t="shared" ref="J45:T45" si="41">J44/J41</f>
        <v>0.38621214679715432</v>
      </c>
      <c r="K45" s="304">
        <f t="shared" si="41"/>
        <v>0.40867992766726946</v>
      </c>
      <c r="L45" s="231">
        <f t="shared" si="41"/>
        <v>0.38420952562030614</v>
      </c>
      <c r="M45" s="304">
        <f t="shared" si="41"/>
        <v>0.41353174509696911</v>
      </c>
      <c r="N45" s="231">
        <f t="shared" si="41"/>
        <v>0.38499214490342853</v>
      </c>
      <c r="O45" s="304">
        <f t="shared" si="41"/>
        <v>0.41622770538767212</v>
      </c>
      <c r="P45" s="231">
        <f t="shared" si="41"/>
        <v>0.38479393859764377</v>
      </c>
      <c r="Q45" s="304">
        <f t="shared" ref="Q45" si="42">Q44/Q41</f>
        <v>0.38842902816099506</v>
      </c>
      <c r="R45" s="231">
        <f t="shared" si="41"/>
        <v>0.40544569903036048</v>
      </c>
      <c r="S45" s="304">
        <f t="shared" ref="S45" si="43">S44/S41</f>
        <v>0.40640493718723636</v>
      </c>
      <c r="T45" s="231">
        <f t="shared" si="41"/>
        <v>0.38557483731019521</v>
      </c>
    </row>
    <row r="46" spans="1:21" x14ac:dyDescent="0.4">
      <c r="A46" s="209"/>
      <c r="B46" s="218"/>
      <c r="C46" s="222"/>
      <c r="D46" s="222"/>
      <c r="E46" s="229"/>
      <c r="F46" s="222"/>
      <c r="G46" s="220"/>
      <c r="H46" s="220"/>
      <c r="I46" s="222"/>
      <c r="J46" s="229"/>
      <c r="K46" s="304"/>
      <c r="M46" s="307"/>
      <c r="O46" s="307"/>
      <c r="Q46" s="307"/>
      <c r="S46" s="307"/>
    </row>
    <row r="47" spans="1:21" x14ac:dyDescent="0.4">
      <c r="A47" s="224"/>
      <c r="B47" s="224" t="s">
        <v>181</v>
      </c>
      <c r="C47" s="225">
        <v>100001.0206454572</v>
      </c>
      <c r="D47" s="225">
        <v>110485.05095239524</v>
      </c>
      <c r="E47" s="225">
        <f>E17-E23-E29-E35-E41</f>
        <v>26006.40588289998</v>
      </c>
      <c r="F47" s="225">
        <f>F17-F23-F29-F35-F41</f>
        <v>26000.87589739999</v>
      </c>
      <c r="G47" s="225">
        <f>G17-G23-G29-G35-G41</f>
        <v>23426.50103639999</v>
      </c>
      <c r="H47" s="225">
        <f>H17-H23-H29-H35-H41</f>
        <v>21054.559113327214</v>
      </c>
      <c r="I47" s="225">
        <f>SUM(E47:H47)</f>
        <v>96488.341930027178</v>
      </c>
      <c r="J47" s="225">
        <v>21116</v>
      </c>
      <c r="K47" s="306">
        <v>21116</v>
      </c>
      <c r="L47" s="226">
        <v>21447</v>
      </c>
      <c r="M47" s="309">
        <v>21447</v>
      </c>
      <c r="N47" s="226">
        <v>19983</v>
      </c>
      <c r="O47" s="309">
        <v>19983</v>
      </c>
      <c r="P47" s="226">
        <f>+R47-SUM(K47,M47,O47)</f>
        <v>20536</v>
      </c>
      <c r="Q47" s="309">
        <f>+S47-SUM(K47,M47,O47)</f>
        <v>20536</v>
      </c>
      <c r="R47" s="226">
        <v>83082</v>
      </c>
      <c r="S47" s="309">
        <v>83082</v>
      </c>
      <c r="T47" s="226">
        <v>21700</v>
      </c>
    </row>
    <row r="48" spans="1:21" x14ac:dyDescent="0.4">
      <c r="A48" s="209"/>
      <c r="B48" s="218" t="s">
        <v>155</v>
      </c>
      <c r="C48" s="219"/>
      <c r="D48" s="219">
        <f>D47/C47-1</f>
        <v>0.10483923303251097</v>
      </c>
      <c r="E48" s="219">
        <v>-3.4849636675571727E-2</v>
      </c>
      <c r="F48" s="219">
        <v>-2.5165564204456148E-2</v>
      </c>
      <c r="G48" s="219">
        <v>-0.19710813792732296</v>
      </c>
      <c r="H48" s="219">
        <v>-0.23962920783055497</v>
      </c>
      <c r="I48" s="219">
        <f t="shared" ref="I48" si="44">I47/D47-1</f>
        <v>-0.12668418850979968</v>
      </c>
      <c r="J48" s="219">
        <f>J47/E47-1</f>
        <v>-0.18804620311319431</v>
      </c>
      <c r="K48" s="303">
        <f>K47/E47-1</f>
        <v>-0.18804620311319431</v>
      </c>
      <c r="L48" s="219">
        <f>L47/F47-1</f>
        <v>-0.17514317269040014</v>
      </c>
      <c r="M48" s="303">
        <f>M47/F47-1</f>
        <v>-0.17514317269040014</v>
      </c>
      <c r="N48" s="219">
        <f>N47/G47-1</f>
        <v>-0.14699169248747368</v>
      </c>
      <c r="O48" s="303">
        <f>O47/G47-1</f>
        <v>-0.14699169248747368</v>
      </c>
      <c r="P48" s="219">
        <f>P47/H47-1</f>
        <v>-2.4629302876210457E-2</v>
      </c>
      <c r="Q48" s="303">
        <f>Q47/H47-1</f>
        <v>-2.4629302876210457E-2</v>
      </c>
      <c r="R48" s="219">
        <f>R47/I47-1</f>
        <v>-0.13894260862881636</v>
      </c>
      <c r="S48" s="303">
        <f>S47/I47-1</f>
        <v>-0.13894260862881636</v>
      </c>
      <c r="T48" s="219">
        <f>T47/K47-1</f>
        <v>2.7656753172949466E-2</v>
      </c>
    </row>
    <row r="49" spans="1:21" x14ac:dyDescent="0.4">
      <c r="A49" s="209"/>
      <c r="B49" s="218" t="s">
        <v>171</v>
      </c>
      <c r="C49" s="219"/>
      <c r="D49" s="219">
        <v>0.1424</v>
      </c>
      <c r="E49" s="219">
        <v>1.01E-2</v>
      </c>
      <c r="F49" s="219">
        <v>1.03E-2</v>
      </c>
      <c r="G49" s="219">
        <v>-0.16869999999999999</v>
      </c>
      <c r="H49" s="219">
        <v>-0.21060000000000001</v>
      </c>
      <c r="I49" s="219">
        <v>-9.1600000000000001E-2</v>
      </c>
      <c r="J49" s="219">
        <v>-0.17873627364342526</v>
      </c>
      <c r="K49" s="303">
        <v>-0.17873627364342526</v>
      </c>
      <c r="L49" s="221">
        <v>-0.18041377630015187</v>
      </c>
      <c r="M49" s="308">
        <v>-0.18041377630015187</v>
      </c>
      <c r="N49" s="219">
        <v>-0.1599352906915209</v>
      </c>
      <c r="O49" s="303">
        <v>-0.1599352906915209</v>
      </c>
      <c r="P49" s="219">
        <v>-5.2199751882280876E-2</v>
      </c>
      <c r="Q49" s="303">
        <v>-5.2199751882280876E-2</v>
      </c>
      <c r="R49" s="219">
        <v>-0.14701258829889308</v>
      </c>
      <c r="S49" s="303">
        <v>-0.14701258829889308</v>
      </c>
      <c r="T49" s="219">
        <v>-6.1027868993246415E-4</v>
      </c>
    </row>
    <row r="50" spans="1:21" x14ac:dyDescent="0.4">
      <c r="A50" s="209"/>
      <c r="B50" s="218" t="s">
        <v>58</v>
      </c>
      <c r="C50" s="222">
        <v>36847.669982573076</v>
      </c>
      <c r="D50" s="222">
        <v>42178.457561157244</v>
      </c>
      <c r="E50" s="222">
        <f>E20-E26-E32-E38-E44-1</f>
        <v>9117.8138538185267</v>
      </c>
      <c r="F50" s="222">
        <f>F20-F26-F32-F38-F44</f>
        <v>9707.7961645018768</v>
      </c>
      <c r="G50" s="222">
        <f>G20-G26-G32-G38-G44</f>
        <v>8770.7216236646254</v>
      </c>
      <c r="H50" s="222">
        <f>H20-H26-H32-H38-H44</f>
        <v>7840.7824061712872</v>
      </c>
      <c r="I50" s="222">
        <f>SUM(E50:H50)</f>
        <v>35437.11404815632</v>
      </c>
      <c r="J50" s="222">
        <v>6672</v>
      </c>
      <c r="K50" s="305">
        <f>ROUND(6703.27249362086,0)</f>
        <v>6703</v>
      </c>
      <c r="L50" s="228">
        <v>6750</v>
      </c>
      <c r="M50" s="305">
        <v>6801.5654992821783</v>
      </c>
      <c r="N50" s="228">
        <v>6355</v>
      </c>
      <c r="O50" s="305">
        <f>ROUND(6413.60301117024,0)-1</f>
        <v>6413</v>
      </c>
      <c r="P50" s="222">
        <f>ROUND(+R50-SUM(K50,M50,O50),0)</f>
        <v>6467</v>
      </c>
      <c r="Q50" s="305">
        <f>ROUND(+S50-SUM(K50,M50,O50),0)</f>
        <v>6526</v>
      </c>
      <c r="R50" s="222">
        <v>26385</v>
      </c>
      <c r="S50" s="305">
        <f>ROUND(26442.9387487777,0)+1</f>
        <v>26444</v>
      </c>
      <c r="T50" s="222">
        <v>6515</v>
      </c>
      <c r="U50" s="314"/>
    </row>
    <row r="51" spans="1:21" x14ac:dyDescent="0.4">
      <c r="A51" s="209"/>
      <c r="B51" s="218" t="s">
        <v>60</v>
      </c>
      <c r="C51" s="220">
        <f>C50/C47</f>
        <v>0.3684729390234176</v>
      </c>
      <c r="D51" s="220">
        <f t="shared" ref="D51" si="45">D50/D47</f>
        <v>0.38175714449668585</v>
      </c>
      <c r="E51" s="220">
        <f t="shared" ref="E51" si="46">E50/E47</f>
        <v>0.35059876766030834</v>
      </c>
      <c r="F51" s="220">
        <f t="shared" ref="F51" si="47">F50/F47</f>
        <v>0.37336419752969274</v>
      </c>
      <c r="G51" s="220">
        <f t="shared" ref="G51" si="48">G50/G47</f>
        <v>0.37439315457467243</v>
      </c>
      <c r="H51" s="220">
        <f t="shared" ref="H51" si="49">H50/H47</f>
        <v>0.3724030678566046</v>
      </c>
      <c r="I51" s="220">
        <f t="shared" ref="I51" si="50">I50/I47</f>
        <v>0.36726834910123257</v>
      </c>
      <c r="J51" s="220">
        <f t="shared" ref="J51:T51" si="51">J50/J47</f>
        <v>0.3159689335101345</v>
      </c>
      <c r="K51" s="304">
        <f t="shared" si="51"/>
        <v>0.31743701458609586</v>
      </c>
      <c r="L51" s="220">
        <f t="shared" si="51"/>
        <v>0.31472933277381454</v>
      </c>
      <c r="M51" s="304">
        <f t="shared" si="51"/>
        <v>0.31713365502318169</v>
      </c>
      <c r="N51" s="220">
        <f t="shared" si="51"/>
        <v>0.31802031726967922</v>
      </c>
      <c r="O51" s="304">
        <f t="shared" si="51"/>
        <v>0.32092278436671168</v>
      </c>
      <c r="P51" s="220">
        <f t="shared" si="51"/>
        <v>0.31491040124659136</v>
      </c>
      <c r="Q51" s="304">
        <f t="shared" ref="Q51" si="52">Q50/Q47</f>
        <v>0.31778340475262951</v>
      </c>
      <c r="R51" s="220">
        <f t="shared" si="51"/>
        <v>0.31757781468910234</v>
      </c>
      <c r="S51" s="304">
        <f t="shared" ref="S51" si="53">S50/S47</f>
        <v>0.3182879564767338</v>
      </c>
      <c r="T51" s="220">
        <f t="shared" si="51"/>
        <v>0.30023041474654377</v>
      </c>
    </row>
    <row r="52" spans="1:21" x14ac:dyDescent="0.4">
      <c r="A52" s="209"/>
      <c r="B52" s="218"/>
      <c r="C52" s="220"/>
      <c r="D52" s="222"/>
      <c r="E52" s="220"/>
      <c r="F52" s="220"/>
      <c r="G52" s="220"/>
      <c r="H52" s="220"/>
      <c r="I52" s="222"/>
      <c r="J52" s="220"/>
      <c r="K52" s="304"/>
      <c r="M52" s="307"/>
      <c r="O52" s="307"/>
      <c r="Q52" s="307"/>
      <c r="S52" s="307"/>
    </row>
    <row r="53" spans="1:21" x14ac:dyDescent="0.4">
      <c r="A53" s="209"/>
      <c r="B53" s="210"/>
      <c r="C53" s="214"/>
      <c r="D53" s="214"/>
      <c r="E53" s="214"/>
      <c r="F53" s="214"/>
      <c r="G53" s="214"/>
      <c r="H53" s="214"/>
      <c r="I53" s="214"/>
      <c r="J53" s="214"/>
      <c r="K53" s="301"/>
      <c r="M53" s="307"/>
      <c r="O53" s="307"/>
      <c r="P53" s="257"/>
      <c r="Q53" s="307"/>
      <c r="R53" s="257"/>
      <c r="S53" s="307"/>
      <c r="T53" s="257"/>
    </row>
    <row r="54" spans="1:21" x14ac:dyDescent="0.4">
      <c r="A54" s="215"/>
      <c r="B54" s="216" t="s">
        <v>187</v>
      </c>
      <c r="C54" s="217">
        <v>65615</v>
      </c>
      <c r="D54" s="217">
        <v>122151.4030563128</v>
      </c>
      <c r="E54" s="217">
        <v>38966</v>
      </c>
      <c r="F54" s="217">
        <v>39609</v>
      </c>
      <c r="G54" s="217">
        <v>41637</v>
      </c>
      <c r="H54" s="217">
        <f>I54-E54-F54-G54</f>
        <v>45522</v>
      </c>
      <c r="I54" s="217">
        <v>165734</v>
      </c>
      <c r="J54" s="217">
        <v>49007.067978963896</v>
      </c>
      <c r="K54" s="302">
        <v>49007</v>
      </c>
      <c r="L54" s="232">
        <v>51559</v>
      </c>
      <c r="M54" s="310">
        <v>51559</v>
      </c>
      <c r="N54" s="232">
        <v>53744</v>
      </c>
      <c r="O54" s="310">
        <v>53744</v>
      </c>
      <c r="P54" s="256">
        <f>+R54-SUM(K54,M54,O54)</f>
        <v>55633</v>
      </c>
      <c r="Q54" s="310">
        <f>+S54-SUM(K54,M54,O54)</f>
        <v>55633</v>
      </c>
      <c r="R54" s="256">
        <v>209943</v>
      </c>
      <c r="S54" s="310">
        <v>209943</v>
      </c>
      <c r="T54" s="256">
        <v>57102</v>
      </c>
    </row>
    <row r="55" spans="1:21" x14ac:dyDescent="0.4">
      <c r="A55" s="209"/>
      <c r="B55" s="218" t="s">
        <v>155</v>
      </c>
      <c r="C55" s="219">
        <v>0.44090000000000001</v>
      </c>
      <c r="D55" s="219">
        <f>D54/C54-1</f>
        <v>0.86163839147013332</v>
      </c>
      <c r="E55" s="219">
        <v>0.98229999999999995</v>
      </c>
      <c r="F55" s="219">
        <v>0.29549999999999998</v>
      </c>
      <c r="G55" s="219">
        <v>0.17419999999999999</v>
      </c>
      <c r="H55" s="219">
        <v>0.2485</v>
      </c>
      <c r="I55" s="219">
        <f t="shared" ref="I55:J55" si="54">I54/D54-1</f>
        <v>0.35679161968852102</v>
      </c>
      <c r="J55" s="219">
        <f t="shared" si="54"/>
        <v>0.25768793252999789</v>
      </c>
      <c r="K55" s="303">
        <f>K54/E54-1</f>
        <v>0.25768618795873333</v>
      </c>
      <c r="L55" s="219">
        <f>L54/F54-1</f>
        <v>0.30169910878840667</v>
      </c>
      <c r="M55" s="303">
        <f>M54/F54-1</f>
        <v>0.30169910878840667</v>
      </c>
      <c r="N55" s="219">
        <f>N54/G54-1</f>
        <v>0.29077503182265763</v>
      </c>
      <c r="O55" s="303">
        <f>O54/G54-1</f>
        <v>0.29077503182265763</v>
      </c>
      <c r="P55" s="219">
        <f>P54/H54-1</f>
        <v>0.22211238522033305</v>
      </c>
      <c r="Q55" s="303">
        <f>Q54/H54-1</f>
        <v>0.22211238522033305</v>
      </c>
      <c r="R55" s="219">
        <f>R54/I54-1</f>
        <v>0.26674671461498556</v>
      </c>
      <c r="S55" s="303">
        <f>S54/I54-1</f>
        <v>0.26674671461498556</v>
      </c>
      <c r="T55" s="219">
        <f>T54/K54-1</f>
        <v>0.16518048442059308</v>
      </c>
    </row>
    <row r="56" spans="1:21" x14ac:dyDescent="0.4">
      <c r="A56" s="209"/>
      <c r="B56" s="218" t="s">
        <v>171</v>
      </c>
      <c r="C56" s="220">
        <v>0.42799999999999999</v>
      </c>
      <c r="D56" s="220">
        <v>0.88100000000000001</v>
      </c>
      <c r="E56" s="220">
        <v>0.99670000000000003</v>
      </c>
      <c r="F56" s="220">
        <v>0.312</v>
      </c>
      <c r="G56" s="220">
        <v>0.19689999999999999</v>
      </c>
      <c r="H56" s="220">
        <v>0.27100000000000002</v>
      </c>
      <c r="I56" s="220">
        <v>0.376</v>
      </c>
      <c r="J56" s="220">
        <v>0.26449313786220241</v>
      </c>
      <c r="K56" s="304">
        <v>0.26449313786220241</v>
      </c>
      <c r="L56" s="221">
        <v>0.30672714056653971</v>
      </c>
      <c r="M56" s="308">
        <v>0.30672714056653971</v>
      </c>
      <c r="N56" s="219">
        <v>0.28622381929732188</v>
      </c>
      <c r="O56" s="303">
        <v>0.28622381929732188</v>
      </c>
      <c r="P56" s="219">
        <v>0.21556896689772653</v>
      </c>
      <c r="Q56" s="303">
        <v>0.21556896689772653</v>
      </c>
      <c r="R56" s="219">
        <v>0.2666081850078057</v>
      </c>
      <c r="S56" s="303">
        <v>0.2666081850078057</v>
      </c>
      <c r="T56" s="219">
        <v>0.15791931376504653</v>
      </c>
    </row>
    <row r="57" spans="1:21" x14ac:dyDescent="0.4">
      <c r="A57" s="209"/>
      <c r="B57" s="218" t="s">
        <v>58</v>
      </c>
      <c r="C57" s="222">
        <v>19572.54127862594</v>
      </c>
      <c r="D57" s="222">
        <v>43313.472940729494</v>
      </c>
      <c r="E57" s="222">
        <v>14194.544900827801</v>
      </c>
      <c r="F57" s="222">
        <v>14065</v>
      </c>
      <c r="G57" s="222">
        <v>15858</v>
      </c>
      <c r="H57" s="222">
        <f>I57-E57-F57-G57</f>
        <v>15275.455099172199</v>
      </c>
      <c r="I57" s="222">
        <v>59393</v>
      </c>
      <c r="J57" s="222">
        <f>ROUND(16968.6764479082,0)</f>
        <v>16969</v>
      </c>
      <c r="K57" s="305">
        <f>ROUND(17250.6004479698,0)</f>
        <v>17251</v>
      </c>
      <c r="L57" s="222">
        <v>17461</v>
      </c>
      <c r="M57" s="305">
        <f>ROUND(17907.9207157307,0)</f>
        <v>17908</v>
      </c>
      <c r="N57" s="222">
        <v>17593</v>
      </c>
      <c r="O57" s="305">
        <f>ROUND(18114.961717834,0)-1</f>
        <v>18114</v>
      </c>
      <c r="P57" s="222">
        <f>ROUND(+R57-SUM(K57,M57,O57),0)</f>
        <v>19647</v>
      </c>
      <c r="Q57" s="305">
        <f>ROUND(+S57-SUM(K57,M57,O57),0)</f>
        <v>19710</v>
      </c>
      <c r="R57" s="222">
        <v>72920</v>
      </c>
      <c r="S57" s="305">
        <f>ROUND(72983.3295386044,0)</f>
        <v>72983</v>
      </c>
      <c r="T57" s="222">
        <v>19027</v>
      </c>
      <c r="U57" s="314"/>
    </row>
    <row r="58" spans="1:21" x14ac:dyDescent="0.4">
      <c r="A58" s="209"/>
      <c r="B58" s="218" t="s">
        <v>60</v>
      </c>
      <c r="C58" s="220">
        <v>0.29830000000000001</v>
      </c>
      <c r="D58" s="220">
        <v>0.35460000000000003</v>
      </c>
      <c r="E58" s="220">
        <v>0.36430000000000001</v>
      </c>
      <c r="F58" s="220">
        <v>0.35510000000000003</v>
      </c>
      <c r="G58" s="220">
        <v>0.38090000000000002</v>
      </c>
      <c r="H58" s="220">
        <v>0.33560000000000001</v>
      </c>
      <c r="I58" s="220">
        <v>0.3584</v>
      </c>
      <c r="J58" s="220">
        <f t="shared" ref="J58:T58" si="55">J57/J54</f>
        <v>0.34625617691072402</v>
      </c>
      <c r="K58" s="304">
        <f t="shared" si="55"/>
        <v>0.35201093721305121</v>
      </c>
      <c r="L58" s="220">
        <f t="shared" si="55"/>
        <v>0.33866056362613706</v>
      </c>
      <c r="M58" s="304">
        <f t="shared" si="55"/>
        <v>0.34733024302255666</v>
      </c>
      <c r="N58" s="220">
        <f t="shared" si="55"/>
        <v>0.32734816909794584</v>
      </c>
      <c r="O58" s="304">
        <f t="shared" si="55"/>
        <v>0.3370422744864543</v>
      </c>
      <c r="P58" s="220">
        <f t="shared" si="55"/>
        <v>0.35315370373699062</v>
      </c>
      <c r="Q58" s="304">
        <f t="shared" ref="Q58" si="56">Q57/Q54</f>
        <v>0.35428612514155267</v>
      </c>
      <c r="R58" s="220">
        <f t="shared" si="55"/>
        <v>0.34733237116741211</v>
      </c>
      <c r="S58" s="304">
        <f t="shared" ref="S58" si="57">S57/S54</f>
        <v>0.34763245261809156</v>
      </c>
      <c r="T58" s="220">
        <f t="shared" si="55"/>
        <v>0.33321074568316345</v>
      </c>
    </row>
    <row r="59" spans="1:21" x14ac:dyDescent="0.4">
      <c r="A59" s="209"/>
      <c r="B59" s="218"/>
      <c r="C59" s="220"/>
      <c r="D59" s="220"/>
      <c r="E59" s="220"/>
      <c r="F59" s="220"/>
      <c r="G59" s="220"/>
      <c r="H59" s="220"/>
      <c r="I59" s="220"/>
      <c r="J59" s="220"/>
      <c r="K59" s="304"/>
      <c r="M59" s="307"/>
      <c r="O59" s="307"/>
      <c r="Q59" s="307"/>
      <c r="S59" s="307"/>
    </row>
    <row r="60" spans="1:21" x14ac:dyDescent="0.4">
      <c r="A60" s="215"/>
      <c r="B60" s="216" t="s">
        <v>86</v>
      </c>
      <c r="C60" s="217">
        <v>499278</v>
      </c>
      <c r="D60" s="217">
        <v>628492</v>
      </c>
      <c r="E60" s="217">
        <v>167036</v>
      </c>
      <c r="F60" s="217">
        <f>F54+F17</f>
        <v>170478</v>
      </c>
      <c r="G60" s="217">
        <f>G54+G17</f>
        <v>171200</v>
      </c>
      <c r="H60" s="217">
        <f>H54+H17</f>
        <v>177274</v>
      </c>
      <c r="I60" s="217">
        <f>I54+I17</f>
        <v>685988</v>
      </c>
      <c r="J60" s="217">
        <v>183032.94340484185</v>
      </c>
      <c r="K60" s="217">
        <f t="shared" ref="K60:T60" si="58">+K54+K17</f>
        <v>183033</v>
      </c>
      <c r="L60" s="217">
        <f t="shared" si="58"/>
        <v>189057</v>
      </c>
      <c r="M60" s="217">
        <f t="shared" si="58"/>
        <v>189057</v>
      </c>
      <c r="N60" s="217">
        <f t="shared" si="58"/>
        <v>192345</v>
      </c>
      <c r="O60" s="217">
        <f t="shared" si="58"/>
        <v>192345</v>
      </c>
      <c r="P60" s="217">
        <f t="shared" si="58"/>
        <v>197875</v>
      </c>
      <c r="Q60" s="217">
        <f t="shared" ref="Q60" si="59">+Q54+Q17</f>
        <v>197875</v>
      </c>
      <c r="R60" s="217">
        <f t="shared" si="58"/>
        <v>762310</v>
      </c>
      <c r="S60" s="217">
        <f t="shared" ref="S60" si="60">+S54+S17</f>
        <v>762310</v>
      </c>
      <c r="T60" s="217">
        <f t="shared" si="58"/>
        <v>206973</v>
      </c>
      <c r="U60" s="208" t="s">
        <v>198</v>
      </c>
    </row>
    <row r="61" spans="1:21" x14ac:dyDescent="0.4">
      <c r="A61" s="209"/>
      <c r="B61" s="218"/>
      <c r="C61" s="214"/>
      <c r="D61" s="214"/>
      <c r="E61" s="220"/>
      <c r="F61" s="220"/>
      <c r="G61" s="220"/>
      <c r="H61" s="220"/>
      <c r="I61" s="214"/>
      <c r="J61" s="220"/>
      <c r="K61" s="220"/>
    </row>
    <row r="62" spans="1:21" ht="39.75" customHeight="1" x14ac:dyDescent="0.4">
      <c r="A62" s="209"/>
      <c r="B62" s="372" t="s">
        <v>189</v>
      </c>
      <c r="C62" s="372"/>
      <c r="D62" s="372"/>
      <c r="E62" s="372"/>
      <c r="F62" s="372"/>
      <c r="G62" s="372"/>
      <c r="H62" s="372"/>
      <c r="I62" s="372"/>
      <c r="J62" s="372"/>
      <c r="K62" s="372"/>
      <c r="L62" s="372"/>
      <c r="M62" s="372"/>
      <c r="N62" s="372"/>
      <c r="O62" s="258"/>
      <c r="P62" s="243"/>
      <c r="Q62" s="332"/>
      <c r="R62" s="321"/>
      <c r="S62" s="332"/>
      <c r="T62" s="331"/>
    </row>
    <row r="63" spans="1:21" x14ac:dyDescent="0.4">
      <c r="A63" s="209"/>
      <c r="B63" s="223" t="s">
        <v>190</v>
      </c>
      <c r="C63" s="214"/>
      <c r="D63" s="214"/>
      <c r="E63" s="220"/>
      <c r="F63" s="220"/>
      <c r="G63" s="220"/>
      <c r="H63" s="220"/>
      <c r="I63" s="214"/>
      <c r="J63" s="220"/>
      <c r="K63" s="220"/>
    </row>
    <row r="64" spans="1:21" x14ac:dyDescent="0.4">
      <c r="A64" s="209"/>
      <c r="B64" s="223" t="s">
        <v>191</v>
      </c>
      <c r="C64" s="214"/>
      <c r="D64" s="214"/>
      <c r="E64" s="220"/>
      <c r="F64" s="220"/>
      <c r="G64" s="220"/>
      <c r="H64" s="220"/>
      <c r="I64" s="214"/>
      <c r="J64" s="220"/>
      <c r="K64" s="220"/>
    </row>
    <row r="65" spans="1:20" x14ac:dyDescent="0.4">
      <c r="A65" s="209"/>
      <c r="C65" s="214"/>
      <c r="D65" s="214"/>
      <c r="E65" s="220"/>
      <c r="F65" s="220"/>
      <c r="G65" s="220"/>
      <c r="H65" s="220"/>
      <c r="I65" s="214"/>
      <c r="J65" s="220"/>
      <c r="K65" s="220"/>
    </row>
    <row r="66" spans="1:20" ht="42" customHeight="1" x14ac:dyDescent="0.4">
      <c r="A66" s="209"/>
      <c r="B66" s="372" t="s">
        <v>192</v>
      </c>
      <c r="C66" s="372"/>
      <c r="D66" s="372"/>
      <c r="E66" s="372"/>
      <c r="F66" s="372"/>
      <c r="G66" s="372"/>
      <c r="H66" s="372"/>
      <c r="I66" s="372"/>
      <c r="J66" s="372"/>
      <c r="K66" s="372"/>
      <c r="L66" s="372"/>
      <c r="M66" s="372"/>
      <c r="N66" s="372"/>
      <c r="O66" s="258"/>
      <c r="P66" s="243"/>
      <c r="Q66" s="332"/>
      <c r="R66" s="321"/>
      <c r="S66" s="332"/>
      <c r="T66" s="331"/>
    </row>
    <row r="67" spans="1:20" x14ac:dyDescent="0.4">
      <c r="A67" s="209"/>
      <c r="B67" s="223" t="s">
        <v>193</v>
      </c>
      <c r="C67" s="214"/>
      <c r="D67" s="214"/>
      <c r="E67" s="220"/>
      <c r="F67" s="220"/>
      <c r="G67" s="220"/>
      <c r="H67" s="220"/>
      <c r="I67" s="214"/>
      <c r="J67" s="220"/>
      <c r="K67" s="220"/>
    </row>
    <row r="68" spans="1:20" x14ac:dyDescent="0.4">
      <c r="A68" s="209"/>
      <c r="B68" s="223" t="s">
        <v>191</v>
      </c>
      <c r="C68" s="214"/>
      <c r="D68" s="214"/>
      <c r="E68" s="220"/>
      <c r="F68" s="220"/>
      <c r="G68" s="220"/>
      <c r="H68" s="220"/>
      <c r="I68" s="214"/>
      <c r="J68" s="220"/>
      <c r="K68" s="220"/>
    </row>
    <row r="69" spans="1:20" x14ac:dyDescent="0.4">
      <c r="A69" s="209"/>
      <c r="C69" s="214"/>
      <c r="D69" s="214"/>
      <c r="E69" s="220"/>
      <c r="F69" s="220"/>
      <c r="G69" s="220"/>
      <c r="H69" s="220"/>
      <c r="I69" s="214"/>
      <c r="J69" s="220"/>
      <c r="K69" s="220"/>
    </row>
    <row r="70" spans="1:20" x14ac:dyDescent="0.4">
      <c r="A70" s="209"/>
      <c r="B70" s="227" t="s">
        <v>188</v>
      </c>
      <c r="C70" s="214"/>
      <c r="D70" s="214"/>
      <c r="E70" s="220"/>
      <c r="F70" s="220"/>
      <c r="G70" s="220"/>
      <c r="H70" s="220"/>
      <c r="I70" s="214"/>
      <c r="J70" s="220"/>
      <c r="K70" s="220"/>
    </row>
    <row r="71" spans="1:20" x14ac:dyDescent="0.4">
      <c r="A71" s="209"/>
      <c r="B71" s="227"/>
      <c r="C71" s="214"/>
      <c r="D71" s="214"/>
      <c r="E71" s="220"/>
      <c r="F71" s="220"/>
      <c r="G71" s="220"/>
      <c r="H71" s="220"/>
      <c r="I71" s="214"/>
      <c r="J71" s="220"/>
      <c r="K71" s="220"/>
    </row>
    <row r="72" spans="1:20" x14ac:dyDescent="0.4">
      <c r="A72" s="209"/>
      <c r="B72" s="227" t="s">
        <v>215</v>
      </c>
      <c r="C72" s="214"/>
      <c r="D72" s="214"/>
      <c r="E72" s="220"/>
      <c r="F72" s="220"/>
      <c r="G72" s="220"/>
      <c r="H72" s="220"/>
      <c r="I72" s="214"/>
      <c r="J72" s="220"/>
      <c r="K72" s="220"/>
    </row>
    <row r="73" spans="1:20" x14ac:dyDescent="0.4">
      <c r="A73" s="209"/>
      <c r="B73" s="227" t="s">
        <v>216</v>
      </c>
      <c r="C73" s="214"/>
      <c r="D73" s="214"/>
      <c r="E73" s="220"/>
      <c r="F73" s="220"/>
      <c r="G73" s="220"/>
      <c r="H73" s="220"/>
      <c r="I73" s="214"/>
      <c r="J73" s="220"/>
      <c r="K73" s="220"/>
    </row>
    <row r="74" spans="1:20" x14ac:dyDescent="0.4">
      <c r="A74" s="209"/>
      <c r="B74" s="227"/>
      <c r="C74" s="214"/>
      <c r="D74" s="214"/>
      <c r="E74" s="220"/>
      <c r="F74" s="220"/>
      <c r="G74" s="220"/>
      <c r="H74" s="220"/>
      <c r="I74" s="214"/>
      <c r="J74" s="220"/>
      <c r="K74" s="220"/>
    </row>
    <row r="75" spans="1:20" x14ac:dyDescent="0.4">
      <c r="A75" s="209"/>
      <c r="B75" s="227" t="s">
        <v>233</v>
      </c>
      <c r="C75" s="214"/>
      <c r="D75" s="214"/>
      <c r="E75" s="220"/>
      <c r="F75" s="220"/>
      <c r="G75" s="220"/>
      <c r="H75" s="220"/>
      <c r="I75" s="214"/>
      <c r="J75" s="220"/>
      <c r="K75" s="220"/>
    </row>
    <row r="76" spans="1:20" x14ac:dyDescent="0.4">
      <c r="A76" s="209"/>
      <c r="B76" s="227" t="s">
        <v>234</v>
      </c>
      <c r="C76" s="214"/>
      <c r="D76" s="214"/>
      <c r="E76" s="220"/>
      <c r="F76" s="220"/>
      <c r="G76" s="220"/>
      <c r="H76" s="220"/>
      <c r="I76" s="214"/>
      <c r="J76" s="220"/>
      <c r="K76" s="220"/>
    </row>
    <row r="77" spans="1:20" x14ac:dyDescent="0.4">
      <c r="A77" s="209"/>
      <c r="B77" s="227" t="s">
        <v>235</v>
      </c>
      <c r="C77" s="214"/>
      <c r="D77" s="214"/>
      <c r="E77" s="220"/>
      <c r="F77" s="220"/>
      <c r="G77" s="220"/>
      <c r="H77" s="220"/>
      <c r="I77" s="214"/>
      <c r="J77" s="220"/>
      <c r="K77" s="220"/>
    </row>
    <row r="78" spans="1:20" x14ac:dyDescent="0.4">
      <c r="A78" s="209"/>
      <c r="B78" s="218"/>
      <c r="C78" s="214"/>
      <c r="D78" s="214"/>
      <c r="E78" s="220"/>
      <c r="F78" s="220"/>
      <c r="G78" s="220"/>
      <c r="H78" s="220"/>
      <c r="I78" s="214"/>
      <c r="J78" s="220"/>
      <c r="K78" s="220"/>
    </row>
    <row r="79" spans="1:20" x14ac:dyDescent="0.4">
      <c r="A79" s="209"/>
      <c r="B79" s="218"/>
      <c r="C79" s="214"/>
      <c r="D79" s="214"/>
      <c r="E79" s="220"/>
      <c r="F79" s="220"/>
      <c r="G79" s="220"/>
      <c r="H79" s="220"/>
      <c r="I79" s="214"/>
      <c r="J79" s="220"/>
      <c r="K79" s="220"/>
    </row>
    <row r="80" spans="1:20" x14ac:dyDescent="0.4">
      <c r="A80" s="215"/>
      <c r="B80" s="216" t="s">
        <v>232</v>
      </c>
      <c r="C80" s="233"/>
      <c r="D80" s="233"/>
      <c r="E80" s="233"/>
      <c r="F80" s="233"/>
      <c r="G80" s="233"/>
      <c r="H80" s="233"/>
      <c r="I80" s="233"/>
      <c r="J80" s="233"/>
      <c r="K80" s="233"/>
      <c r="L80" s="217"/>
      <c r="M80" s="217"/>
      <c r="N80" s="217"/>
      <c r="O80" s="217"/>
      <c r="P80" s="217"/>
      <c r="Q80" s="217"/>
      <c r="R80" s="217"/>
      <c r="S80" s="217"/>
      <c r="T80" s="217"/>
    </row>
    <row r="81" spans="1:20" x14ac:dyDescent="0.4">
      <c r="A81" s="209"/>
      <c r="B81" s="234" t="s">
        <v>159</v>
      </c>
      <c r="C81" s="235">
        <f t="shared" ref="C81:I81" si="61">C82*C60</f>
        <v>193869.64739999999</v>
      </c>
      <c r="D81" s="235">
        <f t="shared" si="61"/>
        <v>278044.86080000002</v>
      </c>
      <c r="E81" s="235">
        <f t="shared" si="61"/>
        <v>71658.444000000003</v>
      </c>
      <c r="F81" s="235">
        <f t="shared" si="61"/>
        <v>73203.253200000006</v>
      </c>
      <c r="G81" s="235">
        <f t="shared" si="61"/>
        <v>75071.199999999997</v>
      </c>
      <c r="H81" s="235">
        <f t="shared" si="61"/>
        <v>73480.072999999989</v>
      </c>
      <c r="I81" s="235">
        <f t="shared" si="61"/>
        <v>293602.864</v>
      </c>
      <c r="J81" s="235">
        <v>77240.412532799455</v>
      </c>
      <c r="K81" s="315">
        <v>77240.412532799455</v>
      </c>
      <c r="L81" s="235">
        <v>79617.534971087662</v>
      </c>
      <c r="M81" s="315">
        <v>79617.534971087662</v>
      </c>
      <c r="N81" s="235">
        <v>80949.247830402906</v>
      </c>
      <c r="O81" s="315">
        <v>80949.247830402906</v>
      </c>
      <c r="P81" s="235">
        <v>83284.909143715704</v>
      </c>
      <c r="Q81" s="315">
        <v>83284.909143715704</v>
      </c>
      <c r="R81" s="235">
        <f>J81+L81+N81+P81</f>
        <v>321092.10447800573</v>
      </c>
      <c r="S81" s="315">
        <f>K81+M81+O81+Q81</f>
        <v>321092.10447800573</v>
      </c>
      <c r="T81" s="235">
        <v>90659.480287046856</v>
      </c>
    </row>
    <row r="82" spans="1:20" x14ac:dyDescent="0.4">
      <c r="A82" s="236"/>
      <c r="B82" s="234"/>
      <c r="C82" s="237">
        <v>0.38829999999999998</v>
      </c>
      <c r="D82" s="237">
        <v>0.44240000000000002</v>
      </c>
      <c r="E82" s="237">
        <v>0.42899999999999999</v>
      </c>
      <c r="F82" s="237">
        <v>0.4294</v>
      </c>
      <c r="G82" s="237">
        <v>0.4385</v>
      </c>
      <c r="H82" s="237">
        <v>0.41449999999999998</v>
      </c>
      <c r="I82" s="237">
        <v>0.42799999999999999</v>
      </c>
      <c r="J82" s="237">
        <f>J81/$J$60</f>
        <v>0.4220027886562206</v>
      </c>
      <c r="K82" s="316">
        <f>K81/$J$60</f>
        <v>0.4220027886562206</v>
      </c>
      <c r="L82" s="237">
        <f>L81/$L$60</f>
        <v>0.42112979139141987</v>
      </c>
      <c r="M82" s="316">
        <f>M81/$L$60</f>
        <v>0.42112979139141987</v>
      </c>
      <c r="N82" s="237">
        <f>N81/$N$60</f>
        <v>0.42085444295616165</v>
      </c>
      <c r="O82" s="316">
        <f>O81/$N$60</f>
        <v>0.42085444295616165</v>
      </c>
      <c r="P82" s="237">
        <f>P81/$P$60</f>
        <v>0.42089657179388856</v>
      </c>
      <c r="Q82" s="316">
        <f>Q81/$P$60</f>
        <v>0.42089657179388856</v>
      </c>
      <c r="R82" s="323">
        <f>R81/$R$60</f>
        <v>0.42120935640094676</v>
      </c>
      <c r="S82" s="316">
        <f>S81/$R$60</f>
        <v>0.42120935640094676</v>
      </c>
      <c r="T82" s="323">
        <f>+T81/$T$60</f>
        <v>0.43802563758097363</v>
      </c>
    </row>
    <row r="83" spans="1:20" x14ac:dyDescent="0.4">
      <c r="A83" s="236"/>
      <c r="B83" s="234" t="s">
        <v>158</v>
      </c>
      <c r="C83" s="235">
        <f t="shared" ref="C83:I83" si="62">C84*C60</f>
        <v>60662.277000000002</v>
      </c>
      <c r="D83" s="235">
        <f t="shared" si="62"/>
        <v>82018.206000000006</v>
      </c>
      <c r="E83" s="235">
        <f t="shared" si="62"/>
        <v>23752.519199999999</v>
      </c>
      <c r="F83" s="235">
        <f t="shared" si="62"/>
        <v>26117.229599999999</v>
      </c>
      <c r="G83" s="235">
        <f t="shared" si="62"/>
        <v>23659.839999999997</v>
      </c>
      <c r="H83" s="235">
        <f t="shared" si="62"/>
        <v>30242.9444</v>
      </c>
      <c r="I83" s="235">
        <f t="shared" si="62"/>
        <v>103584.18799999999</v>
      </c>
      <c r="J83" s="235">
        <v>28565.750130000004</v>
      </c>
      <c r="K83" s="315">
        <v>28565.750130000004</v>
      </c>
      <c r="L83" s="235">
        <v>28156.917699999998</v>
      </c>
      <c r="M83" s="315">
        <v>28156.917699999998</v>
      </c>
      <c r="N83" s="235">
        <v>30230.509270000002</v>
      </c>
      <c r="O83" s="315">
        <v>30230.509270000002</v>
      </c>
      <c r="P83" s="235">
        <v>33211.816870000002</v>
      </c>
      <c r="Q83" s="315">
        <v>33211.816870000002</v>
      </c>
      <c r="R83" s="235">
        <f>J83+L83+N83+P83</f>
        <v>120164.99397000001</v>
      </c>
      <c r="S83" s="315">
        <f>K83+M83+O83+Q83</f>
        <v>120164.99397000001</v>
      </c>
      <c r="T83" s="235">
        <v>34104.735787288213</v>
      </c>
    </row>
    <row r="84" spans="1:20" x14ac:dyDescent="0.4">
      <c r="A84" s="236"/>
      <c r="B84" s="234"/>
      <c r="C84" s="237">
        <v>0.1215</v>
      </c>
      <c r="D84" s="237">
        <v>0.1305</v>
      </c>
      <c r="E84" s="237">
        <v>0.14219999999999999</v>
      </c>
      <c r="F84" s="237">
        <v>0.1532</v>
      </c>
      <c r="G84" s="237">
        <v>0.13819999999999999</v>
      </c>
      <c r="H84" s="237">
        <v>0.1706</v>
      </c>
      <c r="I84" s="237">
        <v>0.151</v>
      </c>
      <c r="J84" s="237">
        <f>J83/$J$60</f>
        <v>0.15606889994014236</v>
      </c>
      <c r="K84" s="316">
        <f>K83/$J$60</f>
        <v>0.15606889994014236</v>
      </c>
      <c r="L84" s="237">
        <f>L83/$L$60</f>
        <v>0.14893348408152038</v>
      </c>
      <c r="M84" s="316">
        <f>M83/$L$60</f>
        <v>0.14893348408152038</v>
      </c>
      <c r="N84" s="237">
        <f>N83/$N$60</f>
        <v>0.15716815758142921</v>
      </c>
      <c r="O84" s="316">
        <f>O83/$N$60</f>
        <v>0.15716815758142921</v>
      </c>
      <c r="P84" s="237">
        <f>P83/$P$60</f>
        <v>0.16784240995578018</v>
      </c>
      <c r="Q84" s="316">
        <f>Q83/$P$60</f>
        <v>0.16784240995578018</v>
      </c>
      <c r="R84" s="323">
        <f>+R83/$R$60</f>
        <v>0.15763271368603327</v>
      </c>
      <c r="S84" s="316">
        <f>+S83/$R$60</f>
        <v>0.15763271368603327</v>
      </c>
      <c r="T84" s="323">
        <f>+T83/$T$60</f>
        <v>0.16477867058644466</v>
      </c>
    </row>
    <row r="85" spans="1:20" x14ac:dyDescent="0.4">
      <c r="A85" s="236"/>
      <c r="B85" s="218" t="s">
        <v>87</v>
      </c>
      <c r="C85" s="235">
        <f t="shared" ref="C85:I85" si="63">C86*C60</f>
        <v>58215.8148</v>
      </c>
      <c r="D85" s="235">
        <f t="shared" si="63"/>
        <v>60335.232000000004</v>
      </c>
      <c r="E85" s="235">
        <f t="shared" si="63"/>
        <v>13663.5448</v>
      </c>
      <c r="F85" s="235">
        <f t="shared" si="63"/>
        <v>13450.7142</v>
      </c>
      <c r="G85" s="235">
        <f t="shared" si="63"/>
        <v>12840</v>
      </c>
      <c r="H85" s="235">
        <f t="shared" si="63"/>
        <v>11717.811400000001</v>
      </c>
      <c r="I85" s="235">
        <f t="shared" si="63"/>
        <v>51723.495199999998</v>
      </c>
      <c r="J85" s="235">
        <v>11777.272072499996</v>
      </c>
      <c r="K85" s="315">
        <v>11777.272072499996</v>
      </c>
      <c r="L85" s="235">
        <v>11915.431817500003</v>
      </c>
      <c r="M85" s="315">
        <v>11915.431817500003</v>
      </c>
      <c r="N85" s="235">
        <v>10973.253296499999</v>
      </c>
      <c r="O85" s="315">
        <v>10973.253296499999</v>
      </c>
      <c r="P85" s="235">
        <v>10686.693969299999</v>
      </c>
      <c r="Q85" s="315">
        <v>10686.693969299999</v>
      </c>
      <c r="R85" s="235">
        <f>J85+L85+N85+P85</f>
        <v>45352.651155799991</v>
      </c>
      <c r="S85" s="315">
        <f>K85+M85+O85+Q85</f>
        <v>45352.651155799991</v>
      </c>
      <c r="T85" s="235">
        <v>11157.050967200001</v>
      </c>
    </row>
    <row r="86" spans="1:20" x14ac:dyDescent="0.4">
      <c r="A86" s="209"/>
      <c r="B86" s="218"/>
      <c r="C86" s="237">
        <v>0.1166</v>
      </c>
      <c r="D86" s="237">
        <v>9.6000000000000002E-2</v>
      </c>
      <c r="E86" s="237">
        <v>8.1799999999999998E-2</v>
      </c>
      <c r="F86" s="237">
        <v>7.8899999999999998E-2</v>
      </c>
      <c r="G86" s="237">
        <v>7.4999999999999997E-2</v>
      </c>
      <c r="H86" s="237">
        <v>6.6100000000000006E-2</v>
      </c>
      <c r="I86" s="237">
        <v>7.5399999999999995E-2</v>
      </c>
      <c r="J86" s="237">
        <f>J85/$J$60</f>
        <v>6.4345094677576209E-2</v>
      </c>
      <c r="K86" s="316">
        <f>K85/$J$60</f>
        <v>6.4345094677576209E-2</v>
      </c>
      <c r="L86" s="237">
        <f>L85/$L$60</f>
        <v>6.3025605068841681E-2</v>
      </c>
      <c r="M86" s="316">
        <f>M85/$L$60</f>
        <v>6.3025605068841681E-2</v>
      </c>
      <c r="N86" s="237">
        <f>N85/$N$60</f>
        <v>5.7049849471002619E-2</v>
      </c>
      <c r="O86" s="316">
        <f>O85/$N$60</f>
        <v>5.7049849471002619E-2</v>
      </c>
      <c r="P86" s="237">
        <f>P85/$P$60</f>
        <v>5.4007297381174976E-2</v>
      </c>
      <c r="Q86" s="316">
        <f>Q85/$P$60</f>
        <v>5.4007297381174976E-2</v>
      </c>
      <c r="R86" s="323">
        <f>+R85/$R$60</f>
        <v>5.949371142422373E-2</v>
      </c>
      <c r="S86" s="316">
        <f>+S85/$R$60</f>
        <v>5.949371142422373E-2</v>
      </c>
      <c r="T86" s="323">
        <f>+T85/$T$60</f>
        <v>5.3905828137969687E-2</v>
      </c>
    </row>
    <row r="87" spans="1:20" x14ac:dyDescent="0.4">
      <c r="A87" s="209"/>
      <c r="B87" s="218" t="s">
        <v>88</v>
      </c>
      <c r="C87" s="235">
        <f t="shared" ref="C87:I87" si="64">C88*C60</f>
        <v>51026.211600000002</v>
      </c>
      <c r="D87" s="235">
        <f t="shared" si="64"/>
        <v>69259.818400000004</v>
      </c>
      <c r="E87" s="235">
        <f t="shared" si="64"/>
        <v>21581.051200000002</v>
      </c>
      <c r="F87" s="235">
        <f t="shared" si="64"/>
        <v>21855.279600000002</v>
      </c>
      <c r="G87" s="235">
        <f t="shared" si="64"/>
        <v>23454.400000000001</v>
      </c>
      <c r="H87" s="235">
        <f t="shared" si="64"/>
        <v>23524.259800000003</v>
      </c>
      <c r="I87" s="235">
        <f t="shared" si="64"/>
        <v>90413.218399999998</v>
      </c>
      <c r="J87" s="235">
        <v>25764.426733570672</v>
      </c>
      <c r="K87" s="315">
        <v>25764.426733570672</v>
      </c>
      <c r="L87" s="235">
        <v>29067.521734920243</v>
      </c>
      <c r="M87" s="315">
        <v>29067.521734920243</v>
      </c>
      <c r="N87" s="235">
        <v>27949.59919703141</v>
      </c>
      <c r="O87" s="315">
        <v>27949.59919703141</v>
      </c>
      <c r="P87" s="235">
        <v>29267.703627641393</v>
      </c>
      <c r="Q87" s="315">
        <v>29267.703627641393</v>
      </c>
      <c r="R87" s="235">
        <f>J87+L87+N87+P87</f>
        <v>112049.25129316372</v>
      </c>
      <c r="S87" s="315">
        <f>K87+M87+O87+Q87</f>
        <v>112049.25129316372</v>
      </c>
      <c r="T87" s="235">
        <v>30705.141506376644</v>
      </c>
    </row>
    <row r="88" spans="1:20" x14ac:dyDescent="0.4">
      <c r="A88" s="209"/>
      <c r="B88" s="218"/>
      <c r="C88" s="237">
        <v>0.1022</v>
      </c>
      <c r="D88" s="237">
        <v>0.11020000000000001</v>
      </c>
      <c r="E88" s="237">
        <v>0.12920000000000001</v>
      </c>
      <c r="F88" s="237">
        <v>0.12820000000000001</v>
      </c>
      <c r="G88" s="237">
        <v>0.13700000000000001</v>
      </c>
      <c r="H88" s="237">
        <v>0.13270000000000001</v>
      </c>
      <c r="I88" s="237">
        <v>0.1318</v>
      </c>
      <c r="J88" s="237">
        <f>J87/$J$60</f>
        <v>0.14076387700646634</v>
      </c>
      <c r="K88" s="316">
        <f>K87/$J$60</f>
        <v>0.14076387700646634</v>
      </c>
      <c r="L88" s="237">
        <f>L87/$L$60</f>
        <v>0.15375004223551755</v>
      </c>
      <c r="M88" s="316">
        <f>M87/$L$60</f>
        <v>0.15375004223551755</v>
      </c>
      <c r="N88" s="237">
        <f>N87/$N$60</f>
        <v>0.14530972573777021</v>
      </c>
      <c r="O88" s="316">
        <f>O87/$N$60</f>
        <v>0.14530972573777021</v>
      </c>
      <c r="P88" s="237">
        <f>P87/$P$60</f>
        <v>0.14791006255283079</v>
      </c>
      <c r="Q88" s="316">
        <f>Q87/$P$60</f>
        <v>0.14791006255283079</v>
      </c>
      <c r="R88" s="323">
        <f>+R87/$R$60</f>
        <v>0.14698646389679226</v>
      </c>
      <c r="S88" s="316">
        <f>+S87/$R$60</f>
        <v>0.14698646389679226</v>
      </c>
      <c r="T88" s="323">
        <f>+T87/$T$60</f>
        <v>0.14835336737824084</v>
      </c>
    </row>
    <row r="89" spans="1:20" x14ac:dyDescent="0.4">
      <c r="A89" s="209"/>
      <c r="B89" s="218" t="s">
        <v>156</v>
      </c>
      <c r="C89" s="235">
        <f t="shared" ref="C89:I89" si="65">C90*C60</f>
        <v>49428.522000000004</v>
      </c>
      <c r="D89" s="235">
        <f t="shared" si="65"/>
        <v>63666.239600000001</v>
      </c>
      <c r="E89" s="235">
        <f t="shared" si="65"/>
        <v>17839.444800000001</v>
      </c>
      <c r="F89" s="235">
        <f t="shared" si="65"/>
        <v>17866.094400000002</v>
      </c>
      <c r="G89" s="235">
        <f t="shared" si="65"/>
        <v>17804.8</v>
      </c>
      <c r="H89" s="235">
        <f t="shared" si="65"/>
        <v>17284.215</v>
      </c>
      <c r="I89" s="235">
        <f t="shared" si="65"/>
        <v>70793.961599999995</v>
      </c>
      <c r="J89" s="235">
        <v>17410.271742980407</v>
      </c>
      <c r="K89" s="315">
        <v>17410.271742980407</v>
      </c>
      <c r="L89" s="235">
        <v>19372.484825376403</v>
      </c>
      <c r="M89" s="315">
        <v>19372.484825376403</v>
      </c>
      <c r="N89" s="235">
        <v>20196.911081007562</v>
      </c>
      <c r="O89" s="315">
        <v>20196.911081007562</v>
      </c>
      <c r="P89" s="235">
        <v>18979.045773073736</v>
      </c>
      <c r="Q89" s="315">
        <v>18979.045773073736</v>
      </c>
      <c r="R89" s="235">
        <f>J89+L89+N89+P89</f>
        <v>75958.713422438115</v>
      </c>
      <c r="S89" s="315">
        <f>K89+M89+O89+Q89</f>
        <v>75958.713422438115</v>
      </c>
      <c r="T89" s="235">
        <v>18305.315812747518</v>
      </c>
    </row>
    <row r="90" spans="1:20" x14ac:dyDescent="0.4">
      <c r="A90" s="209"/>
      <c r="B90" s="218"/>
      <c r="C90" s="238">
        <v>9.9000000000000005E-2</v>
      </c>
      <c r="D90" s="238">
        <v>0.1013</v>
      </c>
      <c r="E90" s="238">
        <v>0.10680000000000001</v>
      </c>
      <c r="F90" s="238">
        <v>0.1048</v>
      </c>
      <c r="G90" s="238">
        <v>0.104</v>
      </c>
      <c r="H90" s="238">
        <v>9.7500000000000003E-2</v>
      </c>
      <c r="I90" s="238">
        <v>0.1032</v>
      </c>
      <c r="J90" s="237">
        <f>J89/$J$60</f>
        <v>9.5120973411171428E-2</v>
      </c>
      <c r="K90" s="316">
        <f>K89/$J$60</f>
        <v>9.5120973411171428E-2</v>
      </c>
      <c r="L90" s="237">
        <f>L89/$L$60</f>
        <v>0.1024690163568469</v>
      </c>
      <c r="M90" s="316">
        <f>M89/$L$60</f>
        <v>0.1024690163568469</v>
      </c>
      <c r="N90" s="237">
        <f>N89/$N$60</f>
        <v>0.10500356692925504</v>
      </c>
      <c r="O90" s="316">
        <f>O89/$N$60</f>
        <v>0.10500356692925504</v>
      </c>
      <c r="P90" s="237">
        <f>P89/$P$60</f>
        <v>9.5914318499425069E-2</v>
      </c>
      <c r="Q90" s="316">
        <f>Q89/$P$60</f>
        <v>9.5914318499425069E-2</v>
      </c>
      <c r="R90" s="323">
        <f>+R89/$R$60</f>
        <v>9.9642813845336034E-2</v>
      </c>
      <c r="S90" s="316">
        <f>+S89/$R$60</f>
        <v>9.9642813845336034E-2</v>
      </c>
      <c r="T90" s="323">
        <f>+T89/$T$60</f>
        <v>8.8443013401494491E-2</v>
      </c>
    </row>
    <row r="91" spans="1:20" x14ac:dyDescent="0.4">
      <c r="A91" s="209"/>
      <c r="B91" s="218" t="s">
        <v>89</v>
      </c>
      <c r="C91" s="235">
        <f t="shared" ref="C91:I91" si="66">C92*C60</f>
        <v>86075.527199999997</v>
      </c>
      <c r="D91" s="235">
        <f t="shared" si="66"/>
        <v>75167.643200000006</v>
      </c>
      <c r="E91" s="235">
        <f t="shared" si="66"/>
        <v>18540.995999999999</v>
      </c>
      <c r="F91" s="235">
        <f t="shared" si="66"/>
        <v>17985.429</v>
      </c>
      <c r="G91" s="235">
        <f t="shared" si="66"/>
        <v>18369.760000000002</v>
      </c>
      <c r="H91" s="235">
        <f t="shared" si="66"/>
        <v>21024.696400000001</v>
      </c>
      <c r="I91" s="235">
        <f t="shared" si="66"/>
        <v>75938.871599999999</v>
      </c>
      <c r="J91" s="235">
        <v>22274.810192991354</v>
      </c>
      <c r="K91" s="315">
        <v>22274.810192991354</v>
      </c>
      <c r="L91" s="235">
        <v>20927.645273326867</v>
      </c>
      <c r="M91" s="315">
        <v>20927.645273326867</v>
      </c>
      <c r="N91" s="235">
        <v>22045.096551340244</v>
      </c>
      <c r="O91" s="315">
        <v>22045.096551340244</v>
      </c>
      <c r="P91" s="235">
        <v>22445.043933137891</v>
      </c>
      <c r="Q91" s="315">
        <v>22445.043933137891</v>
      </c>
      <c r="R91" s="235">
        <f>J91+L91+N91+P91</f>
        <v>87692.595950796356</v>
      </c>
      <c r="S91" s="315">
        <f>K91+M91+O91+Q91</f>
        <v>87692.595950796356</v>
      </c>
      <c r="T91" s="235">
        <v>22041.640142077915</v>
      </c>
    </row>
    <row r="92" spans="1:20" x14ac:dyDescent="0.4">
      <c r="A92" s="209"/>
      <c r="B92" s="218"/>
      <c r="C92" s="237">
        <v>0.1724</v>
      </c>
      <c r="D92" s="237">
        <v>0.1196</v>
      </c>
      <c r="E92" s="237">
        <v>0.111</v>
      </c>
      <c r="F92" s="237">
        <v>0.1055</v>
      </c>
      <c r="G92" s="237">
        <v>0.10730000000000001</v>
      </c>
      <c r="H92" s="237">
        <v>0.1186</v>
      </c>
      <c r="I92" s="237">
        <v>0.11070000000000001</v>
      </c>
      <c r="J92" s="237">
        <f>J91/$J$60</f>
        <v>0.1216983663084233</v>
      </c>
      <c r="K92" s="316">
        <f>K91/$J$60</f>
        <v>0.1216983663084233</v>
      </c>
      <c r="L92" s="237">
        <f>L91/$L$60</f>
        <v>0.11069489769395932</v>
      </c>
      <c r="M92" s="316">
        <f>M91/$L$60</f>
        <v>0.11069489769395932</v>
      </c>
      <c r="N92" s="237">
        <f>N91/$N$60</f>
        <v>0.11461226728711557</v>
      </c>
      <c r="O92" s="316">
        <f>O91/$N$60</f>
        <v>0.11461226728711557</v>
      </c>
      <c r="P92" s="237">
        <f>P91/$P$60</f>
        <v>0.11343041785540312</v>
      </c>
      <c r="Q92" s="316">
        <f>Q91/$P$60</f>
        <v>0.11343041785540312</v>
      </c>
      <c r="R92" s="323">
        <f>+R91/$R$60</f>
        <v>0.11503534775983046</v>
      </c>
      <c r="S92" s="316">
        <f>+S91/$R$60</f>
        <v>0.11503534775983046</v>
      </c>
      <c r="T92" s="323">
        <f>+T91/$T$60</f>
        <v>0.10649524402737515</v>
      </c>
    </row>
    <row r="93" spans="1:20" x14ac:dyDescent="0.4">
      <c r="A93" s="209"/>
      <c r="B93" s="218"/>
      <c r="C93" s="214"/>
      <c r="D93" s="214"/>
      <c r="E93" s="214"/>
      <c r="F93" s="214"/>
      <c r="G93" s="214"/>
      <c r="H93" s="214"/>
      <c r="I93" s="214"/>
      <c r="J93" s="214"/>
      <c r="K93" s="301"/>
      <c r="M93" s="307"/>
      <c r="O93" s="307"/>
      <c r="Q93" s="307"/>
      <c r="S93" s="307"/>
    </row>
    <row r="94" spans="1:20" x14ac:dyDescent="0.4">
      <c r="A94" s="215"/>
      <c r="B94" s="216" t="s">
        <v>90</v>
      </c>
      <c r="C94" s="233"/>
      <c r="D94" s="233"/>
      <c r="E94" s="233"/>
      <c r="F94" s="233"/>
      <c r="G94" s="233"/>
      <c r="H94" s="233"/>
      <c r="I94" s="233"/>
      <c r="J94" s="233"/>
      <c r="K94" s="319"/>
      <c r="L94" s="217"/>
      <c r="M94" s="302"/>
      <c r="N94" s="217"/>
      <c r="O94" s="302"/>
      <c r="P94" s="217"/>
      <c r="Q94" s="302"/>
      <c r="R94" s="217"/>
      <c r="S94" s="302"/>
      <c r="T94" s="217"/>
    </row>
    <row r="95" spans="1:20" x14ac:dyDescent="0.4">
      <c r="A95" s="209"/>
      <c r="B95" s="218" t="s">
        <v>91</v>
      </c>
      <c r="C95" s="240">
        <v>0.73880000000000001</v>
      </c>
      <c r="D95" s="240">
        <v>0.79149999999999998</v>
      </c>
      <c r="E95" s="240">
        <v>0.80269999999999997</v>
      </c>
      <c r="F95" s="240">
        <v>0.79859999999999998</v>
      </c>
      <c r="G95" s="240">
        <v>0.80049999999999999</v>
      </c>
      <c r="H95" s="240">
        <v>0.83299999999999996</v>
      </c>
      <c r="I95" s="240">
        <v>0.80900000000000005</v>
      </c>
      <c r="J95" s="240">
        <v>0.82105973846635671</v>
      </c>
      <c r="K95" s="318">
        <v>0.82105973846635671</v>
      </c>
      <c r="L95" s="240">
        <v>0.81400847363493545</v>
      </c>
      <c r="M95" s="318">
        <v>0.81400847363493545</v>
      </c>
      <c r="N95" s="241">
        <v>0.82404533520497025</v>
      </c>
      <c r="O95" s="317">
        <v>0.82404533520497025</v>
      </c>
      <c r="P95" s="241">
        <v>0.82643961529096666</v>
      </c>
      <c r="Q95" s="317">
        <v>0.82643961529096666</v>
      </c>
      <c r="R95" s="241">
        <v>0.82145591153024466</v>
      </c>
      <c r="S95" s="317">
        <v>0.82145591153024466</v>
      </c>
      <c r="T95" s="241">
        <v>0.82715136756968299</v>
      </c>
    </row>
    <row r="96" spans="1:20" x14ac:dyDescent="0.4">
      <c r="A96" s="209"/>
      <c r="B96" s="218" t="s">
        <v>92</v>
      </c>
      <c r="C96" s="240">
        <v>0.2039</v>
      </c>
      <c r="D96" s="240">
        <v>0.17319999999999999</v>
      </c>
      <c r="E96" s="240">
        <v>0.16420000000000001</v>
      </c>
      <c r="F96" s="240">
        <v>0.16930000000000001</v>
      </c>
      <c r="G96" s="240">
        <v>0.16350000000000001</v>
      </c>
      <c r="H96" s="240">
        <v>0.14449999999999999</v>
      </c>
      <c r="I96" s="240">
        <v>0.16020000000000001</v>
      </c>
      <c r="J96" s="240">
        <v>0.14249703777966138</v>
      </c>
      <c r="K96" s="318">
        <v>0.14249703777966138</v>
      </c>
      <c r="L96" s="240">
        <v>0.15313371099721249</v>
      </c>
      <c r="M96" s="318">
        <v>0.15313371099721249</v>
      </c>
      <c r="N96" s="241">
        <v>0.1394577451974317</v>
      </c>
      <c r="O96" s="317">
        <v>0.1394577451974317</v>
      </c>
      <c r="P96" s="241">
        <v>0.135860522684847</v>
      </c>
      <c r="Q96" s="317">
        <v>0.135860522684847</v>
      </c>
      <c r="R96" s="241">
        <v>0.14265249070671021</v>
      </c>
      <c r="S96" s="317">
        <v>0.14265249070671021</v>
      </c>
      <c r="T96" s="241">
        <v>0.13536065090615684</v>
      </c>
    </row>
    <row r="97" spans="1:20" x14ac:dyDescent="0.4">
      <c r="A97" s="209"/>
      <c r="B97" s="218" t="s">
        <v>146</v>
      </c>
      <c r="C97" s="240">
        <v>5.7299999999999997E-2</v>
      </c>
      <c r="D97" s="240">
        <v>3.5299999999999998E-2</v>
      </c>
      <c r="E97" s="239">
        <v>3.3099999999999997E-2</v>
      </c>
      <c r="F97" s="240">
        <v>3.2099999999999997E-2</v>
      </c>
      <c r="G97" s="240">
        <v>3.5999999999999997E-2</v>
      </c>
      <c r="H97" s="240">
        <v>2.24E-2</v>
      </c>
      <c r="I97" s="240">
        <v>3.0800000000000001E-2</v>
      </c>
      <c r="J97" s="239">
        <v>3.6443223753981881E-2</v>
      </c>
      <c r="K97" s="320">
        <v>3.6443223753981881E-2</v>
      </c>
      <c r="L97" s="240">
        <v>3.2857815367852025E-2</v>
      </c>
      <c r="M97" s="318">
        <v>3.2857815367852025E-2</v>
      </c>
      <c r="N97" s="241">
        <v>3.6496919597598043E-2</v>
      </c>
      <c r="O97" s="317">
        <v>3.6496919597598043E-2</v>
      </c>
      <c r="P97" s="261">
        <v>3.7699862024186348E-2</v>
      </c>
      <c r="Q97" s="317">
        <v>3.7699862024186348E-2</v>
      </c>
      <c r="R97" s="261">
        <v>3.5891597763045076E-2</v>
      </c>
      <c r="S97" s="317">
        <v>3.5891597763045076E-2</v>
      </c>
      <c r="T97" s="261">
        <v>3.7487981524160156E-2</v>
      </c>
    </row>
    <row r="98" spans="1:20" x14ac:dyDescent="0.4">
      <c r="A98" s="209"/>
      <c r="B98" s="210"/>
      <c r="C98" s="214"/>
      <c r="D98" s="214"/>
      <c r="E98" s="214"/>
      <c r="F98" s="214"/>
      <c r="G98" s="214"/>
      <c r="H98" s="214"/>
      <c r="I98" s="214"/>
      <c r="J98" s="214"/>
      <c r="K98" s="214"/>
    </row>
    <row r="99" spans="1:20" x14ac:dyDescent="0.4">
      <c r="B99" s="242"/>
      <c r="C99" s="242"/>
      <c r="D99" s="242"/>
      <c r="E99" s="242"/>
    </row>
    <row r="100" spans="1:20" x14ac:dyDescent="0.4">
      <c r="B100" s="223" t="s">
        <v>231</v>
      </c>
    </row>
    <row r="101" spans="1:20" x14ac:dyDescent="0.4">
      <c r="B101" s="223" t="s">
        <v>194</v>
      </c>
    </row>
    <row r="102" spans="1:20" x14ac:dyDescent="0.4">
      <c r="B102" s="223" t="s">
        <v>195</v>
      </c>
    </row>
    <row r="105" spans="1:20" x14ac:dyDescent="0.4">
      <c r="J105" s="334"/>
      <c r="K105" s="334"/>
      <c r="L105" s="334"/>
      <c r="M105" s="334"/>
      <c r="N105" s="334"/>
      <c r="O105" s="334"/>
      <c r="P105" s="334"/>
      <c r="Q105" s="334"/>
      <c r="R105" s="334"/>
      <c r="S105" s="334"/>
      <c r="T105" s="334"/>
    </row>
  </sheetData>
  <mergeCells count="4">
    <mergeCell ref="E3:I3"/>
    <mergeCell ref="B62:N62"/>
    <mergeCell ref="B66:N66"/>
    <mergeCell ref="J2:S2"/>
  </mergeCells>
  <pageMargins left="0.7" right="0.7" top="0.35" bottom="0.35" header="0.3" footer="0.3"/>
  <pageSetup paperSize="5" scale="38" fitToHeight="2" orientation="landscape" r:id="rId1"/>
  <rowBreaks count="1" manualBreakCount="1">
    <brk id="77"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HO45"/>
  <sheetViews>
    <sheetView showGridLines="0" view="pageBreakPreview" zoomScale="85" zoomScaleNormal="85" zoomScaleSheetLayoutView="85" workbookViewId="0">
      <pane xSplit="2" ySplit="4" topLeftCell="E10" activePane="bottomRight" state="frozen"/>
      <selection activeCell="I106" sqref="I106"/>
      <selection pane="topRight" activeCell="I106" sqref="I106"/>
      <selection pane="bottomLeft" activeCell="I106" sqref="I106"/>
      <selection pane="bottomRight" activeCell="U21" sqref="U21"/>
    </sheetView>
  </sheetViews>
  <sheetFormatPr defaultColWidth="9.109375" defaultRowHeight="13.2" outlineLevelCol="1" x14ac:dyDescent="0.25"/>
  <cols>
    <col min="1" max="1" width="2.44140625" style="7" customWidth="1"/>
    <col min="2" max="2" width="46.33203125" style="2" customWidth="1"/>
    <col min="3" max="6" width="10" style="24" customWidth="1" outlineLevel="1"/>
    <col min="7" max="7" width="10.5546875" style="24" customWidth="1"/>
    <col min="8" max="11" width="10" style="24" hidden="1" customWidth="1" outlineLevel="1"/>
    <col min="12" max="12" width="10.5546875" style="24" customWidth="1" collapsed="1"/>
    <col min="13" max="16" width="10" style="24" customWidth="1" outlineLevel="1"/>
    <col min="17" max="17" width="10.5546875" style="24" customWidth="1"/>
    <col min="18" max="18" width="10" style="24" customWidth="1" outlineLevel="1"/>
    <col min="19" max="19" width="10.33203125" style="2" bestFit="1" customWidth="1"/>
    <col min="20" max="20" width="10.6640625" style="2" bestFit="1" customWidth="1"/>
    <col min="21" max="16384" width="9.109375" style="2"/>
  </cols>
  <sheetData>
    <row r="2" spans="1:223" x14ac:dyDescent="0.25">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row>
    <row r="3" spans="1:223" ht="23.25" customHeight="1" x14ac:dyDescent="0.25">
      <c r="A3" s="58"/>
      <c r="B3" s="57"/>
      <c r="G3" s="186">
        <v>2014</v>
      </c>
      <c r="H3" s="188"/>
      <c r="I3" s="188"/>
      <c r="J3" s="188"/>
      <c r="K3" s="188"/>
      <c r="L3" s="188">
        <v>2015</v>
      </c>
      <c r="M3" s="188"/>
      <c r="N3" s="188"/>
      <c r="O3" s="188"/>
      <c r="P3" s="188"/>
      <c r="Q3" s="188">
        <v>2016</v>
      </c>
      <c r="S3" s="57"/>
      <c r="V3" s="188">
        <v>2017</v>
      </c>
      <c r="W3" s="188">
        <v>2018</v>
      </c>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row>
    <row r="4" spans="1:223" ht="15.75" customHeight="1" x14ac:dyDescent="0.25">
      <c r="A4" s="58"/>
      <c r="B4" s="57"/>
      <c r="C4" s="187" t="s">
        <v>9</v>
      </c>
      <c r="D4" s="187" t="s">
        <v>10</v>
      </c>
      <c r="E4" s="187" t="s">
        <v>11</v>
      </c>
      <c r="F4" s="187" t="s">
        <v>12</v>
      </c>
      <c r="G4" s="187" t="s">
        <v>13</v>
      </c>
      <c r="H4" s="187" t="s">
        <v>9</v>
      </c>
      <c r="I4" s="187" t="s">
        <v>10</v>
      </c>
      <c r="J4" s="187" t="s">
        <v>11</v>
      </c>
      <c r="K4" s="187" t="s">
        <v>12</v>
      </c>
      <c r="L4" s="187" t="s">
        <v>13</v>
      </c>
      <c r="M4" s="187" t="s">
        <v>9</v>
      </c>
      <c r="N4" s="187" t="s">
        <v>10</v>
      </c>
      <c r="O4" s="187" t="s">
        <v>11</v>
      </c>
      <c r="P4" s="187" t="s">
        <v>12</v>
      </c>
      <c r="Q4" s="187" t="s">
        <v>13</v>
      </c>
      <c r="R4" s="201" t="s">
        <v>9</v>
      </c>
      <c r="S4" s="201" t="s">
        <v>10</v>
      </c>
      <c r="T4" s="201" t="s">
        <v>11</v>
      </c>
      <c r="U4" s="201" t="s">
        <v>12</v>
      </c>
      <c r="V4" s="187" t="s">
        <v>13</v>
      </c>
      <c r="W4" s="187" t="s">
        <v>9</v>
      </c>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row>
    <row r="5" spans="1:223" x14ac:dyDescent="0.25">
      <c r="A5" s="58"/>
      <c r="B5" s="57"/>
      <c r="C5" s="101"/>
      <c r="D5" s="101"/>
      <c r="E5" s="101"/>
      <c r="F5" s="101"/>
      <c r="G5" s="101"/>
      <c r="H5" s="101"/>
      <c r="I5" s="101"/>
      <c r="J5" s="101"/>
      <c r="K5" s="101"/>
      <c r="L5" s="101"/>
      <c r="M5" s="101"/>
      <c r="N5" s="101"/>
      <c r="O5" s="101"/>
      <c r="P5" s="101"/>
      <c r="Q5" s="101"/>
      <c r="R5" s="101"/>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row>
    <row r="6" spans="1:223" s="77" customFormat="1" x14ac:dyDescent="0.25">
      <c r="A6" s="88"/>
      <c r="B6" s="77" t="s">
        <v>0</v>
      </c>
      <c r="C6" s="84">
        <v>22803</v>
      </c>
      <c r="D6" s="84">
        <v>23071</v>
      </c>
      <c r="E6" s="84">
        <v>23050</v>
      </c>
      <c r="F6" s="84">
        <v>22822</v>
      </c>
      <c r="G6" s="84">
        <f>F6</f>
        <v>22822</v>
      </c>
      <c r="H6" s="84">
        <f>22553+65</f>
        <v>22618</v>
      </c>
      <c r="I6" s="84">
        <v>22684</v>
      </c>
      <c r="J6" s="84">
        <v>23715</v>
      </c>
      <c r="K6" s="84">
        <v>24061</v>
      </c>
      <c r="L6" s="84">
        <f>K6</f>
        <v>24061</v>
      </c>
      <c r="M6" s="84">
        <v>24375</v>
      </c>
      <c r="N6" s="84">
        <v>24983</v>
      </c>
      <c r="O6" s="183">
        <v>25470</v>
      </c>
      <c r="P6" s="183">
        <v>26131</v>
      </c>
      <c r="Q6" s="84">
        <f>P6</f>
        <v>26131</v>
      </c>
      <c r="R6" s="84">
        <v>26428</v>
      </c>
      <c r="S6" s="84">
        <v>26317</v>
      </c>
      <c r="T6" s="84">
        <v>27358</v>
      </c>
      <c r="U6" s="84">
        <v>27756</v>
      </c>
      <c r="V6" s="84">
        <f>U6</f>
        <v>27756</v>
      </c>
      <c r="W6" s="84">
        <v>27095</v>
      </c>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row>
    <row r="7" spans="1:223" s="8" customFormat="1" x14ac:dyDescent="0.25">
      <c r="A7" s="6"/>
      <c r="B7" s="1"/>
      <c r="C7" s="159"/>
      <c r="D7" s="159"/>
      <c r="E7" s="159"/>
      <c r="F7" s="159"/>
      <c r="G7" s="159"/>
      <c r="H7" s="159"/>
      <c r="I7" s="159"/>
      <c r="J7" s="159"/>
      <c r="K7" s="159"/>
      <c r="L7" s="159"/>
      <c r="M7" s="159"/>
      <c r="N7" s="159"/>
      <c r="O7" s="159"/>
      <c r="P7" s="159"/>
      <c r="Q7" s="159"/>
      <c r="R7" s="159"/>
      <c r="S7" s="159"/>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row>
    <row r="8" spans="1:223" s="78" customFormat="1" x14ac:dyDescent="0.25">
      <c r="A8" s="88"/>
      <c r="B8" s="77" t="s">
        <v>84</v>
      </c>
      <c r="C8" s="84">
        <v>19757</v>
      </c>
      <c r="D8" s="84">
        <v>20192</v>
      </c>
      <c r="E8" s="84">
        <f>19691+1300</f>
        <v>20991</v>
      </c>
      <c r="F8" s="84">
        <v>19749</v>
      </c>
      <c r="G8" s="84">
        <f>F8</f>
        <v>19749</v>
      </c>
      <c r="H8" s="84">
        <v>19846</v>
      </c>
      <c r="I8" s="84">
        <v>19528</v>
      </c>
      <c r="J8" s="84">
        <v>20242</v>
      </c>
      <c r="K8" s="84">
        <v>20550</v>
      </c>
      <c r="L8" s="84">
        <f>K8</f>
        <v>20550</v>
      </c>
      <c r="M8" s="84">
        <v>20732</v>
      </c>
      <c r="N8" s="84">
        <v>21248</v>
      </c>
      <c r="O8" s="84">
        <v>21572</v>
      </c>
      <c r="P8" s="84">
        <v>22028</v>
      </c>
      <c r="Q8" s="84">
        <f>P8</f>
        <v>22028</v>
      </c>
      <c r="R8" s="84">
        <v>22394</v>
      </c>
      <c r="S8" s="84">
        <v>23293</v>
      </c>
      <c r="T8" s="84">
        <v>22775</v>
      </c>
      <c r="U8" s="84">
        <v>24215</v>
      </c>
      <c r="V8" s="84">
        <f>U8</f>
        <v>24215</v>
      </c>
      <c r="W8" s="84">
        <v>24849</v>
      </c>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row>
    <row r="9" spans="1:223" x14ac:dyDescent="0.25">
      <c r="A9" s="6"/>
      <c r="B9" s="57"/>
      <c r="C9" s="101"/>
      <c r="D9" s="101"/>
      <c r="E9" s="101"/>
      <c r="F9" s="101"/>
      <c r="G9" s="101"/>
      <c r="H9" s="101"/>
      <c r="I9" s="101"/>
      <c r="J9" s="101"/>
      <c r="K9" s="101"/>
      <c r="L9" s="101"/>
      <c r="M9" s="101"/>
      <c r="N9" s="101"/>
      <c r="O9" s="101"/>
      <c r="P9" s="101"/>
      <c r="Q9" s="101"/>
      <c r="R9" s="101"/>
      <c r="S9" s="101"/>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row>
    <row r="10" spans="1:223" s="78" customFormat="1" x14ac:dyDescent="0.25">
      <c r="A10" s="88"/>
      <c r="B10" s="77" t="s">
        <v>94</v>
      </c>
      <c r="C10" s="102">
        <f t="shared" ref="C10:G10" si="0">C6/C8</f>
        <v>1.1541732044338715</v>
      </c>
      <c r="D10" s="102">
        <f t="shared" si="0"/>
        <v>1.1425812202852614</v>
      </c>
      <c r="E10" s="102">
        <f t="shared" si="0"/>
        <v>1.0980896574722501</v>
      </c>
      <c r="F10" s="102">
        <f t="shared" si="0"/>
        <v>1.1556028153324218</v>
      </c>
      <c r="G10" s="102">
        <f t="shared" si="0"/>
        <v>1.1556028153324218</v>
      </c>
      <c r="H10" s="102">
        <f t="shared" ref="H10:I10" si="1">H6/H8</f>
        <v>1.1396755013604756</v>
      </c>
      <c r="I10" s="102">
        <f t="shared" si="1"/>
        <v>1.1616140925850063</v>
      </c>
      <c r="J10" s="102">
        <f t="shared" ref="J10:N10" si="2">J6/J8</f>
        <v>1.1715739551427724</v>
      </c>
      <c r="K10" s="102">
        <f t="shared" si="2"/>
        <v>1.1708515815085159</v>
      </c>
      <c r="L10" s="102">
        <f t="shared" si="2"/>
        <v>1.1708515815085159</v>
      </c>
      <c r="M10" s="102">
        <f t="shared" si="2"/>
        <v>1.1757186957360601</v>
      </c>
      <c r="N10" s="102">
        <f t="shared" si="2"/>
        <v>1.17578125</v>
      </c>
      <c r="O10" s="102">
        <f t="shared" ref="O10:W10" si="3">O6/O8</f>
        <v>1.1806972000741702</v>
      </c>
      <c r="P10" s="102">
        <f t="shared" si="3"/>
        <v>1.1862629380788088</v>
      </c>
      <c r="Q10" s="102">
        <f t="shared" si="3"/>
        <v>1.1862629380788088</v>
      </c>
      <c r="R10" s="102">
        <f t="shared" si="3"/>
        <v>1.1801375368402252</v>
      </c>
      <c r="S10" s="102">
        <f t="shared" si="3"/>
        <v>1.1298244107671833</v>
      </c>
      <c r="T10" s="102">
        <f t="shared" si="3"/>
        <v>1.2012294182217345</v>
      </c>
      <c r="U10" s="102">
        <f t="shared" si="3"/>
        <v>1.1462316745818708</v>
      </c>
      <c r="V10" s="102">
        <f t="shared" si="3"/>
        <v>1.1462316745818708</v>
      </c>
      <c r="W10" s="102">
        <f t="shared" si="3"/>
        <v>1.0903859310233812</v>
      </c>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row>
    <row r="11" spans="1:223" x14ac:dyDescent="0.25">
      <c r="A11" s="6"/>
      <c r="B11" s="57"/>
      <c r="C11" s="101"/>
      <c r="D11" s="101"/>
      <c r="E11" s="101"/>
      <c r="F11" s="101"/>
      <c r="G11" s="101"/>
      <c r="H11" s="101"/>
      <c r="I11" s="101"/>
      <c r="J11" s="101"/>
      <c r="K11" s="101"/>
      <c r="L11" s="101"/>
      <c r="M11" s="101"/>
      <c r="N11" s="101"/>
      <c r="O11" s="101"/>
      <c r="P11" s="101"/>
      <c r="Q11" s="101"/>
      <c r="R11" s="101"/>
      <c r="S11" s="101"/>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row>
    <row r="12" spans="1:223" s="78" customFormat="1" x14ac:dyDescent="0.25">
      <c r="A12" s="88"/>
      <c r="B12" s="77" t="s">
        <v>184</v>
      </c>
      <c r="C12" s="103"/>
      <c r="D12" s="103"/>
      <c r="E12" s="103"/>
      <c r="F12" s="103"/>
      <c r="G12" s="103"/>
      <c r="H12" s="103"/>
      <c r="I12" s="103"/>
      <c r="J12" s="103"/>
      <c r="K12" s="103"/>
      <c r="L12" s="103"/>
      <c r="M12" s="103"/>
      <c r="N12" s="103"/>
      <c r="O12" s="103"/>
      <c r="P12" s="103"/>
      <c r="Q12" s="103"/>
      <c r="R12" s="103"/>
      <c r="S12" s="103"/>
      <c r="T12" s="103"/>
      <c r="U12" s="103"/>
      <c r="V12" s="103"/>
      <c r="W12" s="103"/>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row>
    <row r="13" spans="1:223" x14ac:dyDescent="0.25">
      <c r="A13" s="6"/>
      <c r="B13" s="85" t="s">
        <v>50</v>
      </c>
      <c r="C13" s="104">
        <v>7.9262713905952242E-2</v>
      </c>
      <c r="D13" s="104">
        <v>8.42861418769697E-2</v>
      </c>
      <c r="E13" s="104">
        <v>8.1916082236859575E-2</v>
      </c>
      <c r="F13" s="104">
        <v>7.5119245547637076E-2</v>
      </c>
      <c r="G13" s="104">
        <v>7.9995487448346364E-2</v>
      </c>
      <c r="H13" s="104">
        <v>6.1694832373522787E-2</v>
      </c>
      <c r="I13" s="104">
        <v>5.8131331437174312E-2</v>
      </c>
      <c r="J13" s="104">
        <v>6.0318483860245062E-2</v>
      </c>
      <c r="K13" s="104">
        <v>6.7747111348565245E-2</v>
      </c>
      <c r="L13" s="104">
        <v>6.0913742710242871E-2</v>
      </c>
      <c r="M13" s="104">
        <v>6.6286382467477575E-2</v>
      </c>
      <c r="N13" s="172">
        <v>6.3908282590178431E-2</v>
      </c>
      <c r="O13" s="172">
        <v>6.4689657886083884E-2</v>
      </c>
      <c r="P13" s="172">
        <v>7.3831734411264033E-2</v>
      </c>
      <c r="Q13" s="172">
        <v>6.7246781192195793E-2</v>
      </c>
      <c r="R13" s="10">
        <v>7.0543868104712068E-2</v>
      </c>
      <c r="S13" s="10">
        <v>6.8413258321300074E-2</v>
      </c>
      <c r="T13" s="10">
        <v>7.8682951663760131E-2</v>
      </c>
      <c r="U13" s="330">
        <v>9.0865388386000639E-2</v>
      </c>
      <c r="V13" s="330">
        <v>7.7344020427689564E-2</v>
      </c>
      <c r="W13" s="359">
        <v>8.0392074175461611E-2</v>
      </c>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row>
    <row r="14" spans="1:223" x14ac:dyDescent="0.25">
      <c r="A14" s="6"/>
      <c r="B14" s="85" t="s">
        <v>47</v>
      </c>
      <c r="C14" s="104">
        <v>0.2199163843795123</v>
      </c>
      <c r="D14" s="104">
        <v>0.22465499560211194</v>
      </c>
      <c r="E14" s="104">
        <v>0.20939517107985514</v>
      </c>
      <c r="F14" s="104">
        <v>0.20015353338308806</v>
      </c>
      <c r="G14" s="104">
        <v>0.20474673946050381</v>
      </c>
      <c r="H14" s="104">
        <v>0.18059735769219998</v>
      </c>
      <c r="I14" s="104">
        <v>0.1704802214165364</v>
      </c>
      <c r="J14" s="104">
        <v>0.16765901290890245</v>
      </c>
      <c r="K14" s="104">
        <v>0.17470592069799873</v>
      </c>
      <c r="L14" s="104">
        <v>0.17317186756551953</v>
      </c>
      <c r="M14" s="104">
        <v>0.16598879874893555</v>
      </c>
      <c r="N14" s="104">
        <v>0.16729753847751594</v>
      </c>
      <c r="O14" s="172">
        <v>0.17009274277075287</v>
      </c>
      <c r="P14" s="172">
        <v>0.17296242833636336</v>
      </c>
      <c r="Q14" s="172">
        <v>0.16834605625246457</v>
      </c>
      <c r="R14" s="10">
        <v>0.16718845169265559</v>
      </c>
      <c r="S14" s="10">
        <v>0.16609294905650634</v>
      </c>
      <c r="T14" s="10">
        <v>0.17151675219019799</v>
      </c>
      <c r="U14" s="330">
        <v>0.18004267933978224</v>
      </c>
      <c r="V14" s="330">
        <v>0.17074782349225345</v>
      </c>
      <c r="W14" s="359">
        <v>0.16875311796250148</v>
      </c>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row>
    <row r="15" spans="1:223" x14ac:dyDescent="0.25">
      <c r="A15" s="6"/>
      <c r="B15" s="85" t="s">
        <v>48</v>
      </c>
      <c r="C15" s="104">
        <v>0.34520144389300644</v>
      </c>
      <c r="D15" s="104">
        <v>0.33274969799218845</v>
      </c>
      <c r="E15" s="104">
        <v>0.31644460632809707</v>
      </c>
      <c r="F15" s="104">
        <v>0.29744632823549855</v>
      </c>
      <c r="G15" s="104">
        <v>0.2941117210730208</v>
      </c>
      <c r="H15" s="104">
        <v>0.28212669823647818</v>
      </c>
      <c r="I15" s="104">
        <v>0.25426105780809238</v>
      </c>
      <c r="J15" s="104">
        <v>0.24342176862812473</v>
      </c>
      <c r="K15" s="104">
        <v>0.25838339597527721</v>
      </c>
      <c r="L15" s="104">
        <v>0.24999935869887654</v>
      </c>
      <c r="M15" s="104">
        <v>0.25123666813989221</v>
      </c>
      <c r="N15" s="104">
        <v>0.25523440703967792</v>
      </c>
      <c r="O15" s="172">
        <v>0.25899095593561311</v>
      </c>
      <c r="P15" s="172">
        <v>0.2502702185572101</v>
      </c>
      <c r="Q15" s="172">
        <v>0.2539156276321578</v>
      </c>
      <c r="R15" s="10">
        <v>0.24154938838377771</v>
      </c>
      <c r="S15" s="10">
        <v>0.2470451552352449</v>
      </c>
      <c r="T15" s="10">
        <v>0.24654080328190808</v>
      </c>
      <c r="U15" s="330">
        <v>0.25623991335447316</v>
      </c>
      <c r="V15" s="330">
        <v>0.24560333276201043</v>
      </c>
      <c r="W15" s="359">
        <v>0.24735224929156971</v>
      </c>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row>
    <row r="16" spans="1:223" x14ac:dyDescent="0.25">
      <c r="A16" s="6"/>
      <c r="B16" s="85" t="s">
        <v>49</v>
      </c>
      <c r="C16" s="104">
        <v>0.54174845631480673</v>
      </c>
      <c r="D16" s="104">
        <v>0.52526131143221344</v>
      </c>
      <c r="E16" s="104">
        <v>0.50408032896530741</v>
      </c>
      <c r="F16" s="104">
        <v>0.47439724058877286</v>
      </c>
      <c r="G16" s="104">
        <v>0.47445908935697056</v>
      </c>
      <c r="H16" s="104">
        <v>0.43918866875820517</v>
      </c>
      <c r="I16" s="104">
        <v>0.42041474418493974</v>
      </c>
      <c r="J16" s="104">
        <v>0.39778303196165565</v>
      </c>
      <c r="K16" s="104">
        <v>0.40193185664416259</v>
      </c>
      <c r="L16" s="104">
        <v>0.40517808428559426</v>
      </c>
      <c r="M16" s="104">
        <v>0.40524929705241586</v>
      </c>
      <c r="N16" s="104">
        <v>0.40226099676237559</v>
      </c>
      <c r="O16" s="172">
        <v>0.4101688480388605</v>
      </c>
      <c r="P16" s="172">
        <v>0.38913139451858297</v>
      </c>
      <c r="Q16" s="172">
        <v>0.40093770108442889</v>
      </c>
      <c r="R16" s="364">
        <v>0.38800000000000001</v>
      </c>
      <c r="S16" s="104">
        <v>0.39117560568524334</v>
      </c>
      <c r="T16" s="10">
        <v>0.38341186844162889</v>
      </c>
      <c r="U16" s="330">
        <v>0.38267699470046296</v>
      </c>
      <c r="V16" s="330">
        <v>0.38605801267864925</v>
      </c>
      <c r="W16" s="330">
        <v>0.39566771616851942</v>
      </c>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row>
    <row r="17" spans="1:223" x14ac:dyDescent="0.25">
      <c r="A17" s="6"/>
      <c r="B17" s="57"/>
      <c r="C17" s="101"/>
      <c r="D17" s="101"/>
      <c r="E17" s="101"/>
      <c r="F17" s="101"/>
      <c r="G17" s="101"/>
      <c r="H17" s="101"/>
      <c r="I17" s="101"/>
      <c r="J17" s="101"/>
      <c r="K17" s="101"/>
      <c r="L17" s="101"/>
      <c r="M17" s="101"/>
      <c r="N17" s="101"/>
      <c r="O17" s="101"/>
      <c r="P17" s="101"/>
      <c r="Q17" s="101"/>
      <c r="R17" s="101"/>
      <c r="S17" s="101"/>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row>
    <row r="18" spans="1:223" s="78" customFormat="1" x14ac:dyDescent="0.25">
      <c r="A18" s="88"/>
      <c r="B18" s="89" t="s">
        <v>185</v>
      </c>
      <c r="C18" s="105">
        <v>0.28799999999999998</v>
      </c>
      <c r="D18" s="105">
        <v>0.34100000000000003</v>
      </c>
      <c r="E18" s="105">
        <v>0.38</v>
      </c>
      <c r="F18" s="105">
        <v>0.33500000000000002</v>
      </c>
      <c r="G18" s="105">
        <v>0.32300000000000001</v>
      </c>
      <c r="H18" s="105">
        <v>0.33600000000000002</v>
      </c>
      <c r="I18" s="105">
        <v>0.34899999999999998</v>
      </c>
      <c r="J18" s="105">
        <v>0.34499999999999997</v>
      </c>
      <c r="K18" s="105">
        <v>0.30599999999999999</v>
      </c>
      <c r="L18" s="105">
        <v>0.33300000000000002</v>
      </c>
      <c r="M18" s="105">
        <v>0.31045695166585507</v>
      </c>
      <c r="N18" s="105">
        <v>0.33100000000000002</v>
      </c>
      <c r="O18" s="105">
        <v>0.32200000000000001</v>
      </c>
      <c r="P18" s="105">
        <v>0.29499999999999998</v>
      </c>
      <c r="Q18" s="105">
        <v>0.315</v>
      </c>
      <c r="R18" s="105">
        <v>0.309</v>
      </c>
      <c r="S18" s="105">
        <v>0.35313642061404282</v>
      </c>
      <c r="T18" s="105">
        <v>0.315</v>
      </c>
      <c r="U18" s="105">
        <v>0.308</v>
      </c>
      <c r="V18" s="105">
        <v>0.32</v>
      </c>
      <c r="W18" s="105">
        <v>0.34771793917908539</v>
      </c>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row>
    <row r="19" spans="1:223" s="38" customFormat="1" x14ac:dyDescent="0.25">
      <c r="A19" s="86"/>
      <c r="B19" s="87"/>
      <c r="C19" s="106"/>
      <c r="D19" s="106"/>
      <c r="E19" s="106"/>
      <c r="F19" s="106"/>
      <c r="G19" s="106"/>
      <c r="H19" s="106"/>
      <c r="I19" s="106"/>
      <c r="J19" s="106"/>
      <c r="K19" s="106"/>
      <c r="L19" s="106"/>
      <c r="M19" s="106"/>
      <c r="N19" s="106"/>
      <c r="O19" s="106"/>
      <c r="P19" s="106"/>
      <c r="Q19" s="106"/>
      <c r="R19" s="106"/>
      <c r="S19" s="106"/>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row>
    <row r="20" spans="1:223" x14ac:dyDescent="0.25">
      <c r="B20" s="157" t="s">
        <v>150</v>
      </c>
      <c r="S20" s="24"/>
    </row>
    <row r="21" spans="1:223" x14ac:dyDescent="0.25">
      <c r="B21" s="155" t="s">
        <v>149</v>
      </c>
      <c r="C21" s="155">
        <v>61.463333333333338</v>
      </c>
      <c r="D21" s="155">
        <f>AVERAGE(60.17,59.11,60.32)</f>
        <v>59.866666666666667</v>
      </c>
      <c r="E21" s="158">
        <f>AVERAGE(60.55,60.51,61.75)</f>
        <v>60.936666666666667</v>
      </c>
      <c r="F21" s="158">
        <f>AVERAGE(61.36,62.2,63.3)</f>
        <v>62.286666666666669</v>
      </c>
      <c r="G21" s="155">
        <f>AVERAGE(C21:F21)</f>
        <v>61.138333333333335</v>
      </c>
      <c r="H21" s="158">
        <f>AVERAGE(61.86,62.5,61.83)</f>
        <v>62.063333333333333</v>
      </c>
      <c r="I21" s="158">
        <f>AVERAGE(63.42,63.73,63.64)</f>
        <v>63.596666666666671</v>
      </c>
      <c r="J21" s="158">
        <f>AVERAGE(64.13,66.48,65.57)</f>
        <v>65.393333333333331</v>
      </c>
      <c r="K21" s="158">
        <f>AVERAGE(65.41,66.67,66.15)</f>
        <v>66.076666666666668</v>
      </c>
      <c r="L21" s="155">
        <f>AVERAGE(H21:K21)</f>
        <v>64.282499999999999</v>
      </c>
      <c r="M21" s="158">
        <f>AVERAGE(67.87,68.41,66.25)</f>
        <v>67.510000000000005</v>
      </c>
      <c r="N21" s="158">
        <f>AVERAGE(66.41,67.26,67.52)</f>
        <v>67.063333333333333</v>
      </c>
      <c r="O21" s="158">
        <f>AVERAGE(66.63,66.96,66.61)</f>
        <v>66.733333333333334</v>
      </c>
      <c r="P21" s="158">
        <f>AVERAGE(66.79,68.38,67.94)</f>
        <v>67.703333333333333</v>
      </c>
      <c r="Q21" s="155">
        <f>AVERAGE(M21:P21)</f>
        <v>67.252499999999998</v>
      </c>
      <c r="R21" s="158">
        <f>(64.85+66.69+67.85)/3</f>
        <v>66.463333333333324</v>
      </c>
      <c r="S21" s="158">
        <v>64.446666666666658</v>
      </c>
      <c r="T21" s="158">
        <f>+(64.18+63.9+65.28)/3</f>
        <v>64.453333333333333</v>
      </c>
      <c r="U21" s="158">
        <f>+(64.74+64.46+63.87)/3</f>
        <v>64.356666666666669</v>
      </c>
      <c r="V21" s="158">
        <f>AVERAGE(R21:U21)</f>
        <v>64.929999999999993</v>
      </c>
      <c r="W21" s="158">
        <v>64.64</v>
      </c>
    </row>
    <row r="22" spans="1:223" x14ac:dyDescent="0.25">
      <c r="B22" s="34" t="s">
        <v>151</v>
      </c>
      <c r="C22" s="109">
        <v>6.8939516346204766E-3</v>
      </c>
      <c r="D22" s="109">
        <v>2.5977547589348782E-2</v>
      </c>
      <c r="E22" s="109">
        <v>-1.7873051224944314E-2</v>
      </c>
      <c r="F22" s="109">
        <v>-2.21541491165691E-2</v>
      </c>
      <c r="G22" s="109"/>
      <c r="H22" s="109">
        <f>-(H21/F21-1)</f>
        <v>3.5855720860538121E-3</v>
      </c>
      <c r="I22" s="109">
        <f>-(I21/H21-1)</f>
        <v>-2.4705945539502672E-2</v>
      </c>
      <c r="J22" s="109">
        <f>-(J21/I21-1)</f>
        <v>-2.8250956549085382E-2</v>
      </c>
      <c r="K22" s="109">
        <f>-(K21/J21-1)</f>
        <v>-1.0449587113875003E-2</v>
      </c>
      <c r="L22" s="109"/>
      <c r="M22" s="109">
        <f>-(M21/K21-1)</f>
        <v>-2.1691973969631295E-2</v>
      </c>
      <c r="N22" s="109">
        <f>-(N21/M21-1)</f>
        <v>6.6163037574681338E-3</v>
      </c>
      <c r="O22" s="109">
        <f>-(O21/N21-1)</f>
        <v>4.9207217058501174E-3</v>
      </c>
      <c r="P22" s="109">
        <f>-(P21/O21-1)</f>
        <v>-1.4535464535464504E-2</v>
      </c>
      <c r="Q22" s="109"/>
      <c r="R22" s="109">
        <f>-(R21/Q21-1)</f>
        <v>1.1734384099723827E-2</v>
      </c>
      <c r="S22" s="109">
        <f>-(S21/R21-1)</f>
        <v>3.034254476152265E-2</v>
      </c>
      <c r="T22" s="109">
        <f>-(T21/S21-1)</f>
        <v>-1.0344470880330192E-4</v>
      </c>
      <c r="U22" s="109">
        <f>-(U21/T21-1)</f>
        <v>1.4997931319817859E-3</v>
      </c>
      <c r="W22" s="333">
        <f>-(W21/U21-1)</f>
        <v>-4.4025482985445841E-3</v>
      </c>
    </row>
    <row r="23" spans="1:223" x14ac:dyDescent="0.25">
      <c r="B23" s="34" t="s">
        <v>152</v>
      </c>
      <c r="C23" s="109">
        <v>-0.13926475131294414</v>
      </c>
      <c r="D23" s="109">
        <v>-5.8400612882314906E-2</v>
      </c>
      <c r="E23" s="109">
        <v>3.1162737207728441E-2</v>
      </c>
      <c r="F23" s="109">
        <v>-6.4092206603112434E-3</v>
      </c>
      <c r="G23" s="109">
        <v>-3.9325536290475194E-2</v>
      </c>
      <c r="H23" s="109">
        <f>-(H21/C21-1)</f>
        <v>-9.7619176744940805E-3</v>
      </c>
      <c r="I23" s="109">
        <f>-(I21/D21-1)</f>
        <v>-6.2305122494432208E-2</v>
      </c>
      <c r="J23" s="109">
        <f>-(J21/E21-1)</f>
        <v>-7.3136042886056574E-2</v>
      </c>
      <c r="K23" s="109">
        <f t="shared" ref="K23" si="4">-(K21/F21-1)</f>
        <v>-6.0847693460344576E-2</v>
      </c>
      <c r="L23" s="109">
        <f t="shared" ref="L23" si="5">-(L21/G21-1)</f>
        <v>-5.1427091568301275E-2</v>
      </c>
      <c r="M23" s="109">
        <f t="shared" ref="M23:W23" si="6">-(M21/H21-1)</f>
        <v>-8.7759815242494321E-2</v>
      </c>
      <c r="N23" s="109">
        <f t="shared" si="6"/>
        <v>-5.4510194454636007E-2</v>
      </c>
      <c r="O23" s="109">
        <f t="shared" si="6"/>
        <v>-2.0491385462330536E-2</v>
      </c>
      <c r="P23" s="109">
        <f t="shared" si="6"/>
        <v>-2.4617868132976728E-2</v>
      </c>
      <c r="Q23" s="109">
        <f t="shared" si="6"/>
        <v>-4.6202310115505796E-2</v>
      </c>
      <c r="R23" s="109">
        <f t="shared" si="6"/>
        <v>1.5503875968992498E-2</v>
      </c>
      <c r="S23" s="109">
        <f t="shared" si="6"/>
        <v>3.9017843829216248E-2</v>
      </c>
      <c r="T23" s="109">
        <f t="shared" si="6"/>
        <v>3.4165834165834186E-2</v>
      </c>
      <c r="U23" s="109">
        <f t="shared" si="6"/>
        <v>4.9431342622224372E-2</v>
      </c>
      <c r="V23" s="109">
        <f t="shared" si="6"/>
        <v>3.453403219211193E-2</v>
      </c>
      <c r="W23" s="109">
        <f t="shared" si="6"/>
        <v>2.7433672701740131E-2</v>
      </c>
    </row>
    <row r="24" spans="1:223" x14ac:dyDescent="0.25">
      <c r="B24" s="34"/>
      <c r="C24" s="109"/>
      <c r="D24" s="109"/>
      <c r="E24" s="109"/>
      <c r="F24" s="109"/>
      <c r="G24" s="109"/>
      <c r="H24" s="109"/>
      <c r="I24" s="109"/>
      <c r="J24" s="109"/>
      <c r="K24" s="109"/>
      <c r="L24" s="109"/>
      <c r="M24" s="109"/>
      <c r="N24" s="109"/>
      <c r="O24" s="109"/>
      <c r="P24" s="109"/>
      <c r="Q24" s="109"/>
      <c r="R24" s="109"/>
      <c r="S24" s="109"/>
    </row>
    <row r="25" spans="1:223" x14ac:dyDescent="0.25">
      <c r="B25" s="158" t="s">
        <v>147</v>
      </c>
      <c r="C25" s="158">
        <v>1.66</v>
      </c>
      <c r="D25" s="158">
        <f>AVERAGE(1.68,1.67,1.7)</f>
        <v>1.6833333333333333</v>
      </c>
      <c r="E25" s="158">
        <f>AVERAGE(1.69,1.66,1.62)</f>
        <v>1.6566666666666665</v>
      </c>
      <c r="F25" s="158">
        <f>AVERAGE(1.6,1.56,1.56)</f>
        <v>1.5733333333333335</v>
      </c>
      <c r="G25" s="158">
        <f>AVERAGE(C25:F25)</f>
        <v>1.6433333333333333</v>
      </c>
      <c r="H25" s="158">
        <f>AVERAGE(1.48,1.51,1.54)</f>
        <v>1.51</v>
      </c>
      <c r="I25" s="158">
        <f>AVERAGE(1.54,1.53,1.57)</f>
        <v>1.5466666666666669</v>
      </c>
      <c r="J25" s="158">
        <f>AVERAGE(1.56,1.54,1.52)</f>
        <v>1.54</v>
      </c>
      <c r="K25" s="158">
        <f>AVERAGE(1.5,1.54,1.48)</f>
        <v>1.5066666666666666</v>
      </c>
      <c r="L25" s="158">
        <f>AVERAGE(H25:K25)</f>
        <v>1.5258333333333334</v>
      </c>
      <c r="M25" s="158">
        <f>AVERAGE(1.42,1.39,1.44)</f>
        <v>1.4166666666666667</v>
      </c>
      <c r="N25" s="158">
        <f>AVERAGE(1.46,1.46,1.35)</f>
        <v>1.4233333333333331</v>
      </c>
      <c r="O25" s="158">
        <f>AVERAGE(1.32,1.31,1.3)</f>
        <v>1.3099999999999998</v>
      </c>
      <c r="P25" s="158">
        <f>AVERAGE(1.22,1.24,1.23)</f>
        <v>1.23</v>
      </c>
      <c r="Q25" s="158">
        <f>AVERAGE(M25:P25)</f>
        <v>1.3449999999999998</v>
      </c>
      <c r="R25" s="158">
        <v>1.24</v>
      </c>
      <c r="S25" s="158">
        <v>1.29</v>
      </c>
      <c r="T25" s="158">
        <f>+(1.31+1.29+1.34)/3</f>
        <v>1.3133333333333335</v>
      </c>
      <c r="U25" s="158">
        <f>+(1.32+1.34+1.35)/3</f>
        <v>1.3366666666666667</v>
      </c>
      <c r="V25" s="158">
        <f>AVERAGE(R25:U25)</f>
        <v>1.2950000000000002</v>
      </c>
      <c r="W25" s="158">
        <v>1.3999999999999997</v>
      </c>
    </row>
    <row r="26" spans="1:223" x14ac:dyDescent="0.25">
      <c r="B26" s="34" t="s">
        <v>177</v>
      </c>
      <c r="C26" s="109">
        <v>-1.8404907975460238E-2</v>
      </c>
      <c r="D26" s="109">
        <v>-1.4056224899598346E-2</v>
      </c>
      <c r="E26" s="109">
        <v>1.5841584158415967E-2</v>
      </c>
      <c r="F26" s="109">
        <v>5.0301810865190921E-2</v>
      </c>
      <c r="G26" s="109"/>
      <c r="H26" s="109">
        <f>-(H25/F25-1)</f>
        <v>4.0254237288135708E-2</v>
      </c>
      <c r="I26" s="109">
        <f>-(I25/H25-1)</f>
        <v>-2.428256070640189E-2</v>
      </c>
      <c r="J26" s="109">
        <f>-(J25/I25-1)</f>
        <v>4.3103448275862988E-3</v>
      </c>
      <c r="K26" s="109">
        <f>-(K25/J25-1)</f>
        <v>2.1645021645021689E-2</v>
      </c>
      <c r="L26" s="109"/>
      <c r="M26" s="109">
        <f>-(M25/K25-1)</f>
        <v>5.9734513274336209E-2</v>
      </c>
      <c r="N26" s="109">
        <f>-(N25/M25-1)</f>
        <v>-4.7058823529408933E-3</v>
      </c>
      <c r="O26" s="109">
        <f>-(O25/N25-1)</f>
        <v>7.9625292740046816E-2</v>
      </c>
      <c r="P26" s="109">
        <f>-(P25/O25-1)</f>
        <v>6.1068702290076216E-2</v>
      </c>
      <c r="Q26" s="109"/>
      <c r="R26" s="109">
        <f>-(R25/Q25-1)</f>
        <v>7.8066914498141071E-2</v>
      </c>
      <c r="S26" s="109">
        <f>-(S25/R25-1)</f>
        <v>-4.0322580645161255E-2</v>
      </c>
      <c r="T26" s="109">
        <f>-(T25/S25-1)</f>
        <v>-1.8087855297157729E-2</v>
      </c>
      <c r="U26" s="109">
        <f>-(U25/T25-1)</f>
        <v>-1.7766497461928932E-2</v>
      </c>
      <c r="W26" s="333">
        <f>-(W25/U25-1)</f>
        <v>-4.7381546134663166E-2</v>
      </c>
    </row>
    <row r="27" spans="1:223" x14ac:dyDescent="0.25">
      <c r="B27" s="34" t="s">
        <v>178</v>
      </c>
      <c r="C27" s="109">
        <v>-7.7922077922077948E-2</v>
      </c>
      <c r="D27" s="109">
        <v>-0.10021786492374729</v>
      </c>
      <c r="E27" s="109">
        <v>-6.1965811965811746E-2</v>
      </c>
      <c r="F27" s="109">
        <v>3.4764826175868957E-2</v>
      </c>
      <c r="G27" s="109">
        <v>-5.0053248136315176E-2</v>
      </c>
      <c r="H27" s="109">
        <f t="shared" ref="H27:J27" si="7">-(H25/C25-1)</f>
        <v>9.0361445783132432E-2</v>
      </c>
      <c r="I27" s="109">
        <f t="shared" si="7"/>
        <v>8.1188118811881038E-2</v>
      </c>
      <c r="J27" s="109">
        <f t="shared" si="7"/>
        <v>7.0422535211267512E-2</v>
      </c>
      <c r="K27" s="109">
        <f t="shared" ref="K27" si="8">-(K25/F25-1)</f>
        <v>4.2372881355932313E-2</v>
      </c>
      <c r="L27" s="109">
        <f t="shared" ref="L27:M27" si="9">-(L25/G25-1)</f>
        <v>7.1501014198782964E-2</v>
      </c>
      <c r="M27" s="109">
        <f t="shared" si="9"/>
        <v>6.1810154525386296E-2</v>
      </c>
      <c r="N27" s="109">
        <f t="shared" ref="N27:W27" si="10">-(N25/I25-1)</f>
        <v>7.9741379310345084E-2</v>
      </c>
      <c r="O27" s="109">
        <f t="shared" si="10"/>
        <v>0.14935064935064946</v>
      </c>
      <c r="P27" s="109">
        <f t="shared" si="10"/>
        <v>0.1836283185840708</v>
      </c>
      <c r="Q27" s="109">
        <f t="shared" si="10"/>
        <v>0.11851447296559281</v>
      </c>
      <c r="R27" s="109">
        <f t="shared" si="10"/>
        <v>0.12470588235294122</v>
      </c>
      <c r="S27" s="109">
        <f t="shared" si="10"/>
        <v>9.367681498829028E-2</v>
      </c>
      <c r="T27" s="109">
        <f t="shared" si="10"/>
        <v>-2.5445292620867033E-3</v>
      </c>
      <c r="U27" s="109">
        <f t="shared" si="10"/>
        <v>-8.6720867208672114E-2</v>
      </c>
      <c r="V27" s="109">
        <f t="shared" si="10"/>
        <v>3.7174721189590754E-2</v>
      </c>
      <c r="W27" s="109">
        <f t="shared" si="10"/>
        <v>-0.12903225806451579</v>
      </c>
    </row>
    <row r="28" spans="1:223" x14ac:dyDescent="0.25">
      <c r="B28" s="156"/>
      <c r="S28" s="24"/>
    </row>
    <row r="29" spans="1:223" x14ac:dyDescent="0.25">
      <c r="B29" s="155" t="s">
        <v>148</v>
      </c>
      <c r="C29" s="155">
        <v>44.92166666666666</v>
      </c>
      <c r="D29" s="155">
        <v>44.00333333333333</v>
      </c>
      <c r="E29" s="155">
        <f>AVERAGE(43.46,43.59,44.875)</f>
        <v>43.975000000000001</v>
      </c>
      <c r="F29" s="155">
        <f>AVERAGE(44.88,44.89,44.72)</f>
        <v>44.830000000000005</v>
      </c>
      <c r="G29" s="158">
        <f>AVERAGE(C29:F29)</f>
        <v>44.432499999999997</v>
      </c>
      <c r="H29" s="158">
        <f>AVERAGE(44.7,44.09,44.08)</f>
        <v>44.29</v>
      </c>
      <c r="I29" s="158">
        <f>AVERAGE(44.52,44.59,45.09)</f>
        <v>44.733333333333341</v>
      </c>
      <c r="J29" s="158">
        <f>AVERAGE(45.62,46.735,46.74)</f>
        <v>46.365000000000002</v>
      </c>
      <c r="K29" s="155">
        <f>AVERAGE(46.82,47.15,47.06)</f>
        <v>47.01</v>
      </c>
      <c r="L29" s="158">
        <f>AVERAGE(H29:K29)</f>
        <v>45.599583333333335</v>
      </c>
      <c r="M29" s="158">
        <f>AVERAGE(47.65,47.55,46.07)</f>
        <v>47.089999999999996</v>
      </c>
      <c r="N29" s="158">
        <f>AVERAGE(46.89,46.755,47.06)</f>
        <v>46.901666666666671</v>
      </c>
      <c r="O29" s="158">
        <f>AVERAGE(47.11,46.58,48.5)</f>
        <v>47.396666666666668</v>
      </c>
      <c r="P29" s="158">
        <f>AVERAGE(48.41,49.73,49.72)</f>
        <v>49.286666666666662</v>
      </c>
      <c r="Q29" s="158">
        <f>AVERAGE(M29:P29)</f>
        <v>47.668750000000003</v>
      </c>
      <c r="R29" s="158">
        <f>+(50.21+50.16+49.77)/3</f>
        <v>50.046666666666674</v>
      </c>
      <c r="S29" s="158">
        <v>50.061666666666667</v>
      </c>
      <c r="T29" s="158">
        <f>+(50.46+51.17+50.815)/3</f>
        <v>50.814999999999998</v>
      </c>
      <c r="U29" s="158">
        <f>+(51.61+50.27+49.93)/3</f>
        <v>50.603333333333332</v>
      </c>
      <c r="V29" s="158">
        <f>AVERAGE(R29:U29)</f>
        <v>50.381666666666668</v>
      </c>
      <c r="W29" s="158">
        <v>51.85</v>
      </c>
    </row>
    <row r="30" spans="1:223" x14ac:dyDescent="0.25">
      <c r="B30" s="34" t="s">
        <v>151</v>
      </c>
      <c r="C30" s="109">
        <v>-2.5843038745527736E-2</v>
      </c>
      <c r="D30" s="109">
        <v>2.0442993358809725E-2</v>
      </c>
      <c r="E30" s="109">
        <v>6.4389061434733108E-4</v>
      </c>
      <c r="F30" s="109">
        <v>-1.9442865264354792E-2</v>
      </c>
      <c r="G30" s="109"/>
      <c r="H30" s="109">
        <f>-(H29/F29-1)</f>
        <v>1.2045505242025523E-2</v>
      </c>
      <c r="I30" s="109">
        <f>-(I29/H29-1)</f>
        <v>-1.0009783999398003E-2</v>
      </c>
      <c r="J30" s="109">
        <f>-(J29/I29-1)</f>
        <v>-3.6475409836065342E-2</v>
      </c>
      <c r="K30" s="109">
        <f>-(K29/J29-1)</f>
        <v>-1.3911355548366089E-2</v>
      </c>
      <c r="L30" s="109"/>
      <c r="M30" s="109">
        <f>-(M29/K29-1)</f>
        <v>-1.701765581791026E-3</v>
      </c>
      <c r="N30" s="109">
        <f>-(N29/M29-1)</f>
        <v>3.9994337085013099E-3</v>
      </c>
      <c r="O30" s="109">
        <f>-(O29/N29-1)</f>
        <v>-1.0553995948971107E-2</v>
      </c>
      <c r="P30" s="109">
        <f>-(P29/O29-1)</f>
        <v>-3.987622195653695E-2</v>
      </c>
      <c r="Q30" s="109"/>
      <c r="R30" s="109">
        <f>-(R29/Q29-1)</f>
        <v>-4.9884183383593461E-2</v>
      </c>
      <c r="S30" s="109">
        <f>-(S29/R29-1)</f>
        <v>-2.9972026108948668E-4</v>
      </c>
      <c r="T30" s="109">
        <f>-(T29/S29-1)</f>
        <v>-1.504810733428763E-2</v>
      </c>
      <c r="U30" s="109">
        <f>-(U29/T29-1)</f>
        <v>4.165436714880788E-3</v>
      </c>
      <c r="W30" s="333">
        <f>-(W29/U29-1)</f>
        <v>-2.4636058230683044E-2</v>
      </c>
    </row>
    <row r="31" spans="1:223" x14ac:dyDescent="0.25">
      <c r="B31" s="34" t="s">
        <v>152</v>
      </c>
      <c r="C31" s="109">
        <v>-0.1033198247983953</v>
      </c>
      <c r="D31" s="109">
        <v>-4.2568314642236649E-2</v>
      </c>
      <c r="E31" s="109">
        <v>-2.7362900467451379E-3</v>
      </c>
      <c r="F31" s="109">
        <v>-2.3749714546700273E-2</v>
      </c>
      <c r="G31" s="109">
        <v>-4.199726402188797E-2</v>
      </c>
      <c r="H31" s="109">
        <f t="shared" ref="H31:J31" si="11">-(H29/C29-1)</f>
        <v>1.4061514488183047E-2</v>
      </c>
      <c r="I31" s="109">
        <f t="shared" si="11"/>
        <v>-1.6589652299068502E-2</v>
      </c>
      <c r="J31" s="109">
        <f t="shared" si="11"/>
        <v>-5.4349061967026824E-2</v>
      </c>
      <c r="K31" s="109">
        <f>-(K29/F29-1)</f>
        <v>-4.8628150791880209E-2</v>
      </c>
      <c r="L31" s="109">
        <f t="shared" ref="L31:M31" si="12">-(L29/G29-1)</f>
        <v>-2.6266434104165626E-2</v>
      </c>
      <c r="M31" s="109">
        <f t="shared" si="12"/>
        <v>-6.3219688417249786E-2</v>
      </c>
      <c r="N31" s="109">
        <f t="shared" ref="N31:W31" si="13">-(N29/I29-1)</f>
        <v>-4.8472429210133949E-2</v>
      </c>
      <c r="O31" s="109">
        <f t="shared" si="13"/>
        <v>-2.2250979546353244E-2</v>
      </c>
      <c r="P31" s="109">
        <f t="shared" si="13"/>
        <v>-4.8429412181805187E-2</v>
      </c>
      <c r="Q31" s="109">
        <f t="shared" si="13"/>
        <v>-4.537687661619727E-2</v>
      </c>
      <c r="R31" s="109">
        <f t="shared" si="13"/>
        <v>-6.2787569901607165E-2</v>
      </c>
      <c r="S31" s="109">
        <f t="shared" si="13"/>
        <v>-6.7375004441917463E-2</v>
      </c>
      <c r="T31" s="109">
        <f t="shared" si="13"/>
        <v>-7.2121808847316782E-2</v>
      </c>
      <c r="U31" s="109">
        <f t="shared" si="13"/>
        <v>-2.6714459623968789E-2</v>
      </c>
      <c r="V31" s="109">
        <f t="shared" si="13"/>
        <v>-5.691184825838036E-2</v>
      </c>
      <c r="W31" s="109">
        <f t="shared" si="13"/>
        <v>-3.6033035833222149E-2</v>
      </c>
    </row>
    <row r="33" spans="1:18" x14ac:dyDescent="0.25">
      <c r="A33" s="154" t="s">
        <v>183</v>
      </c>
      <c r="C33" s="109"/>
      <c r="D33" s="109"/>
      <c r="E33" s="109"/>
      <c r="F33" s="109"/>
      <c r="H33" s="109"/>
      <c r="I33" s="109"/>
      <c r="J33" s="109"/>
      <c r="K33" s="109"/>
      <c r="M33" s="109"/>
      <c r="N33" s="109"/>
      <c r="O33" s="109"/>
      <c r="P33" s="109"/>
      <c r="R33" s="109"/>
    </row>
    <row r="35" spans="1:18" x14ac:dyDescent="0.25">
      <c r="C35" s="28"/>
      <c r="D35" s="28"/>
      <c r="E35" s="28"/>
      <c r="F35" s="28"/>
      <c r="G35" s="28"/>
      <c r="H35" s="28"/>
      <c r="I35" s="28"/>
      <c r="J35" s="28"/>
      <c r="K35" s="28"/>
      <c r="L35" s="28"/>
      <c r="M35" s="28"/>
      <c r="N35" s="28"/>
      <c r="O35" s="28"/>
      <c r="P35" s="28"/>
      <c r="Q35" s="28"/>
      <c r="R35" s="28"/>
    </row>
    <row r="36" spans="1:18" x14ac:dyDescent="0.25">
      <c r="C36" s="68"/>
      <c r="D36" s="68"/>
      <c r="E36" s="68"/>
      <c r="F36" s="68"/>
      <c r="H36" s="68"/>
      <c r="I36" s="68"/>
      <c r="J36" s="68"/>
      <c r="K36" s="68"/>
      <c r="M36" s="68"/>
      <c r="N36" s="68"/>
      <c r="O36" s="68"/>
      <c r="P36" s="68"/>
      <c r="R36" s="68"/>
    </row>
    <row r="38" spans="1:18" x14ac:dyDescent="0.25">
      <c r="C38" s="68"/>
      <c r="D38" s="68"/>
      <c r="E38" s="68"/>
      <c r="F38" s="68"/>
      <c r="H38" s="68"/>
      <c r="I38" s="68"/>
      <c r="J38" s="68"/>
      <c r="K38" s="68"/>
      <c r="M38" s="68"/>
      <c r="N38" s="68"/>
      <c r="O38" s="68"/>
      <c r="P38" s="68"/>
      <c r="R38" s="68"/>
    </row>
    <row r="42" spans="1:18" x14ac:dyDescent="0.25">
      <c r="C42" s="68"/>
      <c r="D42" s="68"/>
      <c r="E42" s="68"/>
      <c r="F42" s="68"/>
      <c r="H42" s="68"/>
      <c r="I42" s="68"/>
      <c r="J42" s="68"/>
      <c r="K42" s="68"/>
      <c r="M42" s="68"/>
      <c r="N42" s="68"/>
      <c r="O42" s="68"/>
      <c r="P42" s="68"/>
      <c r="R42" s="68"/>
    </row>
    <row r="44" spans="1:18" x14ac:dyDescent="0.25">
      <c r="C44" s="68"/>
      <c r="D44" s="68"/>
      <c r="E44" s="68"/>
      <c r="F44" s="68"/>
      <c r="H44" s="68"/>
      <c r="I44" s="68"/>
      <c r="J44" s="68"/>
      <c r="K44" s="68"/>
      <c r="M44" s="68"/>
      <c r="N44" s="68"/>
      <c r="O44" s="68"/>
      <c r="P44" s="68"/>
      <c r="R44" s="68"/>
    </row>
    <row r="45" spans="1:18" x14ac:dyDescent="0.25">
      <c r="C45" s="109"/>
      <c r="D45" s="109"/>
      <c r="E45" s="109"/>
      <c r="F45" s="109"/>
      <c r="H45" s="109"/>
      <c r="I45" s="109"/>
      <c r="J45" s="109"/>
      <c r="K45" s="109"/>
      <c r="M45" s="109"/>
      <c r="N45" s="109"/>
      <c r="O45" s="109"/>
      <c r="P45" s="109"/>
      <c r="R45" s="109"/>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5" scale="6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Steven Barlow</cp:lastModifiedBy>
  <cp:lastPrinted>2017-11-10T15:55:29Z</cp:lastPrinted>
  <dcterms:created xsi:type="dcterms:W3CDTF">2009-03-23T17:27:54Z</dcterms:created>
  <dcterms:modified xsi:type="dcterms:W3CDTF">2018-04-30T17:18:48Z</dcterms:modified>
</cp:coreProperties>
</file>