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9"/>
  <workbookPr codeName="ThisWorkbook" defaultThemeVersion="124226"/>
  <mc:AlternateContent xmlns:mc="http://schemas.openxmlformats.org/markup-compatibility/2006">
    <mc:Choice Requires="x15">
      <x15ac:absPath xmlns:x15ac="http://schemas.microsoft.com/office/spreadsheetml/2010/11/ac" url="https://exlservicenam-my.sharepoint.com/personal/john198396_exlservice_com/Documents/IR/earnings/2Q23/final docs/"/>
    </mc:Choice>
  </mc:AlternateContent>
  <xr:revisionPtr revIDLastSave="0" documentId="8_{B9714B3C-AF02-3545-A1AA-2EAE5AA97A61}" xr6:coauthVersionLast="47" xr6:coauthVersionMax="47" xr10:uidLastSave="{00000000-0000-0000-0000-000000000000}"/>
  <bookViews>
    <workbookView xWindow="5460" yWindow="500" windowWidth="20740" windowHeight="11040" tabRatio="889" activeTab="4" xr2:uid="{00000000-000D-0000-FFFF-FFFF00000000}"/>
  </bookViews>
  <sheets>
    <sheet name="Contents" sheetId="9" r:id="rId1"/>
    <sheet name="Income Statement" sheetId="2" r:id="rId2"/>
    <sheet name="Balance Sheet" sheetId="6" r:id="rId3"/>
    <sheet name="Cashflow" sheetId="7" r:id="rId4"/>
    <sheet name="Revenues and Margins" sheetId="8" r:id="rId5"/>
    <sheet name="Other Metrics" sheetId="5" r:id="rId6"/>
  </sheets>
  <definedNames>
    <definedName name="_xlnm._FilterDatabase" localSheetId="1" hidden="1">'Income Statement'!#REF!</definedName>
    <definedName name="_xlnm.Print_Area" localSheetId="2">'Balance Sheet'!$A$1:$X$59</definedName>
    <definedName name="_xlnm.Print_Area" localSheetId="3">Cashflow!$A$1:$AC$70</definedName>
    <definedName name="_xlnm.Print_Area" localSheetId="1">'Income Statement'!$A$1:$AB$109</definedName>
    <definedName name="_xlnm.Print_Area" localSheetId="5">'Other Metrics'!$A$1:$AC$28</definedName>
    <definedName name="_xlnm.Print_Area" localSheetId="4">'Revenues and Margins'!$A$1:$AC$105</definedName>
    <definedName name="_xlnm.Print_Titles" localSheetId="1">'Income Statement'!$A:$A,'Income Statement'!$4:$5</definedName>
    <definedName name="_xlnm.Print_Titles" localSheetId="5">'Other Metrics'!$B:$B</definedName>
    <definedName name="_xlnm.Print_Titles" localSheetId="4">'Revenues and Margins'!$1:$4</definedName>
    <definedName name="Z_168DC811_186D_42DC_8A72_3741D1063270_.wvu.PrintArea" localSheetId="5" hidden="1">'Other Metrics'!$A$1:$B$15</definedName>
    <definedName name="Z_168DC811_186D_42DC_8A72_3741D1063270_.wvu.PrintTitles" localSheetId="1" hidden="1">'Income Statement'!$A:$A,'Income Statement'!$4:$5</definedName>
    <definedName name="Z_168DC811_186D_42DC_8A72_3741D1063270_.wvu.PrintTitles" localSheetId="5" hidden="1">'Other Metrics'!$B:$B</definedName>
    <definedName name="Z_168DC811_186D_42DC_8A72_3741D1063270_.wvu.Rows" localSheetId="5" hidden="1">'Other Metrics'!#REF!</definedName>
  </definedNames>
  <calcPr calcId="191028"/>
  <customWorkbookViews>
    <customWorkbookView name="rahul13232 - Personal View" guid="{168DC811-186D-42DC-8A72-3741D1063270}" mergeInterval="0" personalView="1" maximized="1" xWindow="1" yWindow="1" windowWidth="1276" windowHeight="80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4" i="8" l="1"/>
  <c r="AC40" i="8" l="1"/>
  <c r="AC27" i="8"/>
  <c r="AC65" i="8"/>
  <c r="AC17" i="8"/>
  <c r="AC20" i="8"/>
  <c r="AC67" i="8" l="1"/>
  <c r="AC21" i="8"/>
  <c r="AC86" i="8" l="1"/>
  <c r="AC78" i="8"/>
  <c r="AC82" i="8"/>
  <c r="AB90" i="2" l="1"/>
  <c r="AB63" i="2" l="1"/>
  <c r="AC87" i="8" l="1"/>
  <c r="AC83" i="8"/>
  <c r="AC79" i="8"/>
  <c r="AC22" i="5" l="1"/>
  <c r="AC18" i="5" l="1"/>
  <c r="AC26" i="5"/>
  <c r="AA90" i="2" l="1"/>
  <c r="I61" i="7" l="1"/>
  <c r="G61" i="7"/>
  <c r="F61" i="7"/>
  <c r="D61" i="7"/>
  <c r="C61" i="7"/>
  <c r="B61" i="7"/>
  <c r="G49" i="7"/>
  <c r="D49" i="7"/>
  <c r="C49" i="7"/>
  <c r="B49" i="7"/>
  <c r="I39" i="7"/>
  <c r="G39" i="7"/>
  <c r="F39" i="7"/>
  <c r="D39" i="7"/>
  <c r="K40" i="6" l="1"/>
  <c r="J40" i="6"/>
  <c r="I12" i="6" l="1"/>
  <c r="C12" i="6"/>
  <c r="O91" i="2" l="1"/>
  <c r="AB87" i="8" l="1"/>
  <c r="AB83" i="8"/>
  <c r="AB79" i="8"/>
  <c r="Z88" i="2" l="1"/>
  <c r="Z63" i="2" l="1"/>
  <c r="Y63" i="2" s="1"/>
  <c r="Z56" i="7" l="1"/>
  <c r="Z30" i="7"/>
  <c r="Z14" i="7"/>
  <c r="Z11" i="7"/>
  <c r="AA6" i="5" l="1"/>
  <c r="AB26" i="5" l="1"/>
  <c r="AB18" i="5"/>
  <c r="AB22" i="5" l="1"/>
  <c r="Y99" i="2"/>
  <c r="Z74" i="2"/>
  <c r="Z75" i="2" l="1"/>
  <c r="Z64" i="2" l="1"/>
  <c r="Z77" i="2" s="1"/>
  <c r="Z90" i="2" s="1"/>
  <c r="AA65" i="8" l="1"/>
  <c r="AA40" i="8"/>
  <c r="AA34" i="8"/>
  <c r="AA27" i="8"/>
  <c r="AA17" i="8"/>
  <c r="AA67" i="8" s="1"/>
  <c r="Y101" i="2"/>
  <c r="Y98" i="2"/>
  <c r="Y97" i="2"/>
  <c r="Y96" i="2"/>
  <c r="Y91" i="2"/>
  <c r="Y89" i="2"/>
  <c r="AA82" i="8" l="1"/>
  <c r="AA78" i="8"/>
  <c r="AA86" i="8"/>
  <c r="Z87" i="8" l="1"/>
  <c r="Z83" i="8"/>
  <c r="Z79" i="8"/>
  <c r="Z22" i="5" l="1"/>
  <c r="Z18" i="5" l="1"/>
  <c r="Z26" i="5"/>
  <c r="X76" i="2" l="1"/>
  <c r="X75" i="2"/>
  <c r="X74" i="2"/>
  <c r="X100" i="2" l="1"/>
  <c r="Y38" i="2"/>
  <c r="AC80" i="8" l="1"/>
  <c r="AC84" i="8"/>
  <c r="AC88" i="8"/>
  <c r="Y79" i="8"/>
  <c r="Y83" i="8"/>
  <c r="Y87" i="8"/>
  <c r="Y61" i="2" l="1"/>
  <c r="Y74" i="2" s="1"/>
  <c r="U27" i="7" l="1"/>
  <c r="Y62" i="2" l="1"/>
  <c r="Y75" i="2" s="1"/>
  <c r="Y88" i="2"/>
  <c r="Y94" i="2" l="1"/>
  <c r="W74" i="2"/>
  <c r="Y18" i="5" l="1"/>
  <c r="AC19" i="5"/>
  <c r="Y22" i="5"/>
  <c r="AC23" i="5"/>
  <c r="Y26" i="5"/>
  <c r="AC27" i="5"/>
  <c r="W100" i="2" l="1"/>
  <c r="W76" i="2"/>
  <c r="W75" i="2"/>
  <c r="AB80" i="8" l="1"/>
  <c r="AB84" i="8"/>
  <c r="AB88" i="8"/>
  <c r="X87" i="8"/>
  <c r="X83" i="8"/>
  <c r="X79" i="8"/>
  <c r="Y93" i="2" l="1"/>
  <c r="Y92" i="2" l="1"/>
  <c r="X26" i="5" l="1"/>
  <c r="AB27" i="5"/>
  <c r="X18" i="5"/>
  <c r="AB19" i="5"/>
  <c r="X22" i="5"/>
  <c r="AB23" i="5"/>
  <c r="V100" i="2"/>
  <c r="Y100" i="2" s="1"/>
  <c r="V76" i="2"/>
  <c r="Y76" i="2" s="1"/>
  <c r="V74" i="2"/>
  <c r="V75" i="2"/>
  <c r="T61" i="2" l="1"/>
  <c r="Z55" i="7" l="1"/>
  <c r="AA88" i="8" l="1"/>
  <c r="AA84" i="8"/>
  <c r="AA80" i="8"/>
  <c r="W87" i="8" l="1"/>
  <c r="Z88" i="8"/>
  <c r="W79" i="8"/>
  <c r="Z80" i="8"/>
  <c r="W83" i="8"/>
  <c r="Z84" i="8"/>
  <c r="T96" i="2" l="1"/>
  <c r="T91" i="2"/>
  <c r="S76" i="2" l="1"/>
  <c r="R76" i="2"/>
  <c r="Q76" i="2"/>
  <c r="P76" i="2"/>
  <c r="O76" i="2"/>
  <c r="N76" i="2"/>
  <c r="M76" i="2"/>
  <c r="L76" i="2"/>
  <c r="K76" i="2"/>
  <c r="J76" i="2"/>
  <c r="I76" i="2"/>
  <c r="H76" i="2"/>
  <c r="G76" i="2"/>
  <c r="F76" i="2"/>
  <c r="T63" i="2"/>
  <c r="T76" i="2" l="1"/>
  <c r="U76" i="2"/>
  <c r="T62" i="2" l="1"/>
  <c r="U30" i="7" l="1"/>
  <c r="AA27" i="5" l="1"/>
  <c r="AA23" i="5"/>
  <c r="AA19" i="5"/>
  <c r="W18" i="5" l="1"/>
  <c r="Z19" i="5"/>
  <c r="W22" i="5"/>
  <c r="Z23" i="5"/>
  <c r="W26" i="5"/>
  <c r="Z27" i="5"/>
  <c r="V6" i="5"/>
  <c r="T98" i="2" l="1"/>
  <c r="T88" i="2"/>
  <c r="U75" i="2"/>
  <c r="T75" i="2"/>
  <c r="T101" i="2" l="1"/>
  <c r="S100" i="2" l="1"/>
  <c r="Y88" i="8" l="1"/>
  <c r="Y80" i="8"/>
  <c r="Y84" i="8"/>
  <c r="U79" i="8"/>
  <c r="U83" i="8"/>
  <c r="U87" i="8"/>
  <c r="U18" i="5" l="1"/>
  <c r="Y19" i="5"/>
  <c r="U22" i="5"/>
  <c r="Y23" i="5"/>
  <c r="U26" i="5"/>
  <c r="Y27" i="5"/>
  <c r="T40" i="8" l="1"/>
  <c r="T20" i="8"/>
  <c r="T27" i="8"/>
  <c r="T65" i="8" l="1"/>
  <c r="T34" i="8"/>
  <c r="T17" i="8"/>
  <c r="T67" i="8" l="1"/>
  <c r="T21" i="8"/>
  <c r="T86" i="8" l="1"/>
  <c r="T82" i="8"/>
  <c r="T78" i="8"/>
  <c r="Q13" i="6" l="1"/>
  <c r="Q24" i="6" s="1"/>
  <c r="Q35" i="6" l="1"/>
  <c r="Q41" i="6" s="1"/>
  <c r="S75" i="2" l="1"/>
  <c r="S74" i="2"/>
  <c r="U11" i="7" l="1"/>
  <c r="T79" i="8" l="1"/>
  <c r="X80" i="8"/>
  <c r="T83" i="8"/>
  <c r="X84" i="8"/>
  <c r="T87" i="8"/>
  <c r="X88" i="8"/>
  <c r="S88" i="8" l="1"/>
  <c r="S84" i="8"/>
  <c r="S80" i="8"/>
  <c r="S27" i="8" l="1"/>
  <c r="S40" i="8"/>
  <c r="S65" i="8"/>
  <c r="S34" i="8"/>
  <c r="S20" i="8"/>
  <c r="S17" i="8"/>
  <c r="S67" i="8" l="1"/>
  <c r="S21" i="8"/>
  <c r="S82" i="8" l="1"/>
  <c r="S78" i="8"/>
  <c r="S86" i="8"/>
  <c r="X27" i="5" l="1"/>
  <c r="X23" i="5"/>
  <c r="X19" i="5"/>
  <c r="T22" i="5" l="1"/>
  <c r="T18" i="5"/>
  <c r="T26" i="5"/>
  <c r="R75" i="2" l="1"/>
  <c r="R74" i="2"/>
  <c r="Q74" i="2"/>
  <c r="F87" i="8" l="1"/>
  <c r="E87" i="8"/>
  <c r="D87" i="8"/>
  <c r="F83" i="8"/>
  <c r="E83" i="8"/>
  <c r="D83" i="8"/>
  <c r="F79" i="8"/>
  <c r="E79" i="8"/>
  <c r="D79" i="8"/>
  <c r="N88" i="8" l="1"/>
  <c r="M88" i="8"/>
  <c r="N87" i="8"/>
  <c r="M87" i="8"/>
  <c r="K87" i="8"/>
  <c r="J87" i="8"/>
  <c r="I87" i="8"/>
  <c r="H87" i="8"/>
  <c r="N84" i="8"/>
  <c r="M84" i="8"/>
  <c r="N83" i="8"/>
  <c r="M83" i="8"/>
  <c r="K83" i="8"/>
  <c r="J83" i="8"/>
  <c r="I83" i="8"/>
  <c r="H83" i="8"/>
  <c r="K79" i="8"/>
  <c r="J79" i="8"/>
  <c r="I79" i="8"/>
  <c r="H79" i="8"/>
  <c r="M79" i="8"/>
  <c r="M80" i="8"/>
  <c r="N80" i="8"/>
  <c r="N79" i="8"/>
  <c r="S83" i="8" l="1"/>
  <c r="W84" i="8"/>
  <c r="S79" i="8"/>
  <c r="W80" i="8"/>
  <c r="S87" i="8"/>
  <c r="W88" i="8"/>
  <c r="R84" i="8"/>
  <c r="R88" i="8"/>
  <c r="R80" i="8"/>
  <c r="S18" i="5" l="1"/>
  <c r="W19" i="5"/>
  <c r="S22" i="5"/>
  <c r="W23" i="5"/>
  <c r="S26" i="5"/>
  <c r="W27" i="5"/>
  <c r="T93" i="2" l="1"/>
  <c r="Q75" i="2" l="1"/>
  <c r="R65" i="8" l="1"/>
  <c r="R40" i="8"/>
  <c r="R34" i="8"/>
  <c r="R17" i="8"/>
  <c r="R27" i="8"/>
  <c r="R20" i="8"/>
  <c r="R67" i="8" l="1"/>
  <c r="R86" i="8" s="1"/>
  <c r="U55" i="7"/>
  <c r="R21" i="8"/>
  <c r="R78" i="8" l="1"/>
  <c r="R82" i="8"/>
  <c r="Q20" i="8" l="1"/>
  <c r="U88" i="8" l="1"/>
  <c r="U84" i="8"/>
  <c r="U80" i="8"/>
  <c r="P84" i="8" l="1"/>
  <c r="R83" i="8"/>
  <c r="R79" i="8"/>
  <c r="P80" i="8"/>
  <c r="P88" i="8"/>
  <c r="R87" i="8"/>
  <c r="Q65" i="8"/>
  <c r="Q40" i="8"/>
  <c r="Q34" i="8"/>
  <c r="Q27" i="8"/>
  <c r="Q17" i="8"/>
  <c r="Q21" i="8" l="1"/>
  <c r="Q67" i="8"/>
  <c r="J43" i="7" l="1"/>
  <c r="F49" i="7"/>
  <c r="E43" i="7"/>
  <c r="Q6" i="5" l="1"/>
  <c r="V27" i="5" l="1"/>
  <c r="V23" i="5"/>
  <c r="V19" i="5"/>
  <c r="R18" i="5" l="1"/>
  <c r="U19" i="5"/>
  <c r="R22" i="5"/>
  <c r="U23" i="5"/>
  <c r="R26" i="5"/>
  <c r="U27" i="5"/>
  <c r="P86" i="2" l="1"/>
  <c r="P75" i="2"/>
  <c r="P61" i="2"/>
  <c r="P74" i="2" s="1"/>
  <c r="O88" i="2" l="1"/>
  <c r="O75" i="2"/>
  <c r="O74" i="2"/>
  <c r="T62" i="8" l="1"/>
  <c r="T31" i="8"/>
  <c r="T24" i="8"/>
  <c r="T80" i="8" l="1"/>
  <c r="T84" i="8"/>
  <c r="T88" i="8"/>
  <c r="Q77" i="8"/>
  <c r="O80" i="8"/>
  <c r="O79" i="8"/>
  <c r="P79" i="8"/>
  <c r="Q81" i="8"/>
  <c r="O83" i="8"/>
  <c r="O84" i="8"/>
  <c r="P83" i="8"/>
  <c r="Q85" i="8"/>
  <c r="O87" i="8"/>
  <c r="O88" i="8"/>
  <c r="P87" i="8"/>
  <c r="I42" i="7"/>
  <c r="I49" i="7" s="1"/>
  <c r="Q78" i="8" l="1"/>
  <c r="Q88" i="8"/>
  <c r="V88" i="8"/>
  <c r="Q84" i="8"/>
  <c r="V84" i="8"/>
  <c r="Q80" i="8"/>
  <c r="V80" i="8"/>
  <c r="Q82" i="8"/>
  <c r="Q86" i="8"/>
  <c r="O65" i="8" l="1"/>
  <c r="O34" i="8"/>
  <c r="O27" i="8"/>
  <c r="P22" i="5" l="1"/>
  <c r="T23" i="5"/>
  <c r="P18" i="5"/>
  <c r="T19" i="5"/>
  <c r="P26" i="5"/>
  <c r="T27" i="5"/>
  <c r="L50" i="6" l="1"/>
  <c r="L52" i="6" s="1"/>
  <c r="L35" i="6"/>
  <c r="L41" i="6" s="1"/>
  <c r="L13" i="6"/>
  <c r="L24" i="6" s="1"/>
  <c r="L54" i="6" l="1"/>
  <c r="M75" i="2"/>
  <c r="M74" i="2"/>
  <c r="M64" i="2"/>
  <c r="M77" i="2" s="1"/>
  <c r="M90" i="2" s="1"/>
  <c r="M99" i="2" s="1"/>
  <c r="O96" i="2" l="1"/>
  <c r="O98" i="2"/>
  <c r="M73" i="2"/>
  <c r="M72" i="2"/>
  <c r="M18" i="2"/>
  <c r="M21" i="2"/>
  <c r="M84" i="2"/>
  <c r="M24" i="2"/>
  <c r="M27" i="2"/>
  <c r="M71" i="2"/>
  <c r="M85" i="2"/>
  <c r="M29" i="2"/>
  <c r="M13" i="2"/>
  <c r="M14" i="2" l="1"/>
  <c r="M31" i="2"/>
  <c r="M34" i="2" l="1"/>
  <c r="M40" i="2"/>
  <c r="M58" i="2"/>
  <c r="M45" i="2" l="1"/>
  <c r="M70" i="2"/>
  <c r="M78" i="2" s="1"/>
  <c r="M79" i="2" s="1"/>
  <c r="M65" i="2"/>
  <c r="M66" i="2" s="1"/>
  <c r="M51" i="2" l="1"/>
  <c r="M50" i="2"/>
  <c r="M83" i="2"/>
  <c r="M102" i="2" s="1"/>
  <c r="M103" i="2" s="1"/>
  <c r="M46" i="2"/>
  <c r="M105" i="2" l="1"/>
  <c r="S62" i="8" l="1"/>
  <c r="S37" i="8"/>
  <c r="S31" i="8"/>
  <c r="S24" i="8"/>
  <c r="N27" i="8" l="1"/>
  <c r="N34" i="8"/>
  <c r="N20" i="8"/>
  <c r="N65" i="8"/>
  <c r="N40" i="8"/>
  <c r="N17" i="8"/>
  <c r="S18" i="8" l="1"/>
  <c r="N21" i="8"/>
  <c r="N67" i="8"/>
  <c r="N86" i="8" l="1"/>
  <c r="N78" i="8"/>
  <c r="N82" i="8"/>
  <c r="S23" i="5" l="1"/>
  <c r="O22" i="5"/>
  <c r="S19" i="5"/>
  <c r="O18" i="5"/>
  <c r="S27" i="5"/>
  <c r="O26" i="5"/>
  <c r="N19" i="5"/>
  <c r="N23" i="5"/>
  <c r="N27" i="5"/>
  <c r="N75" i="2" l="1"/>
  <c r="N74" i="2"/>
  <c r="M35" i="6" l="1"/>
  <c r="M41" i="6" l="1"/>
  <c r="M13" i="6" l="1"/>
  <c r="M24" i="6" s="1"/>
  <c r="F86" i="8" l="1"/>
  <c r="E86" i="8"/>
  <c r="D86" i="8"/>
  <c r="F82" i="8"/>
  <c r="E82" i="8"/>
  <c r="D82" i="8"/>
  <c r="F78" i="8"/>
  <c r="E78" i="8"/>
  <c r="D78" i="8"/>
  <c r="G77" i="8"/>
  <c r="G78" i="8" l="1"/>
  <c r="G82" i="8"/>
  <c r="G86" i="8"/>
  <c r="Q37" i="8" l="1"/>
  <c r="N37" i="8"/>
  <c r="Q31" i="8"/>
  <c r="O31" i="8"/>
  <c r="N31" i="8"/>
  <c r="Q24" i="8"/>
  <c r="O24" i="8"/>
  <c r="N24" i="8"/>
  <c r="F34" i="8" l="1"/>
  <c r="F27" i="8"/>
  <c r="C27" i="8"/>
  <c r="G27" i="8"/>
  <c r="C34" i="8"/>
  <c r="E27" i="8"/>
  <c r="D27" i="8"/>
  <c r="E34" i="8"/>
  <c r="D34" i="8" l="1"/>
  <c r="D20" i="8"/>
  <c r="G34" i="8" l="1"/>
  <c r="F20" i="8"/>
  <c r="F40" i="8"/>
  <c r="E20" i="8"/>
  <c r="E40" i="8"/>
  <c r="D40" i="8"/>
  <c r="C20" i="8"/>
  <c r="C40" i="8"/>
  <c r="G40" i="8"/>
  <c r="G20" i="8" l="1"/>
  <c r="D17" i="8"/>
  <c r="C17" i="8"/>
  <c r="C21" i="8" s="1"/>
  <c r="G17" i="8"/>
  <c r="F17" i="8"/>
  <c r="E17" i="8"/>
  <c r="E21" i="8" s="1"/>
  <c r="D21" i="8" l="1"/>
  <c r="D67" i="8"/>
  <c r="E67" i="8"/>
  <c r="C67" i="8"/>
  <c r="G67" i="8"/>
  <c r="G21" i="8"/>
  <c r="F21" i="8"/>
  <c r="N62" i="8" l="1"/>
  <c r="J17" i="8" l="1"/>
  <c r="K17" i="8" l="1"/>
  <c r="H17" i="8"/>
  <c r="I17" i="8"/>
  <c r="N18" i="8" s="1"/>
  <c r="H27" i="8"/>
  <c r="J27" i="8"/>
  <c r="K27" i="8"/>
  <c r="I27" i="8"/>
  <c r="H20" i="8" l="1"/>
  <c r="H67" i="8"/>
  <c r="K20" i="8"/>
  <c r="I20" i="8"/>
  <c r="J20" i="8"/>
  <c r="L17" i="8"/>
  <c r="Q18" i="8" s="1"/>
  <c r="L27" i="8"/>
  <c r="H86" i="8" l="1"/>
  <c r="H78" i="8"/>
  <c r="H82" i="8"/>
  <c r="L20" i="8"/>
  <c r="I67" i="8"/>
  <c r="L34" i="8"/>
  <c r="K34" i="8"/>
  <c r="J34" i="8"/>
  <c r="I34" i="8"/>
  <c r="L40" i="8"/>
  <c r="K40" i="8"/>
  <c r="J40" i="8"/>
  <c r="I40" i="8"/>
  <c r="R62" i="8"/>
  <c r="R31" i="8" l="1"/>
  <c r="R37" i="8"/>
  <c r="P39" i="8"/>
  <c r="R24" i="8"/>
  <c r="P26" i="8"/>
  <c r="P30" i="8"/>
  <c r="P33" i="8"/>
  <c r="P64" i="8"/>
  <c r="P65" i="8" s="1"/>
  <c r="P23" i="8"/>
  <c r="I86" i="8"/>
  <c r="I78" i="8"/>
  <c r="I82" i="8"/>
  <c r="M20" i="8"/>
  <c r="M17" i="8"/>
  <c r="K21" i="8"/>
  <c r="M40" i="8"/>
  <c r="M31" i="8"/>
  <c r="L21" i="8"/>
  <c r="J21" i="8"/>
  <c r="H40" i="8"/>
  <c r="I21" i="8"/>
  <c r="H34" i="8"/>
  <c r="M24" i="8"/>
  <c r="M37" i="8"/>
  <c r="M34" i="8"/>
  <c r="M27" i="8"/>
  <c r="M65" i="8"/>
  <c r="M62" i="8"/>
  <c r="R18" i="8" l="1"/>
  <c r="P31" i="8"/>
  <c r="M67" i="8"/>
  <c r="M78" i="8" s="1"/>
  <c r="P20" i="8"/>
  <c r="P27" i="8"/>
  <c r="P24" i="8"/>
  <c r="P34" i="8"/>
  <c r="H21" i="8"/>
  <c r="M82" i="8" l="1"/>
  <c r="M86" i="8"/>
  <c r="M18" i="8"/>
  <c r="M21" i="8"/>
  <c r="R19" i="5" l="1"/>
  <c r="R23" i="5"/>
  <c r="R27" i="5"/>
  <c r="M19" i="5"/>
  <c r="N18" i="5"/>
  <c r="M23" i="5"/>
  <c r="N22" i="5"/>
  <c r="M27" i="5"/>
  <c r="N26" i="5"/>
  <c r="L75" i="2" l="1"/>
  <c r="L74" i="2"/>
  <c r="L85" i="2" l="1"/>
  <c r="L72" i="2"/>
  <c r="M9" i="2" l="1"/>
  <c r="L64" i="2"/>
  <c r="L27" i="2"/>
  <c r="L21" i="2" l="1"/>
  <c r="L13" i="2"/>
  <c r="L77" i="2"/>
  <c r="L90" i="2" s="1"/>
  <c r="L99" i="2" s="1"/>
  <c r="L71" i="2"/>
  <c r="L24" i="2"/>
  <c r="L29" i="2"/>
  <c r="L18" i="2"/>
  <c r="L31" i="2" l="1"/>
  <c r="L14" i="2"/>
  <c r="M32" i="2" l="1"/>
  <c r="L40" i="2"/>
  <c r="L58" i="2"/>
  <c r="L70" i="2" s="1"/>
  <c r="L34" i="2"/>
  <c r="L45" i="2" l="1"/>
  <c r="M47" i="2" s="1"/>
  <c r="L46" i="2" l="1"/>
  <c r="L83" i="2"/>
  <c r="L84" i="2" l="1"/>
  <c r="L73" i="2"/>
  <c r="L78" i="2" s="1"/>
  <c r="L79" i="2" s="1"/>
  <c r="L65" i="2"/>
  <c r="L66" i="2" s="1"/>
  <c r="M67" i="2" l="1"/>
  <c r="M80" i="2"/>
  <c r="K35" i="6" l="1"/>
  <c r="K41" i="6" l="1"/>
  <c r="K13" i="6" l="1"/>
  <c r="K24" i="6" s="1"/>
  <c r="L27" i="7" l="1"/>
  <c r="L24" i="7"/>
  <c r="L22" i="7"/>
  <c r="L18" i="7"/>
  <c r="L16" i="7"/>
  <c r="L6" i="5" l="1"/>
  <c r="L67" i="8" l="1"/>
  <c r="L78" i="8" s="1"/>
  <c r="Q62" i="8"/>
  <c r="L82" i="8" l="1"/>
  <c r="L86" i="8"/>
  <c r="J87" i="2"/>
  <c r="J62" i="2"/>
  <c r="J55" i="7"/>
  <c r="J44" i="7"/>
  <c r="J30" i="7"/>
  <c r="L44" i="7" l="1"/>
  <c r="L55" i="7"/>
  <c r="K95" i="2"/>
  <c r="K86" i="2"/>
  <c r="K75" i="2"/>
  <c r="K61" i="2"/>
  <c r="J75" i="2"/>
  <c r="J74" i="2"/>
  <c r="Q23" i="5" l="1"/>
  <c r="Q27" i="5"/>
  <c r="Q19" i="5"/>
  <c r="M26" i="5"/>
  <c r="P27" i="5"/>
  <c r="M18" i="5"/>
  <c r="P19" i="5"/>
  <c r="M22" i="5"/>
  <c r="P23" i="5"/>
  <c r="K74" i="2"/>
  <c r="K27" i="5" l="1"/>
  <c r="K23" i="5"/>
  <c r="K19" i="5"/>
  <c r="J88" i="2" l="1"/>
  <c r="J96" i="2" l="1"/>
  <c r="O23" i="5" l="1"/>
  <c r="O19" i="5"/>
  <c r="O27" i="5"/>
  <c r="K18" i="5"/>
  <c r="K22" i="5"/>
  <c r="K26" i="5"/>
  <c r="I75" i="2" l="1"/>
  <c r="I74" i="2"/>
  <c r="M10" i="2" l="1"/>
  <c r="K67" i="8"/>
  <c r="K78" i="8" s="1"/>
  <c r="P62" i="8"/>
  <c r="J67" i="8"/>
  <c r="O62" i="8"/>
  <c r="L26" i="7"/>
  <c r="H75" i="2"/>
  <c r="H74" i="2"/>
  <c r="H64" i="2"/>
  <c r="H27" i="2"/>
  <c r="H21" i="2"/>
  <c r="H18" i="2"/>
  <c r="H61" i="7" l="1"/>
  <c r="H49" i="7"/>
  <c r="H39" i="7"/>
  <c r="K86" i="8"/>
  <c r="J86" i="8"/>
  <c r="K82" i="8"/>
  <c r="J82" i="8"/>
  <c r="J78" i="8"/>
  <c r="H85" i="2"/>
  <c r="H73" i="2"/>
  <c r="H77" i="2"/>
  <c r="H71" i="2"/>
  <c r="H72" i="2"/>
  <c r="H13" i="6"/>
  <c r="H50" i="6"/>
  <c r="H35" i="6"/>
  <c r="H24" i="2"/>
  <c r="H84" i="2"/>
  <c r="H10" i="2"/>
  <c r="H13" i="2"/>
  <c r="H29" i="2"/>
  <c r="H41" i="6" l="1"/>
  <c r="H24" i="6"/>
  <c r="H52" i="6"/>
  <c r="H65" i="7"/>
  <c r="H31" i="2"/>
  <c r="H14" i="2"/>
  <c r="M33" i="2" l="1"/>
  <c r="H54" i="6"/>
  <c r="H58" i="2"/>
  <c r="H40" i="2"/>
  <c r="H45" i="2" s="1"/>
  <c r="H34" i="2"/>
  <c r="H51" i="2" l="1"/>
  <c r="H50" i="2"/>
  <c r="H70" i="2"/>
  <c r="H78" i="2" s="1"/>
  <c r="H65" i="2"/>
  <c r="M81" i="2" l="1"/>
  <c r="H79" i="2"/>
  <c r="M68" i="2"/>
  <c r="H66" i="2"/>
  <c r="M48" i="2"/>
  <c r="H46" i="2" l="1"/>
  <c r="H83" i="2"/>
  <c r="H102" i="2" l="1"/>
  <c r="H105" i="2" l="1"/>
  <c r="M107" i="2" s="1"/>
  <c r="H103" i="2"/>
  <c r="J18" i="5" l="1"/>
  <c r="J27" i="5"/>
  <c r="J22" i="5"/>
  <c r="J23" i="5" l="1"/>
  <c r="J26" i="5"/>
  <c r="J19" i="5"/>
  <c r="C17" i="2" l="1"/>
  <c r="C18" i="2" s="1"/>
  <c r="I26" i="5"/>
  <c r="I22" i="5"/>
  <c r="I18" i="5"/>
  <c r="I27" i="5"/>
  <c r="I23" i="5"/>
  <c r="I19" i="5"/>
  <c r="G74" i="2"/>
  <c r="G75" i="2"/>
  <c r="G35" i="6"/>
  <c r="G41" i="6" s="1"/>
  <c r="H27" i="5"/>
  <c r="H23" i="5"/>
  <c r="H19" i="5"/>
  <c r="G13" i="6"/>
  <c r="G24" i="6" s="1"/>
  <c r="C35" i="6"/>
  <c r="C41" i="6" s="1"/>
  <c r="D35" i="6"/>
  <c r="D41" i="6" s="1"/>
  <c r="E35" i="6"/>
  <c r="E41" i="6" s="1"/>
  <c r="E12" i="7"/>
  <c r="E22" i="7"/>
  <c r="D29" i="2"/>
  <c r="B29" i="2"/>
  <c r="E98" i="2"/>
  <c r="F61" i="2"/>
  <c r="H26" i="5"/>
  <c r="H22" i="5"/>
  <c r="H18" i="5"/>
  <c r="E30" i="7"/>
  <c r="E27" i="7"/>
  <c r="E24" i="7"/>
  <c r="E18" i="7"/>
  <c r="E16" i="7"/>
  <c r="E74" i="2"/>
  <c r="C19" i="7"/>
  <c r="C39" i="7" s="1"/>
  <c r="B19" i="7"/>
  <c r="B39" i="7" s="1"/>
  <c r="D74" i="2"/>
  <c r="C88" i="2"/>
  <c r="C75" i="2"/>
  <c r="C74" i="2"/>
  <c r="B74" i="2"/>
  <c r="B86" i="2" s="1"/>
  <c r="B95" i="2" s="1"/>
  <c r="F95" i="2" s="1"/>
  <c r="B85" i="2"/>
  <c r="B84" i="2"/>
  <c r="B71" i="2"/>
  <c r="B88" i="2"/>
  <c r="B75" i="2"/>
  <c r="B21" i="2"/>
  <c r="B18" i="2"/>
  <c r="B24" i="2"/>
  <c r="B13" i="2"/>
  <c r="B73" i="2"/>
  <c r="B72" i="2"/>
  <c r="C13" i="6"/>
  <c r="C24" i="6" s="1"/>
  <c r="C50" i="6"/>
  <c r="C52" i="6" s="1"/>
  <c r="D13" i="6"/>
  <c r="D24" i="6" s="1"/>
  <c r="D50" i="6"/>
  <c r="D52" i="6" s="1"/>
  <c r="C85" i="2"/>
  <c r="C72" i="2"/>
  <c r="C73" i="2"/>
  <c r="C84" i="2"/>
  <c r="C71" i="2"/>
  <c r="C24" i="2"/>
  <c r="C21" i="2"/>
  <c r="C9" i="2"/>
  <c r="C13" i="2"/>
  <c r="E13" i="6"/>
  <c r="E24" i="6" s="1"/>
  <c r="D21" i="2"/>
  <c r="D24" i="2"/>
  <c r="D9" i="2"/>
  <c r="D13" i="2"/>
  <c r="D18" i="2"/>
  <c r="D85" i="2"/>
  <c r="D72" i="2"/>
  <c r="D71" i="2"/>
  <c r="D84" i="2"/>
  <c r="D73" i="2"/>
  <c r="E50" i="6"/>
  <c r="E52" i="6" s="1"/>
  <c r="F67" i="8"/>
  <c r="E42" i="2"/>
  <c r="E36" i="2"/>
  <c r="F50" i="6"/>
  <c r="E20" i="2"/>
  <c r="F21" i="2"/>
  <c r="F18" i="2"/>
  <c r="E8" i="2"/>
  <c r="E12" i="2"/>
  <c r="F13" i="2"/>
  <c r="E60" i="2"/>
  <c r="E84" i="2" s="1"/>
  <c r="F84" i="2"/>
  <c r="F73" i="2"/>
  <c r="F35" i="6"/>
  <c r="F13" i="6"/>
  <c r="F24" i="6" s="1"/>
  <c r="E26" i="2"/>
  <c r="F27" i="2"/>
  <c r="F85" i="2"/>
  <c r="E59" i="2"/>
  <c r="E85" i="2" s="1"/>
  <c r="F72" i="2"/>
  <c r="E43" i="2"/>
  <c r="E37" i="2"/>
  <c r="E23" i="2"/>
  <c r="F24" i="2"/>
  <c r="F71" i="2"/>
  <c r="F29" i="2"/>
  <c r="E8" i="7"/>
  <c r="E63" i="7"/>
  <c r="E60" i="7"/>
  <c r="E56" i="7"/>
  <c r="E55" i="7"/>
  <c r="E57" i="7"/>
  <c r="E48" i="7"/>
  <c r="E47" i="7"/>
  <c r="E44" i="7"/>
  <c r="E15" i="7"/>
  <c r="E25" i="7"/>
  <c r="E21" i="7"/>
  <c r="E20" i="7"/>
  <c r="E13" i="7"/>
  <c r="E10" i="7"/>
  <c r="E23" i="7"/>
  <c r="E52" i="7"/>
  <c r="E53" i="7"/>
  <c r="E33" i="7"/>
  <c r="E42" i="7"/>
  <c r="E58" i="7"/>
  <c r="E37" i="7"/>
  <c r="E35" i="7"/>
  <c r="E36" i="7"/>
  <c r="E34" i="7"/>
  <c r="E32" i="7"/>
  <c r="E31" i="7"/>
  <c r="E45" i="7"/>
  <c r="G50" i="6"/>
  <c r="G52" i="6" s="1"/>
  <c r="C29" i="2" l="1"/>
  <c r="C31" i="2" s="1"/>
  <c r="H33" i="2" s="1"/>
  <c r="E61" i="7"/>
  <c r="E49" i="7"/>
  <c r="E9" i="2"/>
  <c r="E17" i="2"/>
  <c r="E18" i="2" s="1"/>
  <c r="E89" i="2"/>
  <c r="F77" i="2"/>
  <c r="E97" i="2"/>
  <c r="E99" i="2"/>
  <c r="E19" i="7"/>
  <c r="E39" i="7" s="1"/>
  <c r="L19" i="5"/>
  <c r="L27" i="5"/>
  <c r="L23" i="5"/>
  <c r="F74" i="2"/>
  <c r="G84" i="2"/>
  <c r="G85" i="2"/>
  <c r="F41" i="6"/>
  <c r="F52" i="6"/>
  <c r="E87" i="2"/>
  <c r="D54" i="6"/>
  <c r="C54" i="6"/>
  <c r="G54" i="6"/>
  <c r="B65" i="7"/>
  <c r="B67" i="7" s="1"/>
  <c r="C65" i="7"/>
  <c r="E54" i="6"/>
  <c r="E93" i="2"/>
  <c r="E24" i="2"/>
  <c r="E13" i="2"/>
  <c r="E27" i="2"/>
  <c r="E21" i="2"/>
  <c r="B31" i="2"/>
  <c r="B40" i="2" s="1"/>
  <c r="B14" i="2"/>
  <c r="D14" i="2"/>
  <c r="G9" i="2"/>
  <c r="L10" i="2"/>
  <c r="E92" i="2"/>
  <c r="C14" i="2"/>
  <c r="E72" i="2"/>
  <c r="E64" i="2"/>
  <c r="E77" i="2" s="1"/>
  <c r="E90" i="2" s="1"/>
  <c r="D31" i="2"/>
  <c r="D34" i="2" s="1"/>
  <c r="E96" i="2"/>
  <c r="E71" i="2"/>
  <c r="E73" i="2"/>
  <c r="F86" i="2"/>
  <c r="G64" i="2"/>
  <c r="E62" i="2"/>
  <c r="E75" i="2" s="1"/>
  <c r="F75" i="2"/>
  <c r="D75" i="2"/>
  <c r="D88" i="2"/>
  <c r="F31" i="2"/>
  <c r="F14" i="2"/>
  <c r="G18" i="2"/>
  <c r="G21" i="2"/>
  <c r="G24" i="2"/>
  <c r="G13" i="2"/>
  <c r="H9" i="2"/>
  <c r="D65" i="7"/>
  <c r="G27" i="2"/>
  <c r="G65" i="7"/>
  <c r="G71" i="2"/>
  <c r="G29" i="2"/>
  <c r="G73" i="2"/>
  <c r="G10" i="2"/>
  <c r="G72" i="2"/>
  <c r="B45" i="2" l="1"/>
  <c r="E29" i="2"/>
  <c r="E31" i="2" s="1"/>
  <c r="E34" i="2" s="1"/>
  <c r="F90" i="2"/>
  <c r="F54" i="6"/>
  <c r="F65" i="7"/>
  <c r="F67" i="7" s="1"/>
  <c r="G77" i="2"/>
  <c r="E65" i="7"/>
  <c r="B58" i="2"/>
  <c r="B70" i="2" s="1"/>
  <c r="B78" i="2" s="1"/>
  <c r="B79" i="2" s="1"/>
  <c r="E14" i="2"/>
  <c r="D40" i="2"/>
  <c r="D58" i="2"/>
  <c r="D70" i="2" s="1"/>
  <c r="D78" i="2" s="1"/>
  <c r="D79" i="2" s="1"/>
  <c r="C34" i="2"/>
  <c r="C40" i="2"/>
  <c r="C58" i="2"/>
  <c r="C32" i="2"/>
  <c r="D32" i="2"/>
  <c r="B65" i="2"/>
  <c r="B66" i="2" s="1"/>
  <c r="E88" i="2"/>
  <c r="G14" i="2"/>
  <c r="G31" i="2"/>
  <c r="F34" i="2"/>
  <c r="F58" i="2"/>
  <c r="F40" i="2"/>
  <c r="B51" i="2" l="1"/>
  <c r="B50" i="2"/>
  <c r="C45" i="2"/>
  <c r="D45" i="2"/>
  <c r="D83" i="2" s="1"/>
  <c r="D102" i="2" s="1"/>
  <c r="D103" i="2" s="1"/>
  <c r="F45" i="2"/>
  <c r="K66" i="7"/>
  <c r="G33" i="2"/>
  <c r="L33" i="2"/>
  <c r="E32" i="2"/>
  <c r="G90" i="2"/>
  <c r="E58" i="2"/>
  <c r="E70" i="2" s="1"/>
  <c r="E78" i="2" s="1"/>
  <c r="E40" i="2"/>
  <c r="D65" i="2"/>
  <c r="D66" i="2" s="1"/>
  <c r="D47" i="2"/>
  <c r="C65" i="2"/>
  <c r="C70" i="2"/>
  <c r="C78" i="2" s="1"/>
  <c r="C79" i="2" s="1"/>
  <c r="D46" i="2"/>
  <c r="B46" i="2"/>
  <c r="B83" i="2"/>
  <c r="B102" i="2" s="1"/>
  <c r="B103" i="2" s="1"/>
  <c r="H32" i="2"/>
  <c r="G40" i="2"/>
  <c r="G45" i="2" s="1"/>
  <c r="G58" i="2"/>
  <c r="G34" i="2"/>
  <c r="G32" i="2"/>
  <c r="F65" i="2"/>
  <c r="F66" i="2" s="1"/>
  <c r="F70" i="2"/>
  <c r="D51" i="2" l="1"/>
  <c r="D50" i="2"/>
  <c r="C51" i="2"/>
  <c r="C50" i="2"/>
  <c r="F51" i="2"/>
  <c r="F50" i="2"/>
  <c r="E45" i="2"/>
  <c r="E46" i="2" s="1"/>
  <c r="C67" i="2"/>
  <c r="C66" i="2"/>
  <c r="E80" i="2"/>
  <c r="E79" i="2"/>
  <c r="F83" i="2"/>
  <c r="E65" i="2"/>
  <c r="E66" i="2" s="1"/>
  <c r="F78" i="2"/>
  <c r="F79" i="2" s="1"/>
  <c r="G99" i="2"/>
  <c r="G70" i="2"/>
  <c r="C47" i="2"/>
  <c r="H81" i="2"/>
  <c r="C80" i="2"/>
  <c r="H68" i="2"/>
  <c r="H48" i="2"/>
  <c r="C83" i="2"/>
  <c r="C102" i="2" s="1"/>
  <c r="C103" i="2" s="1"/>
  <c r="C46" i="2"/>
  <c r="D67" i="2"/>
  <c r="D80" i="2"/>
  <c r="D105" i="2"/>
  <c r="B105" i="2"/>
  <c r="G65" i="2"/>
  <c r="G66" i="2" s="1"/>
  <c r="E51" i="2" l="1"/>
  <c r="E50" i="2"/>
  <c r="E67" i="2"/>
  <c r="C66" i="7"/>
  <c r="F46" i="2"/>
  <c r="F102" i="2"/>
  <c r="F103" i="2" s="1"/>
  <c r="E83" i="2"/>
  <c r="E102" i="2" s="1"/>
  <c r="E47" i="2"/>
  <c r="G78" i="2"/>
  <c r="G79" i="2" s="1"/>
  <c r="H67" i="2"/>
  <c r="L68" i="2"/>
  <c r="G68" i="2"/>
  <c r="G67" i="2"/>
  <c r="C105" i="2"/>
  <c r="D106" i="2" s="1"/>
  <c r="C67" i="7" l="1"/>
  <c r="E105" i="2"/>
  <c r="E106" i="2" s="1"/>
  <c r="E103" i="2"/>
  <c r="F105" i="2"/>
  <c r="G83" i="2"/>
  <c r="G48" i="2"/>
  <c r="G47" i="2"/>
  <c r="G46" i="2"/>
  <c r="H47" i="2"/>
  <c r="L48" i="2"/>
  <c r="H80" i="2"/>
  <c r="L81" i="2"/>
  <c r="G81" i="2"/>
  <c r="G80" i="2"/>
  <c r="H107" i="2"/>
  <c r="C106" i="2"/>
  <c r="D66" i="7" l="1"/>
  <c r="G102" i="2"/>
  <c r="G103" i="2" s="1"/>
  <c r="D67" i="7" l="1"/>
  <c r="E66" i="7" l="1"/>
  <c r="E67" i="7" l="1"/>
  <c r="G66" i="7" s="1"/>
  <c r="I35" i="6"/>
  <c r="I41" i="6" l="1"/>
  <c r="G67" i="7" l="1"/>
  <c r="I13" i="6"/>
  <c r="I24" i="6" s="1"/>
  <c r="H66" i="7" l="1"/>
  <c r="H67" i="7" s="1"/>
  <c r="I66" i="7" l="1"/>
  <c r="I85" i="2"/>
  <c r="I72" i="2"/>
  <c r="I21" i="2" l="1"/>
  <c r="I18" i="2"/>
  <c r="I29" i="2"/>
  <c r="I64" i="2"/>
  <c r="I27" i="2"/>
  <c r="I71" i="2"/>
  <c r="I24" i="2"/>
  <c r="I10" i="2"/>
  <c r="I13" i="2"/>
  <c r="I9" i="2"/>
  <c r="I77" i="2" l="1"/>
  <c r="I31" i="2"/>
  <c r="I14" i="2"/>
  <c r="I33" i="2" l="1"/>
  <c r="I90" i="2"/>
  <c r="I58" i="2"/>
  <c r="I34" i="2"/>
  <c r="I40" i="2"/>
  <c r="I45" i="2" s="1"/>
  <c r="I32" i="2"/>
  <c r="I70" i="2" l="1"/>
  <c r="I50" i="2" l="1"/>
  <c r="I51" i="2"/>
  <c r="I47" i="2" l="1"/>
  <c r="I48" i="2"/>
  <c r="I46" i="2"/>
  <c r="I83" i="2"/>
  <c r="I50" i="6" l="1"/>
  <c r="I52" i="6" l="1"/>
  <c r="I54" i="6" l="1"/>
  <c r="I84" i="2" l="1"/>
  <c r="I65" i="2"/>
  <c r="I66" i="2" s="1"/>
  <c r="I73" i="2"/>
  <c r="I102" i="2" l="1"/>
  <c r="I103" i="2" s="1"/>
  <c r="I78" i="2"/>
  <c r="I79" i="2" s="1"/>
  <c r="I68" i="2"/>
  <c r="I67" i="2"/>
  <c r="I105" i="2" l="1"/>
  <c r="I107" i="2" s="1"/>
  <c r="I80" i="2"/>
  <c r="I81" i="2"/>
  <c r="I106" i="2" l="1"/>
  <c r="I65" i="7" l="1"/>
  <c r="I67" i="7" s="1"/>
  <c r="J66" i="7" l="1"/>
  <c r="L11" i="7"/>
  <c r="J12" i="7"/>
  <c r="L17" i="7"/>
  <c r="L12" i="7" l="1"/>
  <c r="J98" i="2" l="1"/>
  <c r="J99" i="2"/>
  <c r="J93" i="2" l="1"/>
  <c r="J89" i="2" l="1"/>
  <c r="J92" i="2" l="1"/>
  <c r="J97" i="2" l="1"/>
  <c r="G51" i="2" l="1"/>
  <c r="G50" i="2"/>
  <c r="G105" i="2" l="1"/>
  <c r="H106" i="2" l="1"/>
  <c r="G107" i="2"/>
  <c r="G106" i="2"/>
  <c r="J43" i="2" l="1"/>
  <c r="K72" i="2" l="1"/>
  <c r="K85" i="2"/>
  <c r="J59" i="2"/>
  <c r="J37" i="2" l="1"/>
  <c r="J12" i="2"/>
  <c r="J36" i="2"/>
  <c r="J42" i="2"/>
  <c r="J72" i="2"/>
  <c r="J85" i="2"/>
  <c r="K64" i="2"/>
  <c r="K27" i="2"/>
  <c r="J26" i="2"/>
  <c r="J17" i="2"/>
  <c r="K18" i="2"/>
  <c r="K29" i="2"/>
  <c r="J8" i="2"/>
  <c r="K13" i="2"/>
  <c r="K10" i="2"/>
  <c r="K71" i="2"/>
  <c r="K24" i="2"/>
  <c r="J23" i="2"/>
  <c r="K21" i="2"/>
  <c r="J20" i="2"/>
  <c r="J21" i="2" l="1"/>
  <c r="J29" i="2"/>
  <c r="J18" i="2"/>
  <c r="J71" i="2"/>
  <c r="J24" i="2"/>
  <c r="K31" i="2"/>
  <c r="K14" i="2"/>
  <c r="J27" i="2"/>
  <c r="L9" i="2"/>
  <c r="J9" i="2"/>
  <c r="J13" i="2"/>
  <c r="J10" i="2"/>
  <c r="J64" i="2"/>
  <c r="K77" i="2"/>
  <c r="K33" i="2" l="1"/>
  <c r="K90" i="2"/>
  <c r="J77" i="2"/>
  <c r="J14" i="2"/>
  <c r="J31" i="2"/>
  <c r="J33" i="2" s="1"/>
  <c r="K40" i="2"/>
  <c r="K34" i="2"/>
  <c r="K58" i="2"/>
  <c r="K45" i="2" l="1"/>
  <c r="J90" i="2"/>
  <c r="L32" i="2"/>
  <c r="J40" i="2"/>
  <c r="J45" i="2" s="1"/>
  <c r="J32" i="2"/>
  <c r="J58" i="2"/>
  <c r="J34" i="2"/>
  <c r="K70" i="2"/>
  <c r="J51" i="2" l="1"/>
  <c r="J50" i="2"/>
  <c r="K51" i="2"/>
  <c r="K50" i="2"/>
  <c r="K48" i="2"/>
  <c r="K46" i="2"/>
  <c r="K83" i="2"/>
  <c r="J70" i="2"/>
  <c r="L47" i="2" l="1"/>
  <c r="J47" i="2"/>
  <c r="J48" i="2"/>
  <c r="J83" i="2"/>
  <c r="J46" i="2"/>
  <c r="J8" i="7" l="1"/>
  <c r="L8" i="7" s="1"/>
  <c r="K73" i="2" l="1"/>
  <c r="J60" i="2"/>
  <c r="K84" i="2"/>
  <c r="K65" i="2"/>
  <c r="K66" i="2" l="1"/>
  <c r="K102" i="2"/>
  <c r="K105" i="2" s="1"/>
  <c r="K78" i="2"/>
  <c r="K68" i="2"/>
  <c r="J84" i="2"/>
  <c r="J73" i="2"/>
  <c r="J65" i="2"/>
  <c r="J66" i="2" s="1"/>
  <c r="K103" i="2" l="1"/>
  <c r="K79" i="2"/>
  <c r="K81" i="2"/>
  <c r="J102" i="2"/>
  <c r="J103" i="2" s="1"/>
  <c r="K107" i="2"/>
  <c r="L67" i="2"/>
  <c r="J68" i="2"/>
  <c r="J67" i="2"/>
  <c r="J78" i="2"/>
  <c r="J79" i="2" s="1"/>
  <c r="L80" i="2" l="1"/>
  <c r="J81" i="2"/>
  <c r="J80" i="2"/>
  <c r="J105" i="2"/>
  <c r="J106" i="2" l="1"/>
  <c r="J107" i="2"/>
  <c r="J13" i="6" l="1"/>
  <c r="J24" i="6" l="1"/>
  <c r="J50" i="6" l="1"/>
  <c r="J52" i="6" l="1"/>
  <c r="L102" i="2" l="1"/>
  <c r="L51" i="2" l="1"/>
  <c r="L103" i="2"/>
  <c r="L50" i="2"/>
  <c r="L105" i="2"/>
  <c r="M106" i="2" l="1"/>
  <c r="L107" i="2"/>
  <c r="L106" i="2"/>
  <c r="K50" i="6" l="1"/>
  <c r="M50" i="6"/>
  <c r="M52" i="6" s="1"/>
  <c r="K52" i="6" l="1"/>
  <c r="M54" i="6"/>
  <c r="K54" i="6" l="1"/>
  <c r="O89" i="2"/>
  <c r="O92" i="2" l="1"/>
  <c r="O97" i="2" l="1"/>
  <c r="J21" i="7" l="1"/>
  <c r="L21" i="7" s="1"/>
  <c r="J58" i="7" l="1"/>
  <c r="L58" i="7" s="1"/>
  <c r="J15" i="7" l="1"/>
  <c r="L15" i="7" s="1"/>
  <c r="J13" i="7" l="1"/>
  <c r="L13" i="7" s="1"/>
  <c r="J56" i="7"/>
  <c r="J25" i="7" l="1"/>
  <c r="J34" i="7"/>
  <c r="J20" i="7"/>
  <c r="L20" i="7" s="1"/>
  <c r="J48" i="7"/>
  <c r="J19" i="7"/>
  <c r="L19" i="7" s="1"/>
  <c r="J53" i="7"/>
  <c r="L53" i="7" s="1"/>
  <c r="J31" i="7"/>
  <c r="L31" i="7" s="1"/>
  <c r="J47" i="7"/>
  <c r="L47" i="7" s="1"/>
  <c r="J45" i="7"/>
  <c r="J60" i="7"/>
  <c r="J57" i="7"/>
  <c r="J46" i="7"/>
  <c r="L46" i="7" s="1"/>
  <c r="J33" i="7"/>
  <c r="L33" i="7" s="1"/>
  <c r="K61" i="7"/>
  <c r="L34" i="7"/>
  <c r="L60" i="7"/>
  <c r="L25" i="7"/>
  <c r="L56" i="7"/>
  <c r="L57" i="7"/>
  <c r="L48" i="7"/>
  <c r="L45" i="7"/>
  <c r="J52" i="7"/>
  <c r="J10" i="7"/>
  <c r="J61" i="7" l="1"/>
  <c r="L10" i="7"/>
  <c r="L52" i="7"/>
  <c r="L61" i="7" l="1"/>
  <c r="J28" i="7" l="1"/>
  <c r="L28" i="7"/>
  <c r="J38" i="7" l="1"/>
  <c r="L38" i="7"/>
  <c r="J23" i="7" l="1"/>
  <c r="L23" i="7" l="1"/>
  <c r="J35" i="7" l="1"/>
  <c r="J37" i="7"/>
  <c r="L37" i="7" s="1"/>
  <c r="L35" i="7"/>
  <c r="J36" i="7" l="1"/>
  <c r="L36" i="7" s="1"/>
  <c r="K39" i="7" l="1"/>
  <c r="J32" i="7"/>
  <c r="J39" i="7" s="1"/>
  <c r="L32" i="7" l="1"/>
  <c r="L39" i="7" l="1"/>
  <c r="J63" i="7" l="1"/>
  <c r="L63" i="7" l="1"/>
  <c r="P11" i="7" l="1"/>
  <c r="P17" i="7"/>
  <c r="P55" i="7"/>
  <c r="T37" i="8" l="1"/>
  <c r="P36" i="8"/>
  <c r="O17" i="8"/>
  <c r="O37" i="8"/>
  <c r="T18" i="8" l="1"/>
  <c r="P37" i="8"/>
  <c r="P40" i="8"/>
  <c r="P17" i="8"/>
  <c r="O67" i="8"/>
  <c r="O18" i="8"/>
  <c r="P21" i="8" l="1"/>
  <c r="P67" i="8"/>
  <c r="P18" i="8"/>
  <c r="O82" i="8"/>
  <c r="O86" i="8"/>
  <c r="O78" i="8"/>
  <c r="P82" i="8" l="1"/>
  <c r="P78" i="8"/>
  <c r="P86" i="8"/>
  <c r="O20" i="8" l="1"/>
  <c r="O40" i="8"/>
  <c r="O21" i="8" l="1"/>
  <c r="N85" i="2" l="1"/>
  <c r="N72" i="2"/>
  <c r="N64" i="2" l="1"/>
  <c r="N27" i="2"/>
  <c r="N71" i="2"/>
  <c r="N24" i="2"/>
  <c r="N21" i="2"/>
  <c r="N9" i="2"/>
  <c r="N10" i="2"/>
  <c r="N13" i="2"/>
  <c r="N18" i="2"/>
  <c r="N29" i="2"/>
  <c r="N77" i="2" l="1"/>
  <c r="N14" i="2"/>
  <c r="N31" i="2"/>
  <c r="N33" i="2" l="1"/>
  <c r="N90" i="2"/>
  <c r="N34" i="2"/>
  <c r="N32" i="2"/>
  <c r="N58" i="2"/>
  <c r="N40" i="2"/>
  <c r="N99" i="2" l="1"/>
  <c r="N45" i="2"/>
  <c r="N70" i="2"/>
  <c r="N48" i="2" l="1"/>
  <c r="N83" i="2"/>
  <c r="N46" i="2"/>
  <c r="N47" i="2"/>
  <c r="J35" i="6" l="1"/>
  <c r="J41" i="6" l="1"/>
  <c r="J54" i="6" l="1"/>
  <c r="N84" i="2"/>
  <c r="N73" i="2"/>
  <c r="N65" i="2"/>
  <c r="N66" i="2" l="1"/>
  <c r="N102" i="2"/>
  <c r="N78" i="2"/>
  <c r="N81" i="2" s="1"/>
  <c r="N68" i="2"/>
  <c r="N67" i="2"/>
  <c r="N103" i="2" l="1"/>
  <c r="N79" i="2"/>
  <c r="N80" i="2"/>
  <c r="N50" i="2" l="1"/>
  <c r="N51" i="2" l="1"/>
  <c r="N105" i="2"/>
  <c r="N106" i="2" l="1"/>
  <c r="N107" i="2"/>
  <c r="O43" i="2" l="1"/>
  <c r="P85" i="2" l="1"/>
  <c r="P72" i="2"/>
  <c r="O59" i="2"/>
  <c r="O85" i="2" l="1"/>
  <c r="O72" i="2"/>
  <c r="O42" i="2" l="1"/>
  <c r="O36" i="2"/>
  <c r="O12" i="2"/>
  <c r="P21" i="2" l="1"/>
  <c r="O20" i="2"/>
  <c r="P64" i="2"/>
  <c r="P77" i="2" s="1"/>
  <c r="P90" i="2" s="1"/>
  <c r="P99" i="2" s="1"/>
  <c r="P27" i="2"/>
  <c r="O26" i="2"/>
  <c r="P18" i="2"/>
  <c r="P29" i="2"/>
  <c r="O17" i="2"/>
  <c r="P13" i="2"/>
  <c r="P10" i="2"/>
  <c r="O8" i="2"/>
  <c r="P71" i="2"/>
  <c r="P24" i="2"/>
  <c r="O23" i="2"/>
  <c r="O37" i="2"/>
  <c r="P31" i="2" l="1"/>
  <c r="P33" i="2" s="1"/>
  <c r="P14" i="2"/>
  <c r="O21" i="2"/>
  <c r="O71" i="2"/>
  <c r="O24" i="2"/>
  <c r="O18" i="2"/>
  <c r="O29" i="2"/>
  <c r="O10" i="2"/>
  <c r="O13" i="2"/>
  <c r="O9" i="2"/>
  <c r="O64" i="2"/>
  <c r="O27" i="2"/>
  <c r="O77" i="2" l="1"/>
  <c r="O14" i="2"/>
  <c r="O31" i="2"/>
  <c r="P34" i="2"/>
  <c r="P40" i="2"/>
  <c r="P58" i="2"/>
  <c r="O33" i="2" l="1"/>
  <c r="P45" i="2"/>
  <c r="O90" i="2"/>
  <c r="O34" i="2"/>
  <c r="O40" i="2"/>
  <c r="O32" i="2"/>
  <c r="O58" i="2"/>
  <c r="P70" i="2"/>
  <c r="O99" i="2" l="1"/>
  <c r="P51" i="2"/>
  <c r="P50" i="2"/>
  <c r="O45" i="2"/>
  <c r="O70" i="2"/>
  <c r="P46" i="2"/>
  <c r="P83" i="2"/>
  <c r="P48" i="2"/>
  <c r="O51" i="2" l="1"/>
  <c r="O50" i="2"/>
  <c r="O46" i="2"/>
  <c r="O47" i="2"/>
  <c r="O48" i="2"/>
  <c r="O83" i="2"/>
  <c r="P84" i="2" l="1"/>
  <c r="P73" i="2"/>
  <c r="P78" i="2" s="1"/>
  <c r="P79" i="2" s="1"/>
  <c r="O60" i="2"/>
  <c r="P65" i="2"/>
  <c r="P66" i="2" s="1"/>
  <c r="P68" i="2" l="1"/>
  <c r="O73" i="2"/>
  <c r="O84" i="2"/>
  <c r="O65" i="2"/>
  <c r="P81" i="2"/>
  <c r="O66" i="2" l="1"/>
  <c r="O78" i="2"/>
  <c r="O80" i="2" s="1"/>
  <c r="O81" i="2"/>
  <c r="O68" i="2"/>
  <c r="O67" i="2"/>
  <c r="O79" i="2" l="1"/>
  <c r="P8" i="7" l="1"/>
  <c r="N13" i="6" l="1"/>
  <c r="N24" i="6" l="1"/>
  <c r="N35" i="6" l="1"/>
  <c r="N41" i="6" l="1"/>
  <c r="N50" i="6" l="1"/>
  <c r="M61" i="7" l="1"/>
  <c r="N52" i="6"/>
  <c r="N54" i="6" l="1"/>
  <c r="N61" i="7"/>
  <c r="O61" i="7" l="1"/>
  <c r="P102" i="2" l="1"/>
  <c r="P103" i="2" s="1"/>
  <c r="O93" i="2"/>
  <c r="O102" i="2" l="1"/>
  <c r="P105" i="2"/>
  <c r="O105" i="2" l="1"/>
  <c r="O107" i="2" s="1"/>
  <c r="O103" i="2"/>
  <c r="P107" i="2"/>
  <c r="O106" i="2" l="1"/>
  <c r="K49" i="7" l="1"/>
  <c r="J42" i="7"/>
  <c r="J49" i="7" s="1"/>
  <c r="L42" i="7" l="1"/>
  <c r="L49" i="7" l="1"/>
  <c r="J65" i="7"/>
  <c r="J67" i="7" s="1"/>
  <c r="K65" i="7"/>
  <c r="K67" i="7" l="1"/>
  <c r="L66" i="7" l="1"/>
  <c r="Q66" i="7"/>
  <c r="L67" i="7" l="1"/>
  <c r="M66" i="7"/>
  <c r="M39" i="7" l="1"/>
  <c r="P26" i="7" l="1"/>
  <c r="Q64" i="2" l="1"/>
  <c r="Q77" i="2" s="1"/>
  <c r="Q27" i="2"/>
  <c r="Q18" i="2"/>
  <c r="Q13" i="2"/>
  <c r="Q10" i="2"/>
  <c r="Q9" i="2"/>
  <c r="Q21" i="2"/>
  <c r="Q24" i="2"/>
  <c r="Q29" i="2"/>
  <c r="Q90" i="2" l="1"/>
  <c r="Q31" i="2"/>
  <c r="Q14" i="2"/>
  <c r="Q99" i="2" l="1"/>
  <c r="Q33" i="2"/>
  <c r="Q58" i="2"/>
  <c r="Q70" i="2" s="1"/>
  <c r="Q34" i="2"/>
  <c r="Q40" i="2"/>
  <c r="Q32" i="2"/>
  <c r="Q45" i="2" l="1"/>
  <c r="Q46" i="2" s="1"/>
  <c r="Q47" i="2" l="1"/>
  <c r="Q48" i="2"/>
  <c r="Q83" i="2"/>
  <c r="Q72" i="2" l="1"/>
  <c r="Q71" i="2"/>
  <c r="Q85" i="2"/>
  <c r="Q51" i="2" l="1"/>
  <c r="Q50" i="2"/>
  <c r="Q65" i="2" l="1"/>
  <c r="Q84" i="2"/>
  <c r="Q73" i="2"/>
  <c r="Q78" i="2" l="1"/>
  <c r="Q102" i="2"/>
  <c r="Q103" i="2" s="1"/>
  <c r="Q66" i="2"/>
  <c r="Q81" i="2"/>
  <c r="Q80" i="2"/>
  <c r="Q68" i="2"/>
  <c r="Q67" i="2"/>
  <c r="Q79" i="2" l="1"/>
  <c r="Q105" i="2"/>
  <c r="Q106" i="2" l="1"/>
  <c r="Q107" i="2"/>
  <c r="O35" i="6" l="1"/>
  <c r="O13" i="6" l="1"/>
  <c r="O24" i="6" l="1"/>
  <c r="O41" i="6"/>
  <c r="P12" i="7" l="1"/>
  <c r="O50" i="6" l="1"/>
  <c r="O52" i="6" s="1"/>
  <c r="O54" i="6" l="1"/>
  <c r="P13" i="7" l="1"/>
  <c r="P58" i="7" l="1"/>
  <c r="P60" i="7"/>
  <c r="P56" i="7"/>
  <c r="P53" i="7"/>
  <c r="P57" i="7"/>
  <c r="P48" i="7"/>
  <c r="P47" i="7"/>
  <c r="P45" i="7"/>
  <c r="P46" i="7"/>
  <c r="P44" i="7"/>
  <c r="P43" i="7"/>
  <c r="P34" i="7"/>
  <c r="P33" i="7"/>
  <c r="P31" i="7"/>
  <c r="P23" i="7"/>
  <c r="P15" i="7"/>
  <c r="P25" i="7"/>
  <c r="P21" i="7"/>
  <c r="P20" i="7"/>
  <c r="P28" i="7"/>
  <c r="Q61" i="7" l="1"/>
  <c r="P52" i="7"/>
  <c r="P61" i="7" s="1"/>
  <c r="P10" i="7"/>
  <c r="P19" i="7" l="1"/>
  <c r="P37" i="7" l="1"/>
  <c r="P36" i="7" l="1"/>
  <c r="P32" i="7" l="1"/>
  <c r="Q49" i="7"/>
  <c r="P63" i="7" l="1"/>
  <c r="Q39" i="7" l="1"/>
  <c r="P38" i="7" l="1"/>
  <c r="Q65" i="7"/>
  <c r="M49" i="7" l="1"/>
  <c r="N49" i="7"/>
  <c r="M65" i="7" l="1"/>
  <c r="M67" i="7" s="1"/>
  <c r="O49" i="7"/>
  <c r="N66" i="7" l="1"/>
  <c r="P42" i="7"/>
  <c r="P49" i="7" s="1"/>
  <c r="R61" i="7" l="1"/>
  <c r="S49" i="7" l="1"/>
  <c r="R49" i="7"/>
  <c r="R39" i="7" l="1"/>
  <c r="R65" i="7" s="1"/>
  <c r="R85" i="2" l="1"/>
  <c r="R72" i="2"/>
  <c r="R13" i="2" l="1"/>
  <c r="R10" i="2"/>
  <c r="R9" i="2"/>
  <c r="R21" i="2"/>
  <c r="R18" i="2"/>
  <c r="R29" i="2"/>
  <c r="R24" i="2"/>
  <c r="R71" i="2"/>
  <c r="R64" i="2"/>
  <c r="R77" i="2" s="1"/>
  <c r="R27" i="2"/>
  <c r="R14" i="2" l="1"/>
  <c r="R31" i="2"/>
  <c r="R33" i="2" s="1"/>
  <c r="R34" i="2" l="1"/>
  <c r="R40" i="2"/>
  <c r="R58" i="2"/>
  <c r="R32" i="2"/>
  <c r="R45" i="2" l="1"/>
  <c r="R70" i="2"/>
  <c r="R51" i="2" l="1"/>
  <c r="R50" i="2"/>
  <c r="R83" i="2"/>
  <c r="R46" i="2"/>
  <c r="R48" i="2"/>
  <c r="R47" i="2"/>
  <c r="S61" i="7" l="1"/>
  <c r="P13" i="6" l="1"/>
  <c r="P24" i="6" l="1"/>
  <c r="N39" i="7" l="1"/>
  <c r="N65" i="7" l="1"/>
  <c r="N67" i="7" s="1"/>
  <c r="O66" i="7" l="1"/>
  <c r="P35" i="6" l="1"/>
  <c r="P41" i="6" s="1"/>
  <c r="R84" i="2" l="1"/>
  <c r="R102" i="2" s="1"/>
  <c r="R103" i="2" s="1"/>
  <c r="R73" i="2"/>
  <c r="R65" i="2"/>
  <c r="R66" i="2" l="1"/>
  <c r="R78" i="2"/>
  <c r="R68" i="2"/>
  <c r="R67" i="2"/>
  <c r="R81" i="2"/>
  <c r="R80" i="2"/>
  <c r="R105" i="2"/>
  <c r="R79" i="2" l="1"/>
  <c r="R107" i="2"/>
  <c r="R106" i="2"/>
  <c r="P50" i="6" l="1"/>
  <c r="P52" i="6" s="1"/>
  <c r="P54" i="6" s="1"/>
  <c r="Q50" i="6" l="1"/>
  <c r="Q52" i="6" s="1"/>
  <c r="Q54" i="6" s="1"/>
  <c r="U10" i="7" l="1"/>
  <c r="U13" i="7"/>
  <c r="U53" i="7" l="1"/>
  <c r="U57" i="7"/>
  <c r="U46" i="7"/>
  <c r="U43" i="7"/>
  <c r="U45" i="7"/>
  <c r="U34" i="7"/>
  <c r="U33" i="7"/>
  <c r="U31" i="7"/>
  <c r="U23" i="7"/>
  <c r="U15" i="7"/>
  <c r="U25" i="7"/>
  <c r="U21" i="7"/>
  <c r="U20" i="7"/>
  <c r="U42" i="7" l="1"/>
  <c r="U44" i="7"/>
  <c r="S85" i="2" l="1"/>
  <c r="S72" i="2"/>
  <c r="S18" i="2" l="1"/>
  <c r="S29" i="2"/>
  <c r="S24" i="2"/>
  <c r="S71" i="2"/>
  <c r="S21" i="2"/>
  <c r="S10" i="2"/>
  <c r="S13" i="2"/>
  <c r="S9" i="2"/>
  <c r="S64" i="2"/>
  <c r="S77" i="2" s="1"/>
  <c r="S27" i="2"/>
  <c r="S31" i="2" l="1"/>
  <c r="S33" i="2" s="1"/>
  <c r="S14" i="2"/>
  <c r="S34" i="2" l="1"/>
  <c r="S40" i="2"/>
  <c r="S58" i="2"/>
  <c r="S70" i="2" s="1"/>
  <c r="S32" i="2"/>
  <c r="S45" i="2" l="1"/>
  <c r="S48" i="2" s="1"/>
  <c r="S47" i="2" l="1"/>
  <c r="S83" i="2"/>
  <c r="S46" i="2"/>
  <c r="O39" i="7"/>
  <c r="O65" i="7" l="1"/>
  <c r="O67" i="7" s="1"/>
  <c r="P35" i="7"/>
  <c r="P66" i="7" l="1"/>
  <c r="P39" i="7"/>
  <c r="P65" i="7" s="1"/>
  <c r="P67" i="7" l="1"/>
  <c r="Q67" i="7" l="1"/>
  <c r="R66" i="7" s="1"/>
  <c r="R67" i="7" s="1"/>
  <c r="S66" i="7" l="1"/>
  <c r="V66" i="7"/>
  <c r="U56" i="7"/>
  <c r="S50" i="2" l="1"/>
  <c r="S51" i="2" l="1"/>
  <c r="S84" i="2" l="1"/>
  <c r="S73" i="2"/>
  <c r="S65" i="2"/>
  <c r="S66" i="2" s="1"/>
  <c r="S78" i="2" l="1"/>
  <c r="S79" i="2" s="1"/>
  <c r="S102" i="2"/>
  <c r="S103" i="2" s="1"/>
  <c r="S68" i="2"/>
  <c r="S67" i="2"/>
  <c r="S105" i="2" l="1"/>
  <c r="S81" i="2"/>
  <c r="S80" i="2"/>
  <c r="S107" i="2" l="1"/>
  <c r="S106" i="2"/>
  <c r="U12" i="7" l="1"/>
  <c r="T49" i="7" l="1"/>
  <c r="T61" i="7" l="1"/>
  <c r="T89" i="2" l="1"/>
  <c r="T97" i="2" l="1"/>
  <c r="T92" i="2" l="1"/>
  <c r="U14" i="7" l="1"/>
  <c r="U28" i="7" l="1"/>
  <c r="U63" i="7" l="1"/>
  <c r="U37" i="7" l="1"/>
  <c r="U60" i="7"/>
  <c r="U52" i="7" l="1"/>
  <c r="V61" i="7" l="1"/>
  <c r="U58" i="7" l="1"/>
  <c r="T86" i="2" l="1"/>
  <c r="U74" i="2" l="1"/>
  <c r="T74" i="2"/>
  <c r="S39" i="7" l="1"/>
  <c r="T39" i="7" l="1"/>
  <c r="T65" i="7"/>
  <c r="S65" i="7"/>
  <c r="S67" i="7" s="1"/>
  <c r="T66" i="7" l="1"/>
  <c r="T67" i="7" s="1"/>
  <c r="U66" i="7" l="1"/>
  <c r="Y31" i="8" l="1"/>
  <c r="Y37" i="8"/>
  <c r="Y24" i="8"/>
  <c r="Y17" i="8"/>
  <c r="Y62" i="8"/>
  <c r="Y18" i="8" l="1"/>
  <c r="Y67" i="8"/>
  <c r="Y78" i="8" l="1"/>
  <c r="Y86" i="8"/>
  <c r="Y82" i="8"/>
  <c r="X64" i="2" l="1"/>
  <c r="X77" i="2" s="1"/>
  <c r="X90" i="2" s="1"/>
  <c r="Y40" i="8" l="1"/>
  <c r="Y34" i="8"/>
  <c r="Y65" i="8"/>
  <c r="Y27" i="8" l="1"/>
  <c r="Y20" i="8"/>
  <c r="Y21" i="8" l="1"/>
  <c r="W17" i="8" l="1"/>
  <c r="W24" i="8"/>
  <c r="W31" i="8"/>
  <c r="W37" i="8"/>
  <c r="W62" i="8"/>
  <c r="W67" i="8" l="1"/>
  <c r="W18" i="8"/>
  <c r="W86" i="8" l="1"/>
  <c r="W82" i="8"/>
  <c r="W78" i="8"/>
  <c r="W61" i="7" l="1"/>
  <c r="W65" i="8" l="1"/>
  <c r="W34" i="8" l="1"/>
  <c r="W40" i="8" l="1"/>
  <c r="W20" i="8" l="1"/>
  <c r="W27" i="8"/>
  <c r="W21" i="8" l="1"/>
  <c r="AC62" i="8" l="1"/>
  <c r="Z61" i="8"/>
  <c r="X62" i="8"/>
  <c r="AC24" i="8" l="1"/>
  <c r="AC37" i="8"/>
  <c r="AC31" i="8"/>
  <c r="Z23" i="8"/>
  <c r="Z30" i="8"/>
  <c r="Z36" i="8"/>
  <c r="X17" i="8"/>
  <c r="X24" i="8"/>
  <c r="X31" i="8"/>
  <c r="X37" i="8"/>
  <c r="AC18" i="8" l="1"/>
  <c r="Z17" i="8"/>
  <c r="X67" i="8"/>
  <c r="X18" i="8"/>
  <c r="Z67" i="8" l="1"/>
  <c r="X82" i="8"/>
  <c r="X86" i="8"/>
  <c r="X78" i="8"/>
  <c r="Z78" i="8" l="1"/>
  <c r="Z86" i="8"/>
  <c r="Z82" i="8"/>
  <c r="W64" i="2" l="1"/>
  <c r="W77" i="2" l="1"/>
  <c r="W90" i="2" l="1"/>
  <c r="Z33" i="8" l="1"/>
  <c r="Z64" i="8"/>
  <c r="X34" i="8"/>
  <c r="X40" i="8"/>
  <c r="X65" i="8"/>
  <c r="Z65" i="8" l="1"/>
  <c r="Z34" i="8"/>
  <c r="Z26" i="8" l="1"/>
  <c r="X27" i="8"/>
  <c r="X20" i="8"/>
  <c r="Z27" i="8" l="1"/>
  <c r="X21" i="8"/>
  <c r="W84" i="2" l="1"/>
  <c r="W73" i="2"/>
  <c r="W85" i="2" l="1"/>
  <c r="W72" i="2"/>
  <c r="Z15" i="7" l="1"/>
  <c r="X61" i="7" l="1"/>
  <c r="W10" i="2" l="1"/>
  <c r="W13" i="2"/>
  <c r="W27" i="2"/>
  <c r="W14" i="2" l="1"/>
  <c r="W24" i="2" l="1"/>
  <c r="W71" i="2"/>
  <c r="W21" i="2"/>
  <c r="W29" i="2"/>
  <c r="W18" i="2"/>
  <c r="W31" i="2" l="1"/>
  <c r="W33" i="2" s="1"/>
  <c r="W58" i="2" l="1"/>
  <c r="W40" i="2"/>
  <c r="W34" i="2"/>
  <c r="W45" i="2" l="1"/>
  <c r="W70" i="2"/>
  <c r="W65" i="2"/>
  <c r="W66" i="2" s="1"/>
  <c r="W51" i="2" l="1"/>
  <c r="W50" i="2"/>
  <c r="W68" i="2"/>
  <c r="W78" i="2"/>
  <c r="W79" i="2" s="1"/>
  <c r="W81" i="2" l="1"/>
  <c r="W46" i="2"/>
  <c r="W83" i="2"/>
  <c r="W48" i="2"/>
  <c r="W102" i="2" l="1"/>
  <c r="W103" i="2" s="1"/>
  <c r="W105" i="2" l="1"/>
  <c r="T35" i="6" l="1"/>
  <c r="W107" i="2"/>
  <c r="T13" i="6" l="1"/>
  <c r="T24" i="6" s="1"/>
  <c r="T41" i="6" l="1"/>
  <c r="T50" i="6" l="1"/>
  <c r="T52" i="6" l="1"/>
  <c r="T54" i="6" l="1"/>
  <c r="AA20" i="8" l="1"/>
  <c r="Z39" i="8"/>
  <c r="Z20" i="8" l="1"/>
  <c r="AA21" i="8"/>
  <c r="Z40" i="8"/>
  <c r="Z21" i="8" l="1"/>
  <c r="U61" i="7" l="1"/>
  <c r="Y86" i="2" l="1"/>
  <c r="Z12" i="7" l="1"/>
  <c r="Y61" i="7" l="1"/>
  <c r="U13" i="6" l="1"/>
  <c r="U35" i="6" l="1"/>
  <c r="U41" i="6" l="1"/>
  <c r="U24" i="6" l="1"/>
  <c r="X85" i="2" l="1"/>
  <c r="X72" i="2"/>
  <c r="X73" i="2" l="1"/>
  <c r="X84" i="2"/>
  <c r="X9" i="2" l="1"/>
  <c r="X10" i="2"/>
  <c r="X13" i="2"/>
  <c r="X27" i="2"/>
  <c r="X14" i="2" l="1"/>
  <c r="X24" i="2" l="1"/>
  <c r="X71" i="2"/>
  <c r="X29" i="2"/>
  <c r="X18" i="2"/>
  <c r="X21" i="2"/>
  <c r="X31" i="2" l="1"/>
  <c r="X33" i="2" s="1"/>
  <c r="X34" i="2" l="1"/>
  <c r="X40" i="2"/>
  <c r="X58" i="2"/>
  <c r="X32" i="2"/>
  <c r="X45" i="2" l="1"/>
  <c r="X65" i="2"/>
  <c r="X66" i="2" s="1"/>
  <c r="X70" i="2"/>
  <c r="X51" i="2" l="1"/>
  <c r="X50" i="2"/>
  <c r="X78" i="2"/>
  <c r="X79" i="2" s="1"/>
  <c r="X68" i="2"/>
  <c r="X67" i="2"/>
  <c r="X48" i="2" l="1"/>
  <c r="X83" i="2"/>
  <c r="X46" i="2"/>
  <c r="X47" i="2"/>
  <c r="X81" i="2"/>
  <c r="X80" i="2"/>
  <c r="X102" i="2" l="1"/>
  <c r="X103" i="2" s="1"/>
  <c r="X105" i="2" l="1"/>
  <c r="X107" i="2" l="1"/>
  <c r="X106" i="2"/>
  <c r="U50" i="6" l="1"/>
  <c r="U52" i="6" l="1"/>
  <c r="U54" i="6" l="1"/>
  <c r="U85" i="2" l="1"/>
  <c r="T59" i="2"/>
  <c r="U72" i="2"/>
  <c r="T72" i="2" l="1"/>
  <c r="T85" i="2"/>
  <c r="U84" i="2" l="1"/>
  <c r="T60" i="2"/>
  <c r="U73" i="2"/>
  <c r="T84" i="2" l="1"/>
  <c r="T73" i="2"/>
  <c r="AA62" i="8" l="1"/>
  <c r="V62" i="8"/>
  <c r="U61" i="8"/>
  <c r="U62" i="8" l="1"/>
  <c r="Z62" i="8"/>
  <c r="AA31" i="8" l="1"/>
  <c r="V31" i="8"/>
  <c r="U30" i="8"/>
  <c r="AA24" i="8"/>
  <c r="V24" i="8"/>
  <c r="V17" i="8"/>
  <c r="U23" i="8"/>
  <c r="AA37" i="8"/>
  <c r="V37" i="8"/>
  <c r="U36" i="8"/>
  <c r="V65" i="8"/>
  <c r="U64" i="8"/>
  <c r="U37" i="8" l="1"/>
  <c r="Z37" i="8"/>
  <c r="U24" i="8"/>
  <c r="U17" i="8"/>
  <c r="Z24" i="8"/>
  <c r="U31" i="8"/>
  <c r="Z31" i="8"/>
  <c r="V40" i="8"/>
  <c r="U39" i="8"/>
  <c r="AA18" i="8"/>
  <c r="V18" i="8"/>
  <c r="V67" i="8"/>
  <c r="U65" i="8"/>
  <c r="V20" i="8" l="1"/>
  <c r="V82" i="8"/>
  <c r="V78" i="8"/>
  <c r="V86" i="8"/>
  <c r="U40" i="8"/>
  <c r="U26" i="8"/>
  <c r="V27" i="8"/>
  <c r="U18" i="8"/>
  <c r="Z18" i="8"/>
  <c r="U67" i="8"/>
  <c r="U27" i="8" l="1"/>
  <c r="U82" i="8"/>
  <c r="U86" i="8"/>
  <c r="U78" i="8"/>
  <c r="U33" i="8"/>
  <c r="U20" i="8" s="1"/>
  <c r="V34" i="8"/>
  <c r="V21" i="8"/>
  <c r="U21" i="8" l="1"/>
  <c r="U34" i="8"/>
  <c r="T12" i="2" l="1"/>
  <c r="T36" i="2"/>
  <c r="T8" i="2" l="1"/>
  <c r="U10" i="2"/>
  <c r="U13" i="2"/>
  <c r="U14" i="2" l="1"/>
  <c r="T9" i="2"/>
  <c r="T10" i="2"/>
  <c r="T13" i="2"/>
  <c r="T43" i="2"/>
  <c r="T23" i="2" l="1"/>
  <c r="U71" i="2"/>
  <c r="U24" i="2"/>
  <c r="T20" i="2"/>
  <c r="U21" i="2"/>
  <c r="T14" i="2"/>
  <c r="U18" i="2"/>
  <c r="T17" i="2"/>
  <c r="U29" i="2"/>
  <c r="U31" i="2" s="1"/>
  <c r="U27" i="2"/>
  <c r="U64" i="2"/>
  <c r="U77" i="2" s="1"/>
  <c r="U90" i="2" s="1"/>
  <c r="U99" i="2" s="1"/>
  <c r="T26" i="2"/>
  <c r="U33" i="2" l="1"/>
  <c r="U58" i="2"/>
  <c r="U34" i="2"/>
  <c r="T21" i="2"/>
  <c r="T27" i="2"/>
  <c r="T64" i="2"/>
  <c r="T18" i="2"/>
  <c r="T29" i="2"/>
  <c r="T71" i="2"/>
  <c r="T24" i="2"/>
  <c r="T77" i="2" l="1"/>
  <c r="T31" i="2"/>
  <c r="U70" i="2"/>
  <c r="U78" i="2" s="1"/>
  <c r="U79" i="2" s="1"/>
  <c r="U65" i="2"/>
  <c r="U66" i="2" s="1"/>
  <c r="T33" i="2" l="1"/>
  <c r="T32" i="2"/>
  <c r="T58" i="2"/>
  <c r="T34" i="2"/>
  <c r="U68" i="2"/>
  <c r="U81" i="2"/>
  <c r="T90" i="2"/>
  <c r="T99" i="2" l="1"/>
  <c r="T70" i="2"/>
  <c r="T65" i="2"/>
  <c r="T66" i="2" s="1"/>
  <c r="T67" i="2" l="1"/>
  <c r="T68" i="2"/>
  <c r="T78" i="2"/>
  <c r="T79" i="2" s="1"/>
  <c r="T80" i="2" l="1"/>
  <c r="T81" i="2"/>
  <c r="R13" i="6" l="1"/>
  <c r="R24" i="6" l="1"/>
  <c r="T38" i="2" l="1"/>
  <c r="U100" i="2"/>
  <c r="T100" i="2" l="1"/>
  <c r="T37" i="2" l="1"/>
  <c r="U40" i="2"/>
  <c r="T40" i="2" l="1"/>
  <c r="U45" i="2" l="1"/>
  <c r="T42" i="2"/>
  <c r="U51" i="2" l="1"/>
  <c r="U50" i="2"/>
  <c r="T45" i="2"/>
  <c r="T51" i="2" l="1"/>
  <c r="T50" i="2"/>
  <c r="U46" i="2"/>
  <c r="U83" i="2"/>
  <c r="U102" i="2" s="1"/>
  <c r="U103" i="2" s="1"/>
  <c r="U48" i="2"/>
  <c r="U105" i="2" l="1"/>
  <c r="U107" i="2" s="1"/>
  <c r="T46" i="2"/>
  <c r="T47" i="2"/>
  <c r="T48" i="2"/>
  <c r="T83" i="2"/>
  <c r="U8" i="7"/>
  <c r="T102" i="2" l="1"/>
  <c r="T103" i="2" s="1"/>
  <c r="T105" i="2" l="1"/>
  <c r="T106" i="2" l="1"/>
  <c r="T107" i="2"/>
  <c r="R50" i="6" l="1"/>
  <c r="R52" i="6" l="1"/>
  <c r="U26" i="7" l="1"/>
  <c r="U48" i="7" l="1"/>
  <c r="U32" i="7" l="1"/>
  <c r="V49" i="7"/>
  <c r="U19" i="7"/>
  <c r="U35" i="7"/>
  <c r="U47" i="7" l="1"/>
  <c r="U49" i="7" s="1"/>
  <c r="U38" i="7" l="1"/>
  <c r="V39" i="7"/>
  <c r="U36" i="7" l="1"/>
  <c r="U39" i="7" s="1"/>
  <c r="V65" i="7"/>
  <c r="U65" i="7" l="1"/>
  <c r="U67" i="7" s="1"/>
  <c r="V67" i="7" l="1"/>
  <c r="W66" i="7" s="1"/>
  <c r="AA66" i="7" l="1"/>
  <c r="Z26" i="7" l="1"/>
  <c r="Z24" i="2" l="1"/>
  <c r="Z29" i="2"/>
  <c r="Z13" i="2"/>
  <c r="Z18" i="2"/>
  <c r="Z27" i="2"/>
  <c r="Z21" i="2"/>
  <c r="Z10" i="2"/>
  <c r="Z14" i="2" l="1"/>
  <c r="Z31" i="2"/>
  <c r="Z33" i="2" s="1"/>
  <c r="Z34" i="2" l="1"/>
  <c r="Z40" i="2"/>
  <c r="Z58" i="2"/>
  <c r="Z70" i="2" l="1"/>
  <c r="Z72" i="2" l="1"/>
  <c r="Z85" i="2"/>
  <c r="Z71" i="2"/>
  <c r="V13" i="6" l="1"/>
  <c r="V24" i="6" l="1"/>
  <c r="Z73" i="2" l="1"/>
  <c r="Z65" i="2"/>
  <c r="Z68" i="2" s="1"/>
  <c r="Z84" i="2"/>
  <c r="Z66" i="2" l="1"/>
  <c r="Z78" i="2"/>
  <c r="Z79" i="2" l="1"/>
  <c r="Z81" i="2"/>
  <c r="Z45" i="2" l="1"/>
  <c r="Z51" i="2" l="1"/>
  <c r="Z50" i="2"/>
  <c r="Z46" i="2"/>
  <c r="Z83" i="2"/>
  <c r="Z48" i="2"/>
  <c r="Z102" i="2" l="1"/>
  <c r="Z103" i="2" s="1"/>
  <c r="V35" i="6" l="1"/>
  <c r="V41" i="6" s="1"/>
  <c r="Z105" i="2"/>
  <c r="Z107" i="2" l="1"/>
  <c r="AB31" i="8" l="1"/>
  <c r="AB37" i="8"/>
  <c r="AB62" i="8"/>
  <c r="AB17" i="8" l="1"/>
  <c r="AB24" i="8"/>
  <c r="AB67" i="8" l="1"/>
  <c r="AB18" i="8"/>
  <c r="AB86" i="8" l="1"/>
  <c r="AB82" i="8"/>
  <c r="AB78" i="8"/>
  <c r="AB40" i="8" l="1"/>
  <c r="AB65" i="8"/>
  <c r="AB34" i="8" l="1"/>
  <c r="AB27" i="8" l="1"/>
  <c r="AB20" i="8"/>
  <c r="AB21" i="8" l="1"/>
  <c r="AA63" i="2" l="1"/>
  <c r="V85" i="2" l="1"/>
  <c r="V72" i="2"/>
  <c r="Y59" i="2"/>
  <c r="Y72" i="2" l="1"/>
  <c r="Y85" i="2"/>
  <c r="Y43" i="2" l="1"/>
  <c r="Y36" i="2" l="1"/>
  <c r="Y37" i="2" l="1"/>
  <c r="Y12" i="2"/>
  <c r="V24" i="2" l="1"/>
  <c r="V71" i="2"/>
  <c r="Y23" i="2"/>
  <c r="V21" i="2"/>
  <c r="Y20" i="2"/>
  <c r="V64" i="2"/>
  <c r="Y26" i="2"/>
  <c r="V27" i="2"/>
  <c r="V13" i="2"/>
  <c r="W9" i="2"/>
  <c r="V9" i="2"/>
  <c r="V10" i="2"/>
  <c r="Y8" i="2"/>
  <c r="Y17" i="2"/>
  <c r="V29" i="2"/>
  <c r="V18" i="2"/>
  <c r="Y42" i="2"/>
  <c r="Y9" i="2" l="1"/>
  <c r="Y10" i="2"/>
  <c r="Y13" i="2"/>
  <c r="Y64" i="2"/>
  <c r="Y27" i="2"/>
  <c r="V14" i="2"/>
  <c r="V31" i="2"/>
  <c r="V77" i="2"/>
  <c r="Y24" i="2"/>
  <c r="Y71" i="2"/>
  <c r="Y29" i="2"/>
  <c r="Y18" i="2"/>
  <c r="Y21" i="2"/>
  <c r="Y77" i="2" l="1"/>
  <c r="V33" i="2"/>
  <c r="W32" i="2"/>
  <c r="V34" i="2"/>
  <c r="V32" i="2"/>
  <c r="V58" i="2"/>
  <c r="V40" i="2"/>
  <c r="V45" i="2" s="1"/>
  <c r="Y31" i="2"/>
  <c r="Y14" i="2"/>
  <c r="V90" i="2"/>
  <c r="Y90" i="2" l="1"/>
  <c r="Y32" i="2"/>
  <c r="Y40" i="2"/>
  <c r="Y45" i="2" s="1"/>
  <c r="Y33" i="2"/>
  <c r="Y34" i="2"/>
  <c r="Y58" i="2"/>
  <c r="V51" i="2"/>
  <c r="V48" i="2"/>
  <c r="W47" i="2"/>
  <c r="V50" i="2"/>
  <c r="V47" i="2"/>
  <c r="V46" i="2"/>
  <c r="V83" i="2"/>
  <c r="V70" i="2"/>
  <c r="Y46" i="2" l="1"/>
  <c r="Y51" i="2"/>
  <c r="Y48" i="2"/>
  <c r="Y83" i="2"/>
  <c r="Y50" i="2"/>
  <c r="Y47" i="2"/>
  <c r="Y70" i="2"/>
  <c r="W49" i="7" l="1"/>
  <c r="Z23" i="7"/>
  <c r="Y49" i="7" l="1"/>
  <c r="Z44" i="7"/>
  <c r="Z46" i="7"/>
  <c r="X49" i="7"/>
  <c r="V84" i="2" l="1"/>
  <c r="V73" i="2"/>
  <c r="Y60" i="2"/>
  <c r="V65" i="2"/>
  <c r="V66" i="2" l="1"/>
  <c r="V68" i="2"/>
  <c r="W67" i="2"/>
  <c r="V67" i="2"/>
  <c r="Y84" i="2"/>
  <c r="Y73" i="2"/>
  <c r="Y78" i="2" s="1"/>
  <c r="Y65" i="2"/>
  <c r="V78" i="2"/>
  <c r="V102" i="2"/>
  <c r="Y80" i="2" l="1"/>
  <c r="Y79" i="2"/>
  <c r="Y81" i="2"/>
  <c r="V79" i="2"/>
  <c r="V81" i="2"/>
  <c r="W80" i="2"/>
  <c r="V80" i="2"/>
  <c r="Y102" i="2"/>
  <c r="V105" i="2"/>
  <c r="V103" i="2"/>
  <c r="Y67" i="2"/>
  <c r="Y66" i="2"/>
  <c r="Y68" i="2"/>
  <c r="Y105" i="2" l="1"/>
  <c r="Y103" i="2"/>
  <c r="V107" i="2"/>
  <c r="W106" i="2"/>
  <c r="V106" i="2"/>
  <c r="X39" i="7" l="1"/>
  <c r="X65" i="7" s="1"/>
  <c r="W39" i="7"/>
  <c r="Y107" i="2"/>
  <c r="Y106" i="2"/>
  <c r="Y39" i="7" l="1"/>
  <c r="Y65" i="7" s="1"/>
  <c r="W65" i="7"/>
  <c r="W67" i="7" s="1"/>
  <c r="Z8" i="7" l="1"/>
  <c r="X66" i="7"/>
  <c r="X67" i="7" l="1"/>
  <c r="Y66" i="7" l="1"/>
  <c r="Y67" i="7" l="1"/>
  <c r="Z66" i="7" l="1"/>
  <c r="S35" i="6" l="1"/>
  <c r="S13" i="6" l="1"/>
  <c r="S41" i="6" l="1"/>
  <c r="S24" i="6" l="1"/>
  <c r="S50" i="6" l="1"/>
  <c r="S52" i="6" l="1"/>
  <c r="S54" i="6" l="1"/>
  <c r="R35" i="6" l="1"/>
  <c r="R41" i="6" l="1"/>
  <c r="R54" i="6" l="1"/>
  <c r="Z21" i="7" l="1"/>
  <c r="Z13" i="7" l="1"/>
  <c r="Z10" i="7" l="1"/>
  <c r="Z59" i="7" l="1"/>
  <c r="Z60" i="7"/>
  <c r="Z58" i="7"/>
  <c r="Z48" i="7"/>
  <c r="Z43" i="7"/>
  <c r="Z25" i="7"/>
  <c r="Z20" i="7"/>
  <c r="Z52" i="7" l="1"/>
  <c r="Z53" i="7" l="1"/>
  <c r="Z63" i="7"/>
  <c r="Z19" i="7" l="1"/>
  <c r="Z32" i="7"/>
  <c r="Z34" i="7" l="1"/>
  <c r="Z31" i="7"/>
  <c r="Z33" i="7"/>
  <c r="Z42" i="7"/>
  <c r="Z57" i="7" l="1"/>
  <c r="AA61" i="7"/>
  <c r="Z61" i="7" l="1"/>
  <c r="Z37" i="7" l="1"/>
  <c r="Z47" i="7" l="1"/>
  <c r="Z27" i="7" l="1"/>
  <c r="Z28" i="7" l="1"/>
  <c r="Z35" i="7" l="1"/>
  <c r="AA49" i="7" l="1"/>
  <c r="Z45" i="7"/>
  <c r="Z49" i="7" l="1"/>
  <c r="Z38" i="7" l="1"/>
  <c r="Z36" i="7" l="1"/>
  <c r="AA39" i="7"/>
  <c r="AA65" i="7" s="1"/>
  <c r="AA67" i="7" s="1"/>
  <c r="AB66" i="7" l="1"/>
  <c r="Z39" i="7"/>
  <c r="Z65" i="7" l="1"/>
  <c r="Z67" i="7" l="1"/>
  <c r="V50" i="6" l="1"/>
  <c r="V52" i="6" l="1"/>
  <c r="V54" i="6" l="1"/>
  <c r="AB49" i="7" l="1"/>
  <c r="AB61" i="7"/>
  <c r="AC49" i="7" l="1"/>
  <c r="AC61" i="7"/>
  <c r="AA85" i="2" l="1"/>
  <c r="AA72" i="2"/>
  <c r="AA71" i="2" l="1"/>
  <c r="AA24" i="2"/>
  <c r="AA18" i="2"/>
  <c r="AA29" i="2"/>
  <c r="AA27" i="2"/>
  <c r="AA13" i="2"/>
  <c r="AA10" i="2"/>
  <c r="AA9" i="2"/>
  <c r="AA21" i="2"/>
  <c r="AA14" i="2" l="1"/>
  <c r="AA31" i="2"/>
  <c r="AA58" i="2" l="1"/>
  <c r="AA34" i="2"/>
  <c r="AA40" i="2"/>
  <c r="AA45" i="2" s="1"/>
  <c r="AA33" i="2"/>
  <c r="AA32" i="2"/>
  <c r="AA50" i="2" l="1"/>
  <c r="AA51" i="2"/>
  <c r="AA83" i="2"/>
  <c r="AA46" i="2"/>
  <c r="AA48" i="2"/>
  <c r="AA47" i="2"/>
  <c r="AA70" i="2"/>
  <c r="AA84" i="2" l="1"/>
  <c r="AA73" i="2"/>
  <c r="AA65" i="2"/>
  <c r="AA78" i="2" l="1"/>
  <c r="AA66" i="2"/>
  <c r="AA68" i="2"/>
  <c r="AA67" i="2"/>
  <c r="AA79" i="2"/>
  <c r="AA81" i="2"/>
  <c r="AA80" i="2"/>
  <c r="AA102" i="2"/>
  <c r="AA105" i="2" l="1"/>
  <c r="AA103" i="2"/>
  <c r="AA107" i="2" l="1"/>
  <c r="AA106" i="2"/>
  <c r="W13" i="6" l="1"/>
  <c r="W24" i="6" l="1"/>
  <c r="W35" i="6" l="1"/>
  <c r="W41" i="6" l="1"/>
  <c r="W50" i="6" l="1"/>
  <c r="AC39" i="7" l="1"/>
  <c r="AC65" i="7" s="1"/>
  <c r="AB39" i="7"/>
  <c r="W52" i="6"/>
  <c r="AB65" i="7"/>
  <c r="W54" i="6" l="1"/>
  <c r="AB67" i="7"/>
  <c r="AC66" i="7" l="1"/>
  <c r="AC67" i="7" s="1"/>
  <c r="X35" i="6" l="1"/>
  <c r="X41" i="6" s="1"/>
  <c r="AB85" i="2" l="1"/>
  <c r="AB72" i="2"/>
  <c r="AB73" i="2" l="1"/>
  <c r="AB84" i="2"/>
  <c r="AB13" i="2"/>
  <c r="AB24" i="2" l="1"/>
  <c r="AB71" i="2"/>
  <c r="AB14" i="2"/>
  <c r="AB29" i="2"/>
  <c r="AB31" i="2" s="1"/>
  <c r="AB18" i="2"/>
  <c r="AB10" i="2"/>
  <c r="AB9" i="2"/>
  <c r="AB27" i="2"/>
  <c r="AB21" i="2"/>
  <c r="AB34" i="2" l="1"/>
  <c r="AB33" i="2"/>
  <c r="AB40" i="2"/>
  <c r="AB32" i="2"/>
  <c r="AB58" i="2"/>
  <c r="AB70" i="2" l="1"/>
  <c r="AB78" i="2" s="1"/>
  <c r="AB65" i="2"/>
  <c r="AB67" i="2" l="1"/>
  <c r="AB68" i="2"/>
  <c r="AB66" i="2"/>
  <c r="AB79" i="2"/>
  <c r="AB81" i="2"/>
  <c r="AB80" i="2"/>
  <c r="AB45" i="2" l="1"/>
  <c r="AB83" i="2" l="1"/>
  <c r="AB48" i="2"/>
  <c r="AB46" i="2"/>
  <c r="AB47" i="2"/>
  <c r="AB50" i="2"/>
  <c r="AB51" i="2"/>
  <c r="AB102" i="2" l="1"/>
  <c r="AB103" i="2"/>
  <c r="AB105" i="2"/>
  <c r="AB107" i="2" l="1"/>
  <c r="AB106" i="2"/>
  <c r="X13" i="6" l="1"/>
  <c r="X24" i="6" s="1"/>
  <c r="X50" i="6" l="1"/>
  <c r="X52" i="6" s="1"/>
  <c r="X54" i="6" s="1"/>
</calcChain>
</file>

<file path=xl/sharedStrings.xml><?xml version="1.0" encoding="utf-8"?>
<sst xmlns="http://schemas.openxmlformats.org/spreadsheetml/2006/main" count="495" uniqueCount="221">
  <si>
    <t>Income Statement</t>
  </si>
  <si>
    <t>Balance Sheet</t>
  </si>
  <si>
    <t>Cashflow Statement</t>
  </si>
  <si>
    <t>Revenues and Margins</t>
  </si>
  <si>
    <t>Other metrics</t>
  </si>
  <si>
    <t>($ in thousands, except per share amount and share count)</t>
  </si>
  <si>
    <t>Q1</t>
  </si>
  <si>
    <t>Q2</t>
  </si>
  <si>
    <t>Q3</t>
  </si>
  <si>
    <t>Q4</t>
  </si>
  <si>
    <t>FY</t>
  </si>
  <si>
    <t>Revenues, net</t>
  </si>
  <si>
    <t>Sequential Growth</t>
  </si>
  <si>
    <t>NA</t>
  </si>
  <si>
    <t>Year-Over-Year Growth</t>
  </si>
  <si>
    <t>Cost of revenues (exclusive of depreciation and amortization)</t>
  </si>
  <si>
    <t>Gross profit</t>
  </si>
  <si>
    <t>Gross Margin</t>
  </si>
  <si>
    <t>Operating expenses</t>
  </si>
  <si>
    <t>General and administrative expenses</t>
  </si>
  <si>
    <t>% of revenue</t>
  </si>
  <si>
    <t>Selling and marketing expenses</t>
  </si>
  <si>
    <t>Depreciation and amortization expense</t>
  </si>
  <si>
    <t>Impairment and restructuring charges</t>
  </si>
  <si>
    <t>Total operating expenses</t>
  </si>
  <si>
    <t>Income from operations</t>
  </si>
  <si>
    <t>Operating Margin</t>
  </si>
  <si>
    <t>Foreign Exchange Gain / (Loss)</t>
  </si>
  <si>
    <t>Interest and other income, net</t>
  </si>
  <si>
    <t>Loss on settlement of convertible senior notes</t>
  </si>
  <si>
    <t>Income before income tax expense and earnings from equity affiliates</t>
  </si>
  <si>
    <t>Income tax (provision)/benefit</t>
  </si>
  <si>
    <t>(Loss)/Gain from equity-method investment</t>
  </si>
  <si>
    <t>Net income/(loss) to common stockholders</t>
  </si>
  <si>
    <r>
      <t>Earnings/(loss)  per share</t>
    </r>
    <r>
      <rPr>
        <vertAlign val="superscript"/>
        <sz val="10"/>
        <rFont val="Arial"/>
        <family val="2"/>
      </rPr>
      <t xml:space="preserve"> (a)</t>
    </r>
  </si>
  <si>
    <t>Basic</t>
  </si>
  <si>
    <t>Diluted</t>
  </si>
  <si>
    <t>Weighted-average number of shares used in computing earnings per share</t>
  </si>
  <si>
    <t>Reconciliation of GAAP to Non-GAAP Measures</t>
  </si>
  <si>
    <t>b</t>
  </si>
  <si>
    <t>Income from Operations</t>
  </si>
  <si>
    <t>add: Amortization of acquisition-related intangibles</t>
  </si>
  <si>
    <t>add: Stock-based compensation expense</t>
  </si>
  <si>
    <t>add: Provision for litigation settlement</t>
  </si>
  <si>
    <t>add: Acquisition-related expenses</t>
  </si>
  <si>
    <t xml:space="preserve">add/(subtract): Other (benefits)/expense </t>
  </si>
  <si>
    <t>add: Impairment of acquisition-related intangibles, goodwill, long-lived assets and restructuring costs</t>
  </si>
  <si>
    <t>Adjusted Operating Income</t>
  </si>
  <si>
    <t>Adjusted Operating Income Margin</t>
  </si>
  <si>
    <t>add: Depreciation</t>
  </si>
  <si>
    <t>Adjusted EBITDA</t>
  </si>
  <si>
    <t>Adjusted EBITDA Margin</t>
  </si>
  <si>
    <t>Net Income</t>
  </si>
  <si>
    <t>add/(subtract): Effect of Tax Reform Act and other one-time tax expenses/(benefits)</t>
  </si>
  <si>
    <t>add: Acquisition-related expenses/(income)</t>
  </si>
  <si>
    <t>add: Non-cash interest expense related to convertible senior notes</t>
  </si>
  <si>
    <t>subtract: Tax impact on stock compensation expense</t>
  </si>
  <si>
    <t>subtract: Tax impact on amortization of acquisition-related intangibles</t>
  </si>
  <si>
    <t>add/(subtract): Effects of changes in fair value of contingent consideration</t>
  </si>
  <si>
    <t>subtract: Tax impact on provision for litigation settlement</t>
  </si>
  <si>
    <t>add/(subtract): Tax impact on other (benefits)/expense</t>
  </si>
  <si>
    <t>subtract: Tax impact non-cash interest expense related to convertible senior notes</t>
  </si>
  <si>
    <t>add/(subtract): Non-recurring tax expense/(benefits)</t>
  </si>
  <si>
    <t>subtract: Tax impact on impairment of acquisition-related intangibles, goodwill, long-lived assets and restructuring costs</t>
  </si>
  <si>
    <t>add: Loss on settlement of convertible senior notes</t>
  </si>
  <si>
    <t>subtract: Tax impact on settlement of convertible senior notes</t>
  </si>
  <si>
    <t>Adjusted Net Income</t>
  </si>
  <si>
    <t>Adjusted Net Income Margin</t>
  </si>
  <si>
    <t>Adjusted Diluted earnings per share</t>
  </si>
  <si>
    <t>(a) Per share amounts may not foot due to rounding.</t>
  </si>
  <si>
    <t>($ in thousands)</t>
  </si>
  <si>
    <t>Assets</t>
  </si>
  <si>
    <t>Current assets:</t>
  </si>
  <si>
    <t>Cash and cash equivalents</t>
  </si>
  <si>
    <t>Short-term investments</t>
  </si>
  <si>
    <t>Restricted cash</t>
  </si>
  <si>
    <t>Accounts receivable, net</t>
  </si>
  <si>
    <t>Other current assets</t>
  </si>
  <si>
    <t>Total current assets</t>
  </si>
  <si>
    <t/>
  </si>
  <si>
    <t>Property and equipment, net</t>
  </si>
  <si>
    <t>Operating lease right-of-use assets</t>
  </si>
  <si>
    <t>Deferred tax assets, net</t>
  </si>
  <si>
    <t>Intangible assets, net</t>
  </si>
  <si>
    <t>Goodwill</t>
  </si>
  <si>
    <t>Long-term investments - Equity affiliate</t>
  </si>
  <si>
    <t>Long-term investments - Others</t>
  </si>
  <si>
    <t>Other assets</t>
  </si>
  <si>
    <t>Total assets</t>
  </si>
  <si>
    <t>Liabilities and stockholders' equity</t>
  </si>
  <si>
    <t>Current liabilities:</t>
  </si>
  <si>
    <t>Accounts payable</t>
  </si>
  <si>
    <t>Current portion of long-term borrowings</t>
  </si>
  <si>
    <t>Deferred revenue</t>
  </si>
  <si>
    <t>Accrued employee cost</t>
  </si>
  <si>
    <t>Accrued expenses and other current liabilities</t>
  </si>
  <si>
    <t>Current portion of operating lease liabilities</t>
  </si>
  <si>
    <t>Income taxes payable, net</t>
  </si>
  <si>
    <t>Total current liabilities</t>
  </si>
  <si>
    <t xml:space="preserve">   Long-term borrowings, less current portion</t>
  </si>
  <si>
    <t>Deferred tax liabilities, net</t>
  </si>
  <si>
    <t>Operating lease liabilities, less current portion</t>
  </si>
  <si>
    <t>Other non-current liabilities</t>
  </si>
  <si>
    <t>Total Liabilities</t>
  </si>
  <si>
    <t>ExlService Holdings, Inc. Stockholders’ equity:</t>
  </si>
  <si>
    <t>Common Stock</t>
  </si>
  <si>
    <t>Additional paid-in capital</t>
  </si>
  <si>
    <t>Retained earnings</t>
  </si>
  <si>
    <t>Accumulated other comprehensive Income/(loss)</t>
  </si>
  <si>
    <t>Less: Shares held in treasury</t>
  </si>
  <si>
    <t>Exl Service Holdings, Inc. stockholders' equity</t>
  </si>
  <si>
    <t>Non-controlling Interest</t>
  </si>
  <si>
    <t>Total stockholders' equity</t>
  </si>
  <si>
    <t>Total liabilities and stockholders' equity</t>
  </si>
  <si>
    <t>Cash Flow Statement</t>
  </si>
  <si>
    <t>Q01</t>
  </si>
  <si>
    <t>Q02</t>
  </si>
  <si>
    <t>Q03</t>
  </si>
  <si>
    <t>Q04</t>
  </si>
  <si>
    <t>Cash flows from operating activities</t>
  </si>
  <si>
    <t>Net income</t>
  </si>
  <si>
    <t>Adjustments to reconcile net income to net cash provided by operating activities:</t>
  </si>
  <si>
    <t>Amortization of deferred financing costs</t>
  </si>
  <si>
    <t>Amortization of non-cash interest expense related to convertible notes</t>
  </si>
  <si>
    <t>Stock-based compensation expense</t>
  </si>
  <si>
    <t>Loss on settlement of convertible notes</t>
  </si>
  <si>
    <t>Loss / (Gain) from equity-method investment</t>
  </si>
  <si>
    <t>Non-employee stock options</t>
  </si>
  <si>
    <t>Noncontrolling interest</t>
  </si>
  <si>
    <t>Gain on bargain purchase</t>
  </si>
  <si>
    <t>Unrealized foreign currency exchange (gain)/loss, net</t>
  </si>
  <si>
    <t>Unrealized loss/(gain) on investments</t>
  </si>
  <si>
    <t>Deferred income tax (benefit)/expense</t>
  </si>
  <si>
    <t>Excess tax benefit from stock-based compensation</t>
  </si>
  <si>
    <t>Impairment charges</t>
  </si>
  <si>
    <t>Loss on sale of business unit</t>
  </si>
  <si>
    <t>Allowance/(Reversal) for expected credit losses</t>
  </si>
  <si>
    <t>Others, net</t>
  </si>
  <si>
    <t>Fair value changes in contingent consideration</t>
  </si>
  <si>
    <t>Amortization of operating lease right-of-use assets</t>
  </si>
  <si>
    <t>Change in operating assets and liabilities (net of effect of acquisitions)</t>
  </si>
  <si>
    <t>Accounts receivable</t>
  </si>
  <si>
    <t>Accrued expenses and other liabilities</t>
  </si>
  <si>
    <t>Operating lease liabilities</t>
  </si>
  <si>
    <t>Net cash provided by operating activities</t>
  </si>
  <si>
    <t>Cash flows from investing activities:</t>
  </si>
  <si>
    <t>Purchase of property and equipment</t>
  </si>
  <si>
    <t>Proceeds from sale of property and equipment</t>
  </si>
  <si>
    <t>Investment in equity affiliate</t>
  </si>
  <si>
    <t>Business acquisition (net of cash and cash equivalents acquired)</t>
  </si>
  <si>
    <t>Payment for purchase of non-controlling interest</t>
  </si>
  <si>
    <t xml:space="preserve">Purchase of investments </t>
  </si>
  <si>
    <t>Proceeds from redemption of investments</t>
  </si>
  <si>
    <t>Net Cash Flows from Investing activities</t>
  </si>
  <si>
    <t>Cash flows from financing activities:</t>
  </si>
  <si>
    <t>Proceeds from borrowings</t>
  </si>
  <si>
    <t>Repayment of borrowings</t>
  </si>
  <si>
    <t>Payment of contingent consideration</t>
  </si>
  <si>
    <t>Proceeds from convertible notes</t>
  </si>
  <si>
    <t>Payment of debt issuance cost</t>
  </si>
  <si>
    <t>Principal payments on finance lease obligations</t>
  </si>
  <si>
    <t>Proceeds from exercise of stock options</t>
  </si>
  <si>
    <t>Proceeds from ESPP contribution</t>
  </si>
  <si>
    <t>Acquisition of treasury stock</t>
  </si>
  <si>
    <t>Net Cash Flows from Financing activities</t>
  </si>
  <si>
    <t>Effect of exchange rate changes on cash, cash equivalents and restricted cash</t>
  </si>
  <si>
    <t>Net (decrease)/increase in cash, cash equivalents and restricted cash</t>
  </si>
  <si>
    <t>Cash, cash equivalents and restricted cash at the beginning of the period</t>
  </si>
  <si>
    <t>Cash, cash equivalents and restricted cash at the end of the period</t>
  </si>
  <si>
    <t>(1) Effective from January 1, 2017, On January 1, 2018, The Company adopted the guidance in ASU 2016-18 "Statement of Cash Flows". Refer Form 10-K for the fiscal year ended December 31, 2018 for details.</t>
  </si>
  <si>
    <t xml:space="preserve"> </t>
  </si>
  <si>
    <r>
      <t xml:space="preserve">Revised </t>
    </r>
    <r>
      <rPr>
        <b/>
        <vertAlign val="superscript"/>
        <sz val="16"/>
        <color theme="1"/>
        <rFont val="Calibri"/>
        <family val="2"/>
        <scheme val="minor"/>
      </rPr>
      <t>(1)</t>
    </r>
  </si>
  <si>
    <r>
      <t>2020</t>
    </r>
    <r>
      <rPr>
        <b/>
        <vertAlign val="superscript"/>
        <sz val="16"/>
        <rFont val="Calibri"/>
        <family val="2"/>
        <scheme val="minor"/>
      </rPr>
      <t>(1)</t>
    </r>
  </si>
  <si>
    <t>FY 18</t>
  </si>
  <si>
    <t>FY 19</t>
  </si>
  <si>
    <t>FY 20</t>
  </si>
  <si>
    <t>FY 21</t>
  </si>
  <si>
    <t>FY 22</t>
  </si>
  <si>
    <t>Revenues</t>
  </si>
  <si>
    <r>
      <t>Digital Operations and Solutions</t>
    </r>
    <r>
      <rPr>
        <b/>
        <vertAlign val="superscript"/>
        <sz val="16"/>
        <color rgb="FF000000"/>
        <rFont val="Arial"/>
        <family val="2"/>
      </rPr>
      <t>(2)</t>
    </r>
  </si>
  <si>
    <t>Y/Y revenue growth</t>
  </si>
  <si>
    <t xml:space="preserve">Y/Y constant currency revenue growth % </t>
  </si>
  <si>
    <t>GM</t>
  </si>
  <si>
    <t>GM%</t>
  </si>
  <si>
    <t>Insurance</t>
  </si>
  <si>
    <t>Healthcare</t>
  </si>
  <si>
    <t>Emerging</t>
  </si>
  <si>
    <t>Travel, Transportation and Logistics</t>
  </si>
  <si>
    <t>Finance &amp; Accounting</t>
  </si>
  <si>
    <t>All Other</t>
  </si>
  <si>
    <t xml:space="preserve">Analytics </t>
  </si>
  <si>
    <t>Total Revenues</t>
  </si>
  <si>
    <t>(1) Effective January 1, 2020, the Company made certain operational and structural changes to more closely integrate its businesses and to simplify its organizational structure and accordingly new reportable segments are as follows</t>
  </si>
  <si>
    <t>Insurance, Healthcare, Emerging Business and Analytics.</t>
  </si>
  <si>
    <t>(2) The Company's operations management services are a part of its digital operations and solutions business and they are referred to as “digital operations and solutions” or “digital solutions.”</t>
  </si>
  <si>
    <r>
      <t xml:space="preserve">Revenue by Industry </t>
    </r>
    <r>
      <rPr>
        <b/>
        <vertAlign val="superscript"/>
        <sz val="16"/>
        <color indexed="8"/>
        <rFont val="Arial"/>
        <family val="2"/>
      </rPr>
      <t>(3)</t>
    </r>
  </si>
  <si>
    <t>Emerging Business</t>
  </si>
  <si>
    <t>Utilities</t>
  </si>
  <si>
    <t>Banking and Financial Services</t>
  </si>
  <si>
    <t>Other</t>
  </si>
  <si>
    <t>Revenue by Geography</t>
  </si>
  <si>
    <t>United States</t>
  </si>
  <si>
    <t>United Kingdom</t>
  </si>
  <si>
    <t>Rest of world</t>
  </si>
  <si>
    <t xml:space="preserve">(3)  Revenue by Industry includes all solutions offered by EXL for each vertical listed.  </t>
  </si>
  <si>
    <t>For example, Insurance will include Digital operations, Finance and Accounting, Analytics and Consulting work.</t>
  </si>
  <si>
    <t>Headcount</t>
  </si>
  <si>
    <t>Client Concentration</t>
  </si>
  <si>
    <t>Top - 1</t>
  </si>
  <si>
    <t>Top - 3</t>
  </si>
  <si>
    <t>Top - 5</t>
  </si>
  <si>
    <t>Top - 10</t>
  </si>
  <si>
    <t xml:space="preserve">Attrition </t>
  </si>
  <si>
    <t>Exchange Rates (average of month end exchange rates)</t>
  </si>
  <si>
    <t>Indian rupee / U.S. dollar</t>
  </si>
  <si>
    <t xml:space="preserve">    Q/Q Appreciation / (Depreciation)</t>
  </si>
  <si>
    <t xml:space="preserve">    Y/Y Appreciation / (Depreciation)</t>
  </si>
  <si>
    <t>U.K. pound sterling / U.S. dollar</t>
  </si>
  <si>
    <t xml:space="preserve">    Q/Q (Appreciation) / Depreciation</t>
  </si>
  <si>
    <t xml:space="preserve">    Y/Y (Appreciation) / Depreciation</t>
  </si>
  <si>
    <t>Philippine peso / U.S. dollar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</si>
</sst>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_(* #,##0.0_);_(* \(#,##0.0\);_(* &quot;-&quot;??_);_(@_)"/>
    <numFmt numFmtId="167" formatCode="#,##0.0"/>
    <numFmt numFmtId="168" formatCode="&quot;$&quot;#,##0.0_);\(&quot;$&quot;#,##0.0\)"/>
    <numFmt numFmtId="169" formatCode="_(&quot;$&quot;* #,##0_);_(&quot;$&quot;* \(#,##0\);_(&quot;$&quot;* &quot;-&quot;??_);_(@_)"/>
  </numFmts>
  <fonts count="49" x14ac:knownFonts="1">
    <font>
      <sz val="11"/>
      <color theme="1"/>
      <name val="Calibri"/>
      <family val="2"/>
      <scheme val="minor"/>
    </font>
    <font>
      <sz val="11"/>
      <color indexed="8"/>
      <name val="Calibri"/>
      <family val="2"/>
    </font>
    <font>
      <sz val="10"/>
      <name val="Arial"/>
      <family val="2"/>
    </font>
    <font>
      <b/>
      <sz val="10"/>
      <color indexed="8"/>
      <name val="Arial"/>
      <family val="2"/>
    </font>
    <font>
      <sz val="10"/>
      <color indexed="8"/>
      <name val="Arial"/>
      <family val="2"/>
    </font>
    <font>
      <b/>
      <sz val="10"/>
      <name val="Arial"/>
      <family val="2"/>
    </font>
    <font>
      <sz val="10"/>
      <color indexed="8"/>
      <name val="Arial"/>
      <family val="2"/>
    </font>
    <font>
      <b/>
      <sz val="10"/>
      <color indexed="20"/>
      <name val="Arial"/>
      <family val="2"/>
    </font>
    <font>
      <b/>
      <sz val="10"/>
      <color indexed="0"/>
      <name val="Arial"/>
      <family val="2"/>
    </font>
    <font>
      <sz val="10"/>
      <color indexed="0"/>
      <name val="Arial"/>
      <family val="2"/>
    </font>
    <font>
      <i/>
      <sz val="10"/>
      <name val="Arial"/>
      <family val="2"/>
    </font>
    <font>
      <sz val="10"/>
      <color indexed="28"/>
      <name val="Arial"/>
      <family val="2"/>
    </font>
    <font>
      <b/>
      <sz val="10"/>
      <color indexed="28"/>
      <name val="Arial"/>
      <family val="2"/>
    </font>
    <font>
      <sz val="10"/>
      <color indexed="10"/>
      <name val="Arial"/>
      <family val="2"/>
    </font>
    <font>
      <b/>
      <sz val="12"/>
      <color indexed="8"/>
      <name val="Arial"/>
      <family val="2"/>
    </font>
    <font>
      <sz val="11"/>
      <color indexed="8"/>
      <name val="Calibri"/>
      <family val="2"/>
    </font>
    <font>
      <sz val="8"/>
      <name val="Calibri"/>
      <family val="2"/>
    </font>
    <font>
      <b/>
      <u/>
      <sz val="10"/>
      <name val="Arial"/>
      <family val="2"/>
    </font>
    <font>
      <u/>
      <sz val="11"/>
      <color theme="10"/>
      <name val="Calibri"/>
      <family val="2"/>
    </font>
    <font>
      <sz val="11"/>
      <color theme="1"/>
      <name val="Calibri"/>
      <family val="2"/>
      <scheme val="minor"/>
    </font>
    <font>
      <sz val="16"/>
      <color indexed="8"/>
      <name val="Arial"/>
      <family val="2"/>
    </font>
    <font>
      <sz val="16"/>
      <name val="Arial"/>
      <family val="2"/>
    </font>
    <font>
      <sz val="16"/>
      <color theme="1"/>
      <name val="Calibri"/>
      <family val="2"/>
      <scheme val="minor"/>
    </font>
    <font>
      <b/>
      <sz val="16"/>
      <name val="Arial"/>
      <family val="2"/>
    </font>
    <font>
      <b/>
      <sz val="16"/>
      <color indexed="8"/>
      <name val="Arial"/>
      <family val="2"/>
    </font>
    <font>
      <sz val="16"/>
      <color rgb="FFFF0000"/>
      <name val="Arial"/>
      <family val="2"/>
    </font>
    <font>
      <b/>
      <sz val="16"/>
      <color theme="1"/>
      <name val="Calibri"/>
      <family val="2"/>
      <scheme val="minor"/>
    </font>
    <font>
      <b/>
      <vertAlign val="superscript"/>
      <sz val="16"/>
      <color theme="1"/>
      <name val="Calibri"/>
      <family val="2"/>
      <scheme val="minor"/>
    </font>
    <font>
      <sz val="16"/>
      <color theme="0"/>
      <name val="Calibri"/>
      <family val="2"/>
      <scheme val="minor"/>
    </font>
    <font>
      <sz val="10"/>
      <color rgb="FFFF0000"/>
      <name val="Arial"/>
      <family val="2"/>
    </font>
    <font>
      <b/>
      <sz val="16"/>
      <name val="Calibri"/>
      <family val="2"/>
      <scheme val="minor"/>
    </font>
    <font>
      <b/>
      <vertAlign val="superscript"/>
      <sz val="16"/>
      <name val="Calibri"/>
      <family val="2"/>
      <scheme val="minor"/>
    </font>
    <font>
      <sz val="16"/>
      <color rgb="FFFF0000"/>
      <name val="Calibri"/>
      <family val="2"/>
      <scheme val="minor"/>
    </font>
    <font>
      <b/>
      <vertAlign val="superscript"/>
      <sz val="16"/>
      <color indexed="8"/>
      <name val="Arial"/>
      <family val="2"/>
    </font>
    <font>
      <vertAlign val="superscript"/>
      <sz val="10"/>
      <name val="Arial"/>
      <family val="2"/>
    </font>
    <font>
      <b/>
      <i/>
      <sz val="12"/>
      <color rgb="FFFF0000"/>
      <name val="Arial"/>
      <family val="2"/>
    </font>
    <font>
      <b/>
      <sz val="10"/>
      <color rgb="FFFF0000"/>
      <name val="Arial"/>
      <family val="2"/>
    </font>
    <font>
      <sz val="15"/>
      <color indexed="8"/>
      <name val="Arial"/>
      <family val="2"/>
    </font>
    <font>
      <sz val="9"/>
      <name val="Arial"/>
      <family val="2"/>
    </font>
    <font>
      <b/>
      <sz val="9"/>
      <name val="Arial"/>
      <family val="2"/>
    </font>
    <font>
      <sz val="14"/>
      <color rgb="FFFF0000"/>
      <name val="Calibri"/>
      <family val="2"/>
      <scheme val="minor"/>
    </font>
    <font>
      <b/>
      <i/>
      <sz val="14"/>
      <color rgb="FFFF0000"/>
      <name val="Arial"/>
      <family val="2"/>
    </font>
    <font>
      <b/>
      <i/>
      <sz val="10"/>
      <color rgb="FFFF0000"/>
      <name val="Arial"/>
      <family val="2"/>
    </font>
    <font>
      <sz val="10"/>
      <color rgb="FFFF0000"/>
      <name val="Calibri"/>
      <family val="2"/>
      <scheme val="minor"/>
    </font>
    <font>
      <b/>
      <sz val="8"/>
      <name val="Arial"/>
      <family val="2"/>
    </font>
    <font>
      <b/>
      <vertAlign val="superscript"/>
      <sz val="16"/>
      <color rgb="FF000000"/>
      <name val="Arial"/>
      <family val="2"/>
    </font>
    <font>
      <b/>
      <i/>
      <sz val="8"/>
      <color rgb="FFFF0000"/>
      <name val="Arial"/>
      <family val="2"/>
    </font>
    <font>
      <b/>
      <sz val="8"/>
      <color rgb="FFFF0000"/>
      <name val="Arial"/>
      <family val="2"/>
    </font>
    <font>
      <sz val="9"/>
      <color rgb="FFFF0000"/>
      <name val="Arial"/>
      <family val="2"/>
    </font>
  </fonts>
  <fills count="9">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44"/>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rgb="FFFFFF00"/>
        <bgColor indexed="64"/>
      </patternFill>
    </fill>
  </fills>
  <borders count="1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9">
    <xf numFmtId="0" fontId="0" fillId="0" borderId="0"/>
    <xf numFmtId="0" fontId="2" fillId="0" borderId="0"/>
    <xf numFmtId="43" fontId="1" fillId="0" borderId="0" applyFont="0" applyFill="0" applyBorder="0" applyAlignment="0" applyProtection="0"/>
    <xf numFmtId="43" fontId="15" fillId="0" borderId="0" applyFont="0" applyFill="0" applyBorder="0" applyAlignment="0" applyProtection="0"/>
    <xf numFmtId="0" fontId="18" fillId="0" borderId="0" applyNumberFormat="0" applyFill="0" applyBorder="0" applyAlignment="0" applyProtection="0">
      <alignment vertical="top"/>
      <protection locked="0"/>
    </xf>
    <xf numFmtId="9" fontId="1" fillId="0" borderId="0" applyFont="0" applyFill="0" applyBorder="0" applyAlignment="0" applyProtection="0"/>
    <xf numFmtId="9" fontId="15" fillId="0" borderId="0" applyFont="0" applyFill="0" applyBorder="0" applyAlignment="0" applyProtection="0"/>
    <xf numFmtId="9" fontId="19" fillId="0" borderId="0" applyFont="0" applyFill="0" applyBorder="0" applyAlignment="0" applyProtection="0"/>
    <xf numFmtId="44" fontId="19" fillId="0" borderId="0" applyFont="0" applyFill="0" applyBorder="0" applyAlignment="0" applyProtection="0"/>
  </cellStyleXfs>
  <cellXfs count="274">
    <xf numFmtId="0" fontId="0" fillId="0" borderId="0" xfId="0"/>
    <xf numFmtId="0" fontId="3" fillId="0" borderId="0" xfId="0" applyFont="1"/>
    <xf numFmtId="0" fontId="4" fillId="0" borderId="0" xfId="0" applyFont="1"/>
    <xf numFmtId="0" fontId="3" fillId="0" borderId="0" xfId="0" applyFont="1" applyAlignment="1">
      <alignment horizontal="center"/>
    </xf>
    <xf numFmtId="0" fontId="5" fillId="0" borderId="0" xfId="0" applyFont="1" applyAlignment="1">
      <alignment horizontal="center"/>
    </xf>
    <xf numFmtId="0" fontId="6" fillId="0" borderId="0" xfId="0" applyFont="1"/>
    <xf numFmtId="0" fontId="4" fillId="0" borderId="0" xfId="0" applyFont="1" applyAlignment="1">
      <alignment horizontal="center"/>
    </xf>
    <xf numFmtId="0" fontId="3" fillId="0" borderId="0" xfId="0" applyFont="1" applyAlignment="1">
      <alignment horizontal="left"/>
    </xf>
    <xf numFmtId="0" fontId="7" fillId="0" borderId="0" xfId="0" applyFont="1"/>
    <xf numFmtId="10" fontId="4" fillId="0" borderId="0" xfId="0" applyNumberFormat="1" applyFont="1"/>
    <xf numFmtId="0" fontId="5" fillId="0" borderId="0" xfId="0" applyFont="1"/>
    <xf numFmtId="0" fontId="8" fillId="0" borderId="0" xfId="0" applyFont="1"/>
    <xf numFmtId="0" fontId="9" fillId="0" borderId="0" xfId="0" applyFont="1" applyAlignment="1">
      <alignment horizontal="left" indent="1"/>
    </xf>
    <xf numFmtId="0" fontId="9" fillId="0" borderId="0" xfId="0" applyFont="1"/>
    <xf numFmtId="0" fontId="9" fillId="0" borderId="0" xfId="0" applyFont="1" applyAlignment="1">
      <alignment horizontal="right"/>
    </xf>
    <xf numFmtId="0" fontId="3" fillId="0" borderId="0" xfId="0" applyFont="1" applyAlignment="1">
      <alignment horizontal="left" wrapText="1"/>
    </xf>
    <xf numFmtId="0" fontId="9" fillId="0" borderId="0" xfId="0" applyFont="1" applyAlignment="1">
      <alignment wrapText="1"/>
    </xf>
    <xf numFmtId="0" fontId="9" fillId="0" borderId="0" xfId="0" applyFont="1" applyAlignment="1">
      <alignment horizontal="left" wrapText="1" indent="1"/>
    </xf>
    <xf numFmtId="0" fontId="8" fillId="0" borderId="0" xfId="0" applyFont="1" applyAlignment="1">
      <alignment wrapText="1"/>
    </xf>
    <xf numFmtId="0" fontId="9" fillId="0" borderId="0" xfId="0" applyFont="1" applyAlignment="1">
      <alignment horizontal="right" wrapText="1"/>
    </xf>
    <xf numFmtId="0" fontId="4" fillId="0" borderId="0" xfId="0" applyFont="1" applyAlignment="1">
      <alignment horizontal="left" wrapText="1"/>
    </xf>
    <xf numFmtId="0" fontId="2" fillId="0" borderId="0" xfId="0" applyFont="1"/>
    <xf numFmtId="0" fontId="5" fillId="0" borderId="0" xfId="0" applyFont="1" applyAlignment="1">
      <alignment horizontal="left"/>
    </xf>
    <xf numFmtId="164" fontId="5" fillId="0" borderId="0" xfId="2" applyNumberFormat="1" applyFont="1"/>
    <xf numFmtId="164" fontId="2" fillId="0" borderId="0" xfId="2" applyNumberFormat="1" applyFont="1"/>
    <xf numFmtId="5" fontId="2" fillId="0" borderId="0" xfId="2" applyNumberFormat="1" applyFont="1" applyFill="1"/>
    <xf numFmtId="164" fontId="2" fillId="0" borderId="0" xfId="2" applyNumberFormat="1" applyFont="1" applyFill="1"/>
    <xf numFmtId="7" fontId="2" fillId="0" borderId="0" xfId="2" applyNumberFormat="1" applyFont="1"/>
    <xf numFmtId="43" fontId="2" fillId="0" borderId="0" xfId="2" applyFont="1"/>
    <xf numFmtId="165" fontId="10" fillId="0" borderId="0" xfId="5" applyNumberFormat="1" applyFont="1"/>
    <xf numFmtId="165" fontId="10" fillId="0" borderId="0" xfId="5" applyNumberFormat="1" applyFont="1" applyAlignment="1">
      <alignment horizontal="right"/>
    </xf>
    <xf numFmtId="0" fontId="9" fillId="0" borderId="0" xfId="0" applyFont="1" applyAlignment="1">
      <alignment horizontal="left" indent="2"/>
    </xf>
    <xf numFmtId="0" fontId="11" fillId="0" borderId="0" xfId="0" applyFont="1"/>
    <xf numFmtId="0" fontId="12" fillId="0" borderId="0" xfId="0" applyFont="1"/>
    <xf numFmtId="5" fontId="5" fillId="2" borderId="1" xfId="2" applyNumberFormat="1" applyFont="1" applyFill="1" applyBorder="1"/>
    <xf numFmtId="0" fontId="8" fillId="0" borderId="1" xfId="0" applyFont="1" applyBorder="1" applyAlignment="1">
      <alignment wrapText="1"/>
    </xf>
    <xf numFmtId="0" fontId="3" fillId="0" borderId="1" xfId="0" applyFont="1" applyBorder="1"/>
    <xf numFmtId="0" fontId="2" fillId="0" borderId="0" xfId="0" applyFont="1" applyAlignment="1">
      <alignment horizontal="left" indent="1"/>
    </xf>
    <xf numFmtId="0" fontId="8" fillId="2" borderId="1" xfId="0" applyFont="1" applyFill="1" applyBorder="1" applyAlignment="1">
      <alignment wrapText="1"/>
    </xf>
    <xf numFmtId="0" fontId="3" fillId="2" borderId="1" xfId="0" applyFont="1" applyFill="1" applyBorder="1"/>
    <xf numFmtId="0" fontId="3" fillId="2" borderId="0" xfId="0" applyFont="1" applyFill="1"/>
    <xf numFmtId="0" fontId="5" fillId="0" borderId="0" xfId="0" applyFont="1" applyAlignment="1">
      <alignment wrapText="1"/>
    </xf>
    <xf numFmtId="0" fontId="5" fillId="0" borderId="1" xfId="0" applyFont="1" applyBorder="1" applyAlignment="1">
      <alignment horizontal="left" wrapText="1" indent="1"/>
    </xf>
    <xf numFmtId="0" fontId="8" fillId="2" borderId="1" xfId="0" applyFont="1" applyFill="1" applyBorder="1"/>
    <xf numFmtId="0" fontId="5" fillId="2" borderId="1" xfId="0" applyFont="1" applyFill="1" applyBorder="1"/>
    <xf numFmtId="37" fontId="2" fillId="0" borderId="0" xfId="2" applyNumberFormat="1" applyFont="1"/>
    <xf numFmtId="0" fontId="5" fillId="2" borderId="4" xfId="1" applyFont="1" applyFill="1" applyBorder="1"/>
    <xf numFmtId="0" fontId="10" fillId="0" borderId="5" xfId="1" applyFont="1" applyBorder="1" applyAlignment="1">
      <alignment horizontal="left" indent="2"/>
    </xf>
    <xf numFmtId="0" fontId="2" fillId="0" borderId="5" xfId="1" applyBorder="1" applyAlignment="1">
      <alignment horizontal="left" indent="1"/>
    </xf>
    <xf numFmtId="0" fontId="5" fillId="0" borderId="5" xfId="1" applyFont="1" applyBorder="1"/>
    <xf numFmtId="0" fontId="2" fillId="0" borderId="5" xfId="0" applyFont="1" applyBorder="1" applyAlignment="1">
      <alignment horizontal="left" indent="1"/>
    </xf>
    <xf numFmtId="0" fontId="2" fillId="0" borderId="5" xfId="1" applyBorder="1"/>
    <xf numFmtId="5" fontId="5" fillId="2" borderId="4" xfId="2" applyNumberFormat="1" applyFont="1" applyFill="1" applyBorder="1"/>
    <xf numFmtId="5" fontId="2" fillId="0" borderId="0" xfId="0" applyNumberFormat="1" applyFont="1"/>
    <xf numFmtId="0" fontId="5" fillId="0" borderId="0" xfId="0" applyFont="1" applyAlignment="1">
      <alignment horizontal="left" wrapText="1" indent="1"/>
    </xf>
    <xf numFmtId="0" fontId="9" fillId="3" borderId="0" xfId="0" applyFont="1" applyFill="1" applyAlignment="1">
      <alignment horizontal="left" wrapText="1" indent="2"/>
    </xf>
    <xf numFmtId="0" fontId="9" fillId="3" borderId="0" xfId="0" applyFont="1" applyFill="1" applyAlignment="1">
      <alignment horizontal="left" wrapText="1" indent="1"/>
    </xf>
    <xf numFmtId="0" fontId="2" fillId="3" borderId="0" xfId="0" applyFont="1" applyFill="1" applyAlignment="1">
      <alignment horizontal="left" wrapText="1" indent="1"/>
    </xf>
    <xf numFmtId="0" fontId="4" fillId="3" borderId="0" xfId="0" applyFont="1" applyFill="1"/>
    <xf numFmtId="0" fontId="9" fillId="3" borderId="0" xfId="0" applyFont="1" applyFill="1" applyAlignment="1">
      <alignment wrapText="1"/>
    </xf>
    <xf numFmtId="0" fontId="3" fillId="4" borderId="1" xfId="0" applyFont="1" applyFill="1" applyBorder="1"/>
    <xf numFmtId="0" fontId="4" fillId="4" borderId="1" xfId="0" applyFont="1" applyFill="1" applyBorder="1"/>
    <xf numFmtId="164" fontId="2" fillId="0" borderId="6" xfId="2" applyNumberFormat="1" applyFont="1" applyFill="1" applyBorder="1"/>
    <xf numFmtId="16" fontId="3" fillId="0" borderId="0" xfId="0" applyNumberFormat="1" applyFont="1" applyAlignment="1">
      <alignment horizontal="center"/>
    </xf>
    <xf numFmtId="165" fontId="10" fillId="0" borderId="6" xfId="5" applyNumberFormat="1" applyFont="1" applyBorder="1"/>
    <xf numFmtId="164" fontId="5" fillId="4" borderId="1" xfId="2" applyNumberFormat="1" applyFont="1" applyFill="1" applyBorder="1"/>
    <xf numFmtId="0" fontId="4" fillId="0" borderId="0" xfId="0" applyFont="1" applyAlignment="1">
      <alignment horizontal="left" indent="1"/>
    </xf>
    <xf numFmtId="0" fontId="3" fillId="4" borderId="1" xfId="0" applyFont="1" applyFill="1" applyBorder="1" applyAlignment="1">
      <alignment horizontal="center"/>
    </xf>
    <xf numFmtId="0" fontId="3" fillId="4" borderId="1" xfId="0" applyFont="1" applyFill="1" applyBorder="1" applyAlignment="1">
      <alignment horizontal="left"/>
    </xf>
    <xf numFmtId="37" fontId="2" fillId="0" borderId="0" xfId="0" applyNumberFormat="1" applyFont="1"/>
    <xf numFmtId="165" fontId="10" fillId="0" borderId="2" xfId="5" applyNumberFormat="1" applyFont="1" applyBorder="1" applyAlignment="1">
      <alignment horizontal="right"/>
    </xf>
    <xf numFmtId="0" fontId="14" fillId="0" borderId="0" xfId="0" applyFont="1" applyAlignment="1">
      <alignment horizontal="center"/>
    </xf>
    <xf numFmtId="0" fontId="2" fillId="0" borderId="5" xfId="1" applyBorder="1" applyAlignment="1">
      <alignment horizontal="left" indent="2"/>
    </xf>
    <xf numFmtId="0" fontId="2" fillId="0" borderId="7" xfId="1" applyBorder="1" applyAlignment="1">
      <alignment horizontal="left" indent="1"/>
    </xf>
    <xf numFmtId="0" fontId="2" fillId="4" borderId="1" xfId="0" applyFont="1" applyFill="1" applyBorder="1"/>
    <xf numFmtId="9" fontId="2" fillId="0" borderId="0" xfId="5" applyFont="1" applyBorder="1"/>
    <xf numFmtId="165" fontId="5" fillId="4" borderId="1" xfId="0" applyNumberFormat="1" applyFont="1" applyFill="1" applyBorder="1"/>
    <xf numFmtId="5" fontId="4" fillId="0" borderId="0" xfId="0" applyNumberFormat="1" applyFont="1"/>
    <xf numFmtId="165" fontId="2" fillId="0" borderId="0" xfId="5" applyNumberFormat="1" applyFont="1"/>
    <xf numFmtId="165" fontId="10" fillId="0" borderId="0" xfId="5" applyNumberFormat="1" applyFont="1" applyBorder="1" applyAlignment="1">
      <alignment horizontal="right"/>
    </xf>
    <xf numFmtId="164" fontId="2" fillId="0" borderId="0" xfId="2" applyNumberFormat="1" applyFont="1" applyBorder="1" applyAlignment="1">
      <alignment horizontal="right"/>
    </xf>
    <xf numFmtId="164" fontId="5" fillId="2" borderId="1" xfId="2" applyNumberFormat="1" applyFont="1" applyFill="1" applyBorder="1"/>
    <xf numFmtId="165" fontId="10" fillId="0" borderId="0" xfId="5" applyNumberFormat="1" applyFont="1" applyBorder="1"/>
    <xf numFmtId="7" fontId="5" fillId="2" borderId="1" xfId="2" applyNumberFormat="1" applyFont="1" applyFill="1" applyBorder="1"/>
    <xf numFmtId="0" fontId="10" fillId="0" borderId="5" xfId="0" applyFont="1" applyBorder="1" applyAlignment="1">
      <alignment horizontal="left" indent="2"/>
    </xf>
    <xf numFmtId="0" fontId="5" fillId="2" borderId="8" xfId="1" applyFont="1" applyFill="1" applyBorder="1"/>
    <xf numFmtId="0" fontId="10" fillId="0" borderId="7" xfId="1" applyFont="1" applyBorder="1" applyAlignment="1">
      <alignment horizontal="left" indent="2"/>
    </xf>
    <xf numFmtId="165" fontId="10" fillId="0" borderId="5" xfId="5" applyNumberFormat="1" applyFont="1" applyBorder="1" applyAlignment="1">
      <alignment horizontal="right"/>
    </xf>
    <xf numFmtId="10" fontId="2" fillId="0" borderId="0" xfId="0" applyNumberFormat="1" applyFont="1"/>
    <xf numFmtId="0" fontId="10" fillId="0" borderId="0" xfId="1" applyFont="1" applyAlignment="1">
      <alignment horizontal="left" indent="2"/>
    </xf>
    <xf numFmtId="0" fontId="10" fillId="0" borderId="2" xfId="1" applyFont="1" applyBorder="1" applyAlignment="1">
      <alignment horizontal="left" indent="2"/>
    </xf>
    <xf numFmtId="164" fontId="4" fillId="0" borderId="0" xfId="3" applyNumberFormat="1" applyFont="1"/>
    <xf numFmtId="5" fontId="3" fillId="2" borderId="1" xfId="3" applyNumberFormat="1" applyFont="1" applyFill="1" applyBorder="1"/>
    <xf numFmtId="5" fontId="3" fillId="0" borderId="1" xfId="3" applyNumberFormat="1" applyFont="1" applyBorder="1"/>
    <xf numFmtId="0" fontId="3" fillId="0" borderId="1" xfId="0" applyFont="1" applyBorder="1" applyAlignment="1">
      <alignment wrapText="1"/>
    </xf>
    <xf numFmtId="164" fontId="4" fillId="0" borderId="0" xfId="3" applyNumberFormat="1" applyFont="1" applyBorder="1"/>
    <xf numFmtId="0" fontId="4" fillId="0" borderId="0" xfId="0" applyFont="1" applyAlignment="1">
      <alignment wrapText="1"/>
    </xf>
    <xf numFmtId="164" fontId="4" fillId="3" borderId="0" xfId="3" applyNumberFormat="1" applyFont="1" applyFill="1"/>
    <xf numFmtId="5" fontId="4" fillId="3" borderId="0" xfId="3" applyNumberFormat="1" applyFont="1" applyFill="1"/>
    <xf numFmtId="43" fontId="4" fillId="3" borderId="0" xfId="3" applyFont="1" applyFill="1"/>
    <xf numFmtId="164" fontId="3" fillId="3" borderId="0" xfId="3" applyNumberFormat="1" applyFont="1" applyFill="1"/>
    <xf numFmtId="164" fontId="4" fillId="0" borderId="0" xfId="3" applyNumberFormat="1" applyFont="1" applyFill="1" applyBorder="1"/>
    <xf numFmtId="164" fontId="3" fillId="2" borderId="1" xfId="3" applyNumberFormat="1" applyFont="1" applyFill="1" applyBorder="1"/>
    <xf numFmtId="164" fontId="13" fillId="3" borderId="0" xfId="3" applyNumberFormat="1" applyFont="1" applyFill="1"/>
    <xf numFmtId="5" fontId="3" fillId="3" borderId="1" xfId="3" applyNumberFormat="1" applyFont="1" applyFill="1" applyBorder="1"/>
    <xf numFmtId="164" fontId="4" fillId="0" borderId="1" xfId="3" applyNumberFormat="1" applyFont="1" applyBorder="1"/>
    <xf numFmtId="0" fontId="10" fillId="0" borderId="0" xfId="0" applyFont="1"/>
    <xf numFmtId="167" fontId="2" fillId="0" borderId="0" xfId="0" applyNumberFormat="1" applyFont="1"/>
    <xf numFmtId="9" fontId="10" fillId="0" borderId="0" xfId="5" applyFont="1"/>
    <xf numFmtId="0" fontId="17" fillId="0" borderId="0" xfId="0" applyFont="1"/>
    <xf numFmtId="4" fontId="2" fillId="0" borderId="0" xfId="0" applyNumberFormat="1" applyFont="1"/>
    <xf numFmtId="5" fontId="5" fillId="0" borderId="0" xfId="2" applyNumberFormat="1" applyFont="1" applyFill="1"/>
    <xf numFmtId="165" fontId="10" fillId="0" borderId="0" xfId="5" applyNumberFormat="1" applyFont="1" applyFill="1"/>
    <xf numFmtId="164" fontId="4" fillId="0" borderId="0" xfId="2" applyNumberFormat="1" applyFont="1"/>
    <xf numFmtId="165" fontId="10" fillId="0" borderId="2" xfId="5" applyNumberFormat="1" applyFont="1" applyFill="1" applyBorder="1"/>
    <xf numFmtId="0" fontId="18" fillId="0" borderId="0" xfId="4" applyBorder="1" applyAlignment="1" applyProtection="1"/>
    <xf numFmtId="0" fontId="5" fillId="0" borderId="0" xfId="0" applyFont="1" applyAlignment="1">
      <alignment horizontal="center" vertical="center"/>
    </xf>
    <xf numFmtId="0" fontId="3" fillId="0" borderId="0" xfId="0" applyFont="1" applyAlignment="1">
      <alignment horizontal="right"/>
    </xf>
    <xf numFmtId="0" fontId="20" fillId="0" borderId="0" xfId="0" applyFont="1" applyAlignment="1">
      <alignment horizontal="center"/>
    </xf>
    <xf numFmtId="0" fontId="20" fillId="0" borderId="0" xfId="0" applyFont="1"/>
    <xf numFmtId="0" fontId="22" fillId="0" borderId="0" xfId="0" applyFont="1"/>
    <xf numFmtId="0" fontId="23" fillId="0" borderId="0" xfId="0" applyFont="1" applyAlignment="1">
      <alignment horizontal="center"/>
    </xf>
    <xf numFmtId="0" fontId="24" fillId="0" borderId="0" xfId="0" applyFont="1"/>
    <xf numFmtId="0" fontId="20" fillId="4" borderId="1" xfId="0" applyFont="1" applyFill="1" applyBorder="1" applyAlignment="1">
      <alignment horizontal="center"/>
    </xf>
    <xf numFmtId="0" fontId="24" fillId="4" borderId="1" xfId="0" applyFont="1" applyFill="1" applyBorder="1"/>
    <xf numFmtId="5" fontId="23" fillId="4" borderId="1" xfId="2" applyNumberFormat="1" applyFont="1" applyFill="1" applyBorder="1"/>
    <xf numFmtId="0" fontId="20" fillId="0" borderId="0" xfId="0" applyFont="1" applyAlignment="1">
      <alignment horizontal="left" indent="1"/>
    </xf>
    <xf numFmtId="165" fontId="20" fillId="0" borderId="0" xfId="5" applyNumberFormat="1" applyFont="1" applyBorder="1"/>
    <xf numFmtId="165" fontId="21" fillId="0" borderId="0" xfId="5" applyNumberFormat="1" applyFont="1" applyBorder="1"/>
    <xf numFmtId="37" fontId="21" fillId="3" borderId="0" xfId="2" applyNumberFormat="1" applyFont="1" applyFill="1" applyBorder="1"/>
    <xf numFmtId="0" fontId="24" fillId="4" borderId="0" xfId="0" applyFont="1" applyFill="1"/>
    <xf numFmtId="42" fontId="23" fillId="4" borderId="0" xfId="2" applyNumberFormat="1" applyFont="1" applyFill="1" applyBorder="1"/>
    <xf numFmtId="0" fontId="20" fillId="0" borderId="0" xfId="0" applyFont="1" applyAlignment="1">
      <alignment horizontal="left"/>
    </xf>
    <xf numFmtId="165" fontId="20" fillId="0" borderId="0" xfId="5" applyNumberFormat="1" applyFont="1" applyFill="1" applyBorder="1"/>
    <xf numFmtId="165" fontId="21" fillId="0" borderId="0" xfId="5" applyNumberFormat="1" applyFont="1" applyFill="1" applyBorder="1"/>
    <xf numFmtId="0" fontId="21" fillId="0" borderId="0" xfId="0" applyFont="1" applyAlignment="1">
      <alignment horizontal="left" indent="1"/>
    </xf>
    <xf numFmtId="0" fontId="25" fillId="0" borderId="0" xfId="0" applyFont="1" applyAlignment="1">
      <alignment horizontal="center"/>
    </xf>
    <xf numFmtId="164" fontId="2" fillId="0" borderId="0" xfId="0" applyNumberFormat="1" applyFont="1"/>
    <xf numFmtId="0" fontId="4" fillId="0" borderId="0" xfId="0" applyFont="1" applyAlignment="1">
      <alignment horizontal="right"/>
    </xf>
    <xf numFmtId="5" fontId="3" fillId="0" borderId="0" xfId="0" applyNumberFormat="1" applyFont="1" applyAlignment="1">
      <alignment horizontal="right"/>
    </xf>
    <xf numFmtId="5" fontId="5" fillId="2" borderId="1" xfId="3" applyNumberFormat="1" applyFont="1" applyFill="1" applyBorder="1" applyAlignment="1">
      <alignment horizontal="right"/>
    </xf>
    <xf numFmtId="5" fontId="4" fillId="0" borderId="0" xfId="0" applyNumberFormat="1" applyFont="1" applyAlignment="1">
      <alignment horizontal="right"/>
    </xf>
    <xf numFmtId="5" fontId="5" fillId="0" borderId="0" xfId="3" applyNumberFormat="1" applyFont="1" applyAlignment="1">
      <alignment horizontal="right"/>
    </xf>
    <xf numFmtId="37" fontId="4" fillId="0" borderId="0" xfId="0" applyNumberFormat="1" applyFont="1" applyAlignment="1">
      <alignment horizontal="right"/>
    </xf>
    <xf numFmtId="42" fontId="23" fillId="4" borderId="3" xfId="2" applyNumberFormat="1" applyFont="1" applyFill="1" applyBorder="1"/>
    <xf numFmtId="43" fontId="4" fillId="3" borderId="0" xfId="2" applyFont="1" applyFill="1"/>
    <xf numFmtId="43" fontId="4" fillId="0" borderId="0" xfId="2" applyFont="1"/>
    <xf numFmtId="164" fontId="2" fillId="0" borderId="0" xfId="2" applyNumberFormat="1" applyFont="1" applyFill="1" applyAlignment="1">
      <alignment horizontal="right"/>
    </xf>
    <xf numFmtId="164" fontId="4" fillId="0" borderId="0" xfId="2" applyNumberFormat="1" applyFont="1" applyBorder="1" applyAlignment="1">
      <alignment horizontal="right"/>
    </xf>
    <xf numFmtId="164" fontId="4" fillId="0" borderId="0" xfId="2" applyNumberFormat="1" applyFont="1" applyFill="1" applyBorder="1" applyAlignment="1">
      <alignment horizontal="right"/>
    </xf>
    <xf numFmtId="164" fontId="4" fillId="0" borderId="0" xfId="2" applyNumberFormat="1" applyFont="1" applyBorder="1"/>
    <xf numFmtId="164" fontId="4" fillId="0" borderId="0" xfId="2" applyNumberFormat="1" applyFont="1" applyAlignment="1">
      <alignment horizontal="right"/>
    </xf>
    <xf numFmtId="5" fontId="21" fillId="5" borderId="0" xfId="0" applyNumberFormat="1" applyFont="1" applyFill="1"/>
    <xf numFmtId="9" fontId="21" fillId="5" borderId="0" xfId="0" applyNumberFormat="1" applyFont="1" applyFill="1"/>
    <xf numFmtId="165" fontId="21" fillId="0" borderId="0" xfId="0" applyNumberFormat="1" applyFont="1"/>
    <xf numFmtId="9" fontId="4" fillId="0" borderId="0" xfId="5" applyFont="1" applyBorder="1"/>
    <xf numFmtId="165" fontId="4" fillId="0" borderId="0" xfId="5" applyNumberFormat="1" applyFont="1"/>
    <xf numFmtId="0" fontId="28" fillId="0" borderId="0" xfId="0" applyFont="1"/>
    <xf numFmtId="164" fontId="28" fillId="0" borderId="0" xfId="2" applyNumberFormat="1" applyFont="1" applyFill="1"/>
    <xf numFmtId="165" fontId="2" fillId="0" borderId="0" xfId="5" applyNumberFormat="1" applyFont="1" applyBorder="1"/>
    <xf numFmtId="7" fontId="5" fillId="2" borderId="1" xfId="2" applyNumberFormat="1" applyFont="1" applyFill="1" applyBorder="1" applyAlignment="1">
      <alignment horizontal="right"/>
    </xf>
    <xf numFmtId="5" fontId="22" fillId="0" borderId="0" xfId="0" applyNumberFormat="1" applyFont="1"/>
    <xf numFmtId="164" fontId="2" fillId="0" borderId="0" xfId="2" applyNumberFormat="1" applyFont="1" applyFill="1" applyBorder="1" applyAlignment="1">
      <alignment horizontal="right"/>
    </xf>
    <xf numFmtId="164" fontId="4" fillId="0" borderId="0" xfId="2" quotePrefix="1" applyNumberFormat="1" applyFont="1"/>
    <xf numFmtId="0" fontId="29" fillId="0" borderId="0" xfId="0" applyFont="1"/>
    <xf numFmtId="5" fontId="2" fillId="6" borderId="0" xfId="0" applyNumberFormat="1" applyFont="1" applyFill="1"/>
    <xf numFmtId="164" fontId="2" fillId="6" borderId="0" xfId="2" applyNumberFormat="1" applyFont="1" applyFill="1" applyBorder="1"/>
    <xf numFmtId="5" fontId="5" fillId="6" borderId="0" xfId="0" applyNumberFormat="1" applyFont="1" applyFill="1"/>
    <xf numFmtId="164" fontId="22" fillId="0" borderId="0" xfId="2" applyNumberFormat="1" applyFont="1"/>
    <xf numFmtId="43" fontId="10" fillId="0" borderId="0" xfId="2" applyFont="1"/>
    <xf numFmtId="164" fontId="10" fillId="0" borderId="0" xfId="2" applyNumberFormat="1" applyFont="1"/>
    <xf numFmtId="0" fontId="20" fillId="0" borderId="0" xfId="0" applyFont="1" applyAlignment="1">
      <alignment horizontal="center" vertical="center"/>
    </xf>
    <xf numFmtId="0" fontId="20" fillId="0" borderId="0" xfId="0" applyFont="1" applyAlignment="1">
      <alignment vertical="center"/>
    </xf>
    <xf numFmtId="0" fontId="22" fillId="0" borderId="0" xfId="0" applyFont="1" applyAlignment="1">
      <alignment vertical="center"/>
    </xf>
    <xf numFmtId="165" fontId="10" fillId="0" borderId="0" xfId="5" applyNumberFormat="1" applyFont="1" applyFill="1" applyBorder="1" applyAlignment="1">
      <alignment horizontal="right"/>
    </xf>
    <xf numFmtId="165" fontId="22" fillId="0" borderId="3" xfId="5" applyNumberFormat="1" applyFont="1" applyBorder="1"/>
    <xf numFmtId="165" fontId="4" fillId="0" borderId="0" xfId="5" applyNumberFormat="1" applyFont="1" applyFill="1"/>
    <xf numFmtId="165" fontId="2" fillId="0" borderId="0" xfId="5" applyNumberFormat="1" applyFont="1" applyFill="1"/>
    <xf numFmtId="164" fontId="2" fillId="0" borderId="0" xfId="2" applyNumberFormat="1" applyFont="1" applyBorder="1" applyAlignment="1">
      <alignment horizontal="right" vertical="center"/>
    </xf>
    <xf numFmtId="164" fontId="2" fillId="0" borderId="0" xfId="2" applyNumberFormat="1" applyFont="1" applyFill="1" applyBorder="1" applyAlignment="1">
      <alignment horizontal="right" vertical="center"/>
    </xf>
    <xf numFmtId="164" fontId="2" fillId="0" borderId="0" xfId="2" applyNumberFormat="1" applyFont="1" applyAlignment="1">
      <alignment vertical="center"/>
    </xf>
    <xf numFmtId="164" fontId="2" fillId="0" borderId="0" xfId="0" applyNumberFormat="1" applyFont="1" applyAlignment="1">
      <alignment vertical="center"/>
    </xf>
    <xf numFmtId="0" fontId="2" fillId="0" borderId="0" xfId="0" applyFont="1" applyAlignment="1">
      <alignment horizontal="right"/>
    </xf>
    <xf numFmtId="164" fontId="2" fillId="0" borderId="0" xfId="2" applyNumberFormat="1" applyFont="1" applyAlignment="1">
      <alignment horizontal="right"/>
    </xf>
    <xf numFmtId="165" fontId="10" fillId="0" borderId="0" xfId="5" applyNumberFormat="1" applyFont="1" applyFill="1" applyBorder="1"/>
    <xf numFmtId="42" fontId="23" fillId="4" borderId="1" xfId="2" applyNumberFormat="1" applyFont="1" applyFill="1" applyBorder="1"/>
    <xf numFmtId="164" fontId="2" fillId="0" borderId="0" xfId="2" applyNumberFormat="1" applyFont="1" applyFill="1" applyBorder="1"/>
    <xf numFmtId="164" fontId="4" fillId="0" borderId="0" xfId="0" applyNumberFormat="1" applyFont="1"/>
    <xf numFmtId="2" fontId="2" fillId="0" borderId="0" xfId="0" applyNumberFormat="1" applyFont="1"/>
    <xf numFmtId="5" fontId="21" fillId="0" borderId="0" xfId="0" applyNumberFormat="1" applyFont="1"/>
    <xf numFmtId="43" fontId="4" fillId="0" borderId="0" xfId="0" applyNumberFormat="1" applyFont="1"/>
    <xf numFmtId="0" fontId="30" fillId="0" borderId="12" xfId="0" applyFont="1" applyBorder="1" applyAlignment="1">
      <alignment horizontal="center" vertical="center"/>
    </xf>
    <xf numFmtId="5" fontId="5" fillId="0" borderId="0" xfId="0" applyNumberFormat="1" applyFont="1"/>
    <xf numFmtId="5" fontId="5" fillId="0" borderId="0" xfId="3" applyNumberFormat="1" applyFont="1" applyFill="1" applyAlignment="1">
      <alignment horizontal="right"/>
    </xf>
    <xf numFmtId="42" fontId="23" fillId="0" borderId="0" xfId="2" applyNumberFormat="1" applyFont="1" applyFill="1" applyBorder="1"/>
    <xf numFmtId="37" fontId="21" fillId="0" borderId="0" xfId="2" applyNumberFormat="1" applyFont="1" applyFill="1" applyBorder="1"/>
    <xf numFmtId="43" fontId="32" fillId="0" borderId="0" xfId="2" applyFont="1" applyFill="1"/>
    <xf numFmtId="0" fontId="21" fillId="0" borderId="0" xfId="0" applyFont="1"/>
    <xf numFmtId="164" fontId="22" fillId="0" borderId="0" xfId="0" applyNumberFormat="1" applyFont="1"/>
    <xf numFmtId="37" fontId="2" fillId="0" borderId="0" xfId="2" applyNumberFormat="1" applyFont="1" applyFill="1"/>
    <xf numFmtId="2" fontId="4" fillId="0" borderId="0" xfId="0" applyNumberFormat="1" applyFont="1"/>
    <xf numFmtId="9" fontId="2" fillId="0" borderId="0" xfId="5" applyFont="1" applyFill="1" applyBorder="1"/>
    <xf numFmtId="165" fontId="10" fillId="0" borderId="0" xfId="5" applyNumberFormat="1" applyFont="1" applyFill="1" applyAlignment="1">
      <alignment horizontal="right"/>
    </xf>
    <xf numFmtId="165" fontId="10" fillId="0" borderId="2" xfId="5" applyNumberFormat="1" applyFont="1" applyFill="1" applyBorder="1" applyAlignment="1">
      <alignment horizontal="right"/>
    </xf>
    <xf numFmtId="10" fontId="2" fillId="0" borderId="0" xfId="5" applyNumberFormat="1" applyFont="1" applyBorder="1"/>
    <xf numFmtId="165" fontId="22" fillId="0" borderId="0" xfId="5" applyNumberFormat="1" applyFont="1"/>
    <xf numFmtId="164" fontId="22" fillId="0" borderId="0" xfId="2" applyNumberFormat="1" applyFont="1" applyFill="1"/>
    <xf numFmtId="7" fontId="2" fillId="0" borderId="0" xfId="0" applyNumberFormat="1" applyFont="1"/>
    <xf numFmtId="0" fontId="21" fillId="0" borderId="0" xfId="0" applyFont="1" applyAlignment="1">
      <alignment horizontal="right"/>
    </xf>
    <xf numFmtId="0" fontId="21" fillId="7" borderId="0" xfId="0" applyFont="1" applyFill="1" applyAlignment="1">
      <alignment horizontal="left" indent="1"/>
    </xf>
    <xf numFmtId="5" fontId="21" fillId="7" borderId="0" xfId="0" applyNumberFormat="1" applyFont="1" applyFill="1"/>
    <xf numFmtId="165" fontId="21" fillId="0" borderId="0" xfId="0" applyNumberFormat="1" applyFont="1" applyAlignment="1">
      <alignment horizontal="right"/>
    </xf>
    <xf numFmtId="0" fontId="35" fillId="0" borderId="0" xfId="0" applyFont="1"/>
    <xf numFmtId="9" fontId="2" fillId="0" borderId="0" xfId="5" applyFont="1"/>
    <xf numFmtId="164" fontId="4" fillId="0" borderId="0" xfId="0" applyNumberFormat="1" applyFont="1" applyAlignment="1">
      <alignment horizontal="right"/>
    </xf>
    <xf numFmtId="165" fontId="22" fillId="0" borderId="0" xfId="5" applyNumberFormat="1" applyFont="1" applyFill="1"/>
    <xf numFmtId="39" fontId="2" fillId="0" borderId="0" xfId="2" applyNumberFormat="1" applyFont="1" applyFill="1" applyBorder="1"/>
    <xf numFmtId="39" fontId="2" fillId="0" borderId="0" xfId="0" applyNumberFormat="1" applyFont="1"/>
    <xf numFmtId="39" fontId="5" fillId="0" borderId="0" xfId="0" applyNumberFormat="1" applyFont="1" applyAlignment="1">
      <alignment horizontal="center"/>
    </xf>
    <xf numFmtId="39" fontId="5" fillId="0" borderId="0" xfId="2" applyNumberFormat="1" applyFont="1" applyFill="1" applyBorder="1"/>
    <xf numFmtId="39" fontId="10" fillId="0" borderId="0" xfId="5" applyNumberFormat="1" applyFont="1" applyFill="1" applyBorder="1"/>
    <xf numFmtId="39" fontId="5" fillId="0" borderId="0" xfId="0" applyNumberFormat="1" applyFont="1"/>
    <xf numFmtId="39" fontId="10" fillId="0" borderId="0" xfId="5" applyNumberFormat="1" applyFont="1" applyFill="1" applyBorder="1" applyAlignment="1">
      <alignment horizontal="right"/>
    </xf>
    <xf numFmtId="39" fontId="2" fillId="0" borderId="0" xfId="2" applyNumberFormat="1" applyFont="1" applyFill="1" applyBorder="1" applyAlignment="1">
      <alignment horizontal="right"/>
    </xf>
    <xf numFmtId="39" fontId="2" fillId="0" borderId="0" xfId="2" applyNumberFormat="1" applyFont="1" applyFill="1" applyBorder="1" applyAlignment="1">
      <alignment horizontal="right" vertical="center"/>
    </xf>
    <xf numFmtId="39" fontId="2" fillId="0" borderId="0" xfId="2" applyNumberFormat="1" applyFont="1" applyFill="1" applyBorder="1" applyAlignment="1">
      <alignment vertical="center"/>
    </xf>
    <xf numFmtId="0" fontId="9" fillId="0" borderId="0" xfId="0" applyFont="1" applyAlignment="1">
      <alignment horizontal="left" wrapText="1" indent="2"/>
    </xf>
    <xf numFmtId="164" fontId="4" fillId="0" borderId="0" xfId="2" applyNumberFormat="1" applyFont="1" applyFill="1"/>
    <xf numFmtId="37" fontId="2" fillId="0" borderId="0" xfId="2" applyNumberFormat="1" applyFont="1" applyFill="1" applyBorder="1" applyAlignment="1">
      <alignment horizontal="right"/>
    </xf>
    <xf numFmtId="43" fontId="2" fillId="0" borderId="0" xfId="2" applyFont="1" applyFill="1" applyBorder="1" applyAlignment="1">
      <alignment horizontal="right"/>
    </xf>
    <xf numFmtId="43" fontId="2" fillId="0" borderId="0" xfId="2" applyFont="1" applyFill="1"/>
    <xf numFmtId="0" fontId="37" fillId="0" borderId="0" xfId="0" applyFont="1" applyAlignment="1">
      <alignment horizontal="left" indent="1"/>
    </xf>
    <xf numFmtId="0" fontId="37" fillId="0" borderId="0" xfId="0" applyFont="1" applyAlignment="1">
      <alignment horizontal="left"/>
    </xf>
    <xf numFmtId="39" fontId="36" fillId="0" borderId="0" xfId="0" applyNumberFormat="1" applyFont="1" applyAlignment="1">
      <alignment horizontal="center"/>
    </xf>
    <xf numFmtId="0" fontId="38" fillId="0" borderId="0" xfId="0" applyFont="1"/>
    <xf numFmtId="5" fontId="39" fillId="0" borderId="0" xfId="0" applyNumberFormat="1" applyFont="1"/>
    <xf numFmtId="0" fontId="40" fillId="0" borderId="0" xfId="0" applyFont="1"/>
    <xf numFmtId="0" fontId="41" fillId="0" borderId="0" xfId="0" applyFont="1"/>
    <xf numFmtId="0" fontId="42" fillId="0" borderId="0" xfId="0" applyFont="1"/>
    <xf numFmtId="0" fontId="43" fillId="0" borderId="0" xfId="0" applyFont="1"/>
    <xf numFmtId="0" fontId="44" fillId="0" borderId="0" xfId="0" applyFont="1"/>
    <xf numFmtId="43" fontId="0" fillId="0" borderId="0" xfId="0" applyNumberFormat="1"/>
    <xf numFmtId="168" fontId="5" fillId="0" borderId="0" xfId="0" applyNumberFormat="1" applyFont="1"/>
    <xf numFmtId="165" fontId="39" fillId="0" borderId="0" xfId="0" applyNumberFormat="1" applyFont="1"/>
    <xf numFmtId="164" fontId="39" fillId="0" borderId="0" xfId="0" applyNumberFormat="1" applyFont="1"/>
    <xf numFmtId="169" fontId="32" fillId="0" borderId="0" xfId="8" applyNumberFormat="1" applyFont="1"/>
    <xf numFmtId="165" fontId="22" fillId="0" borderId="0" xfId="0" applyNumberFormat="1" applyFont="1"/>
    <xf numFmtId="42" fontId="22" fillId="0" borderId="0" xfId="0" applyNumberFormat="1" applyFont="1"/>
    <xf numFmtId="9" fontId="22" fillId="0" borderId="0" xfId="0" applyNumberFormat="1" applyFont="1"/>
    <xf numFmtId="37" fontId="4" fillId="0" borderId="0" xfId="0" applyNumberFormat="1" applyFont="1"/>
    <xf numFmtId="164" fontId="5" fillId="0" borderId="0" xfId="2" applyNumberFormat="1" applyFont="1" applyFill="1" applyBorder="1"/>
    <xf numFmtId="0" fontId="36" fillId="0" borderId="0" xfId="0" applyFont="1"/>
    <xf numFmtId="0" fontId="30" fillId="0" borderId="13" xfId="0" applyFont="1" applyBorder="1" applyAlignment="1">
      <alignment horizontal="center" vertical="center"/>
    </xf>
    <xf numFmtId="37" fontId="29" fillId="0" borderId="0" xfId="0" applyNumberFormat="1" applyFont="1"/>
    <xf numFmtId="0" fontId="4" fillId="8" borderId="0" xfId="0" applyFont="1" applyFill="1"/>
    <xf numFmtId="165" fontId="22" fillId="0" borderId="0" xfId="5" applyNumberFormat="1" applyFont="1" applyBorder="1"/>
    <xf numFmtId="166" fontId="2" fillId="0" borderId="0" xfId="2" applyNumberFormat="1" applyFont="1" applyFill="1" applyBorder="1" applyAlignment="1">
      <alignment horizontal="right"/>
    </xf>
    <xf numFmtId="5" fontId="3" fillId="0" borderId="1" xfId="3" applyNumberFormat="1" applyFont="1" applyFill="1" applyBorder="1"/>
    <xf numFmtId="0" fontId="0" fillId="8" borderId="0" xfId="0" applyFill="1"/>
    <xf numFmtId="0" fontId="2" fillId="8" borderId="0" xfId="0" applyFont="1" applyFill="1"/>
    <xf numFmtId="0" fontId="5" fillId="8" borderId="0" xfId="0" applyFont="1" applyFill="1"/>
    <xf numFmtId="0" fontId="2" fillId="0" borderId="5" xfId="0" applyFont="1" applyBorder="1" applyAlignment="1">
      <alignment horizontal="left" wrapText="1" indent="1"/>
    </xf>
    <xf numFmtId="0" fontId="26" fillId="0" borderId="10" xfId="0" applyFont="1" applyBorder="1" applyAlignment="1">
      <alignment horizontal="center" vertical="center"/>
    </xf>
    <xf numFmtId="5" fontId="23" fillId="0" borderId="1" xfId="2" applyNumberFormat="1" applyFont="1" applyFill="1" applyBorder="1"/>
    <xf numFmtId="5" fontId="23" fillId="0" borderId="0" xfId="2" applyNumberFormat="1" applyFont="1" applyFill="1" applyBorder="1"/>
    <xf numFmtId="169" fontId="23" fillId="4" borderId="1" xfId="8" applyNumberFormat="1" applyFont="1" applyFill="1" applyBorder="1"/>
    <xf numFmtId="0" fontId="46" fillId="0" borderId="0" xfId="0" applyFont="1"/>
    <xf numFmtId="0" fontId="47" fillId="0" borderId="0" xfId="0" applyFont="1"/>
    <xf numFmtId="9" fontId="4" fillId="0" borderId="0" xfId="5" applyFont="1"/>
    <xf numFmtId="0" fontId="48" fillId="0" borderId="0" xfId="0" applyFont="1" applyAlignment="1">
      <alignment horizontal="center" wrapText="1"/>
    </xf>
    <xf numFmtId="0" fontId="24" fillId="0" borderId="0" xfId="0" applyFont="1" applyAlignment="1">
      <alignment horizontal="left"/>
    </xf>
    <xf numFmtId="0" fontId="23" fillId="0" borderId="9" xfId="0" applyFont="1" applyBorder="1" applyAlignment="1">
      <alignment horizontal="center"/>
    </xf>
    <xf numFmtId="0" fontId="23" fillId="0" borderId="11" xfId="0" applyFont="1" applyBorder="1" applyAlignment="1">
      <alignment horizontal="center"/>
    </xf>
    <xf numFmtId="0" fontId="23" fillId="0" borderId="10" xfId="0" applyFont="1" applyBorder="1" applyAlignment="1">
      <alignment horizontal="center"/>
    </xf>
  </cellXfs>
  <cellStyles count="9">
    <cellStyle name="%" xfId="1" xr:uid="{00000000-0005-0000-0000-000000000000}"/>
    <cellStyle name="Comma" xfId="2" builtinId="3"/>
    <cellStyle name="Comma 2" xfId="3" xr:uid="{00000000-0005-0000-0000-000002000000}"/>
    <cellStyle name="Currency" xfId="8" builtinId="4"/>
    <cellStyle name="Hyperlink" xfId="4" builtinId="8"/>
    <cellStyle name="Normal" xfId="0" builtinId="0"/>
    <cellStyle name="Percent" xfId="5" builtinId="5"/>
    <cellStyle name="Percent 2" xfId="6" xr:uid="{00000000-0005-0000-0000-000007000000}"/>
    <cellStyle name="Percent 3"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47627</xdr:colOff>
      <xdr:row>0</xdr:row>
      <xdr:rowOff>2</xdr:rowOff>
    </xdr:from>
    <xdr:to>
      <xdr:col>1</xdr:col>
      <xdr:colOff>335758</xdr:colOff>
      <xdr:row>1</xdr:row>
      <xdr:rowOff>366714</xdr:rowOff>
    </xdr:to>
    <xdr:pic>
      <xdr:nvPicPr>
        <xdr:cNvPr id="3" name="Picture 2" descr="cid:image001.png@01D7AA39.D1F7E16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7" y="2"/>
          <a:ext cx="895350" cy="5334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52917</xdr:colOff>
      <xdr:row>0</xdr:row>
      <xdr:rowOff>0</xdr:rowOff>
    </xdr:from>
    <xdr:to>
      <xdr:col>0</xdr:col>
      <xdr:colOff>814917</xdr:colOff>
      <xdr:row>1</xdr:row>
      <xdr:rowOff>222250</xdr:rowOff>
    </xdr:to>
    <xdr:pic>
      <xdr:nvPicPr>
        <xdr:cNvPr id="3" name="Picture 2" descr="cid:image001.png@01D7AA39.D1F7E160">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17" y="0"/>
          <a:ext cx="762000" cy="42333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52917</xdr:colOff>
      <xdr:row>0</xdr:row>
      <xdr:rowOff>0</xdr:rowOff>
    </xdr:from>
    <xdr:to>
      <xdr:col>0</xdr:col>
      <xdr:colOff>836083</xdr:colOff>
      <xdr:row>1</xdr:row>
      <xdr:rowOff>179916</xdr:rowOff>
    </xdr:to>
    <xdr:pic>
      <xdr:nvPicPr>
        <xdr:cNvPr id="4" name="Picture 3" descr="cid:image001.png@01D7AA39.D1F7E160">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17" y="0"/>
          <a:ext cx="783166" cy="33866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42333</xdr:colOff>
      <xdr:row>0</xdr:row>
      <xdr:rowOff>0</xdr:rowOff>
    </xdr:from>
    <xdr:to>
      <xdr:col>0</xdr:col>
      <xdr:colOff>654050</xdr:colOff>
      <xdr:row>1</xdr:row>
      <xdr:rowOff>116417</xdr:rowOff>
    </xdr:to>
    <xdr:pic>
      <xdr:nvPicPr>
        <xdr:cNvPr id="3" name="Picture 2" descr="cid:image001.png@01D7AA39.D1F7E160">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3" y="0"/>
          <a:ext cx="611717" cy="275167"/>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784225</xdr:colOff>
      <xdr:row>1</xdr:row>
      <xdr:rowOff>263525</xdr:rowOff>
    </xdr:to>
    <xdr:pic>
      <xdr:nvPicPr>
        <xdr:cNvPr id="5" name="Picture 4" descr="cid:image001.png@01D7AA39.D1F7E160">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895350" cy="5334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31750</xdr:colOff>
      <xdr:row>0</xdr:row>
      <xdr:rowOff>1</xdr:rowOff>
    </xdr:from>
    <xdr:to>
      <xdr:col>1</xdr:col>
      <xdr:colOff>560917</xdr:colOff>
      <xdr:row>2</xdr:row>
      <xdr:rowOff>1</xdr:rowOff>
    </xdr:to>
    <xdr:pic>
      <xdr:nvPicPr>
        <xdr:cNvPr id="3" name="Picture 2" descr="cid:image001.png@01D7AA39.D1F7E160">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1"/>
          <a:ext cx="687917" cy="3492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16"/>
  <sheetViews>
    <sheetView showGridLines="0" zoomScale="80" zoomScaleNormal="80" workbookViewId="0"/>
  </sheetViews>
  <sheetFormatPr baseColWidth="10" defaultColWidth="9.1640625" defaultRowHeight="13" x14ac:dyDescent="0.15"/>
  <cols>
    <col min="1" max="1" width="9.1640625" style="5"/>
    <col min="2" max="2" width="36.5" style="5" customWidth="1"/>
    <col min="3" max="16384" width="9.1640625" style="5"/>
  </cols>
  <sheetData>
    <row r="1" spans="1:10" s="2" customFormat="1" x14ac:dyDescent="0.15"/>
    <row r="2" spans="1:10" ht="34.5" customHeight="1" x14ac:dyDescent="0.15">
      <c r="A2" s="2"/>
      <c r="B2" s="2"/>
      <c r="C2" s="2"/>
      <c r="D2" s="2"/>
      <c r="E2" s="2"/>
      <c r="F2" s="2"/>
      <c r="G2" s="2"/>
      <c r="H2" s="2"/>
      <c r="I2" s="2"/>
      <c r="J2" s="2"/>
    </row>
    <row r="3" spans="1:10" ht="34.5" customHeight="1" x14ac:dyDescent="0.15">
      <c r="A3" s="2"/>
      <c r="B3" s="2"/>
      <c r="C3" s="2"/>
      <c r="D3" s="2"/>
      <c r="E3" s="2"/>
      <c r="F3" s="2"/>
      <c r="G3" s="2"/>
      <c r="H3" s="2"/>
      <c r="I3" s="2"/>
      <c r="J3" s="2"/>
    </row>
    <row r="4" spans="1:10" ht="16" x14ac:dyDescent="0.2">
      <c r="A4" s="71">
        <v>1</v>
      </c>
      <c r="B4" s="115" t="s">
        <v>0</v>
      </c>
      <c r="C4" s="2"/>
      <c r="D4" s="2"/>
      <c r="E4" s="2"/>
      <c r="F4" s="2"/>
      <c r="G4" s="2"/>
      <c r="H4" s="2"/>
      <c r="I4" s="2"/>
      <c r="J4" s="2"/>
    </row>
    <row r="5" spans="1:10" ht="16" x14ac:dyDescent="0.2">
      <c r="A5" s="71">
        <v>2</v>
      </c>
      <c r="B5" s="115" t="s">
        <v>1</v>
      </c>
      <c r="C5" s="2"/>
      <c r="D5" s="2"/>
      <c r="E5" s="2"/>
      <c r="F5" s="2"/>
      <c r="G5" s="2"/>
      <c r="H5" s="2"/>
      <c r="I5" s="2"/>
      <c r="J5" s="2"/>
    </row>
    <row r="6" spans="1:10" ht="16" x14ac:dyDescent="0.2">
      <c r="A6" s="71">
        <v>3</v>
      </c>
      <c r="B6" s="115" t="s">
        <v>2</v>
      </c>
      <c r="C6" s="2"/>
      <c r="D6" s="2"/>
      <c r="E6" s="2"/>
      <c r="F6" s="2"/>
      <c r="G6" s="2"/>
      <c r="H6" s="2"/>
      <c r="I6" s="2"/>
      <c r="J6" s="2"/>
    </row>
    <row r="7" spans="1:10" ht="16" x14ac:dyDescent="0.2">
      <c r="A7" s="71">
        <v>4</v>
      </c>
      <c r="B7" s="115" t="s">
        <v>3</v>
      </c>
      <c r="C7" s="2"/>
      <c r="D7" s="2"/>
      <c r="E7" s="2"/>
      <c r="F7" s="2"/>
      <c r="G7" s="2"/>
      <c r="H7" s="2"/>
      <c r="I7" s="2"/>
      <c r="J7" s="2"/>
    </row>
    <row r="8" spans="1:10" ht="16" x14ac:dyDescent="0.2">
      <c r="A8" s="71">
        <v>5</v>
      </c>
      <c r="B8" s="115" t="s">
        <v>4</v>
      </c>
      <c r="C8" s="2"/>
      <c r="D8" s="2"/>
      <c r="E8" s="2"/>
      <c r="F8" s="2"/>
      <c r="G8" s="2"/>
      <c r="H8" s="2"/>
      <c r="I8" s="2"/>
      <c r="J8" s="2"/>
    </row>
    <row r="9" spans="1:10" x14ac:dyDescent="0.15">
      <c r="A9" s="32"/>
      <c r="B9" s="2"/>
      <c r="C9" s="32"/>
      <c r="D9" s="32"/>
      <c r="E9" s="32"/>
      <c r="F9" s="32"/>
      <c r="G9" s="32"/>
      <c r="H9" s="32"/>
      <c r="I9" s="32"/>
      <c r="J9" s="32"/>
    </row>
    <row r="10" spans="1:10" x14ac:dyDescent="0.15">
      <c r="A10" s="32"/>
      <c r="B10" s="33"/>
      <c r="C10" s="32"/>
      <c r="D10" s="32"/>
      <c r="E10" s="32"/>
      <c r="F10" s="32"/>
      <c r="G10" s="32"/>
      <c r="H10" s="32"/>
      <c r="I10" s="32"/>
      <c r="J10" s="32"/>
    </row>
    <row r="11" spans="1:10" x14ac:dyDescent="0.15">
      <c r="A11" s="32"/>
      <c r="B11" s="33"/>
      <c r="C11" s="32"/>
      <c r="D11" s="32"/>
      <c r="E11" s="32"/>
      <c r="F11" s="32"/>
      <c r="G11" s="32"/>
      <c r="H11" s="32"/>
      <c r="I11" s="32"/>
      <c r="J11" s="32"/>
    </row>
    <row r="12" spans="1:10" x14ac:dyDescent="0.15">
      <c r="A12" s="32"/>
      <c r="B12" s="33"/>
      <c r="C12" s="32"/>
      <c r="D12" s="32"/>
      <c r="E12" s="32"/>
      <c r="F12" s="32"/>
      <c r="G12" s="32"/>
      <c r="H12" s="32"/>
      <c r="I12" s="32"/>
      <c r="J12" s="32"/>
    </row>
    <row r="13" spans="1:10" x14ac:dyDescent="0.15">
      <c r="A13" s="32"/>
      <c r="B13" s="33"/>
      <c r="C13" s="32"/>
      <c r="D13" s="32"/>
      <c r="E13" s="32"/>
      <c r="F13" s="32"/>
      <c r="G13" s="32"/>
      <c r="H13" s="32"/>
      <c r="I13" s="32"/>
      <c r="J13" s="32"/>
    </row>
    <row r="14" spans="1:10" x14ac:dyDescent="0.15">
      <c r="A14" s="32"/>
      <c r="B14" s="32"/>
      <c r="C14" s="32"/>
      <c r="D14" s="32"/>
      <c r="E14" s="32"/>
      <c r="F14" s="32"/>
      <c r="G14" s="32"/>
      <c r="H14" s="32"/>
      <c r="I14" s="32"/>
      <c r="J14" s="32"/>
    </row>
    <row r="15" spans="1:10" x14ac:dyDescent="0.15">
      <c r="A15" s="32"/>
      <c r="B15" s="32"/>
      <c r="C15" s="32"/>
      <c r="D15" s="32"/>
      <c r="E15" s="32"/>
      <c r="F15" s="32"/>
      <c r="G15" s="32"/>
      <c r="H15" s="32"/>
      <c r="I15" s="32"/>
      <c r="J15" s="32"/>
    </row>
    <row r="16" spans="1:10" x14ac:dyDescent="0.15">
      <c r="A16" s="32"/>
      <c r="B16" s="32"/>
      <c r="C16" s="32"/>
      <c r="D16" s="32"/>
      <c r="E16" s="32"/>
      <c r="F16" s="32"/>
      <c r="G16" s="32"/>
      <c r="H16" s="32"/>
      <c r="I16" s="32"/>
      <c r="J16" s="32"/>
    </row>
  </sheetData>
  <hyperlinks>
    <hyperlink ref="B4" location="'Income Statement'!A1" display="Income Statement" xr:uid="{00000000-0004-0000-0000-000000000000}"/>
    <hyperlink ref="B5" location="'Balance Sheet'!A1" display="Balance Sheet" xr:uid="{00000000-0004-0000-0000-000001000000}"/>
    <hyperlink ref="B6" location="Cashflow!A1" display="Cashflow Statement" xr:uid="{00000000-0004-0000-0000-000002000000}"/>
    <hyperlink ref="B8" location="'Other Metrics'!A1" display="Other metrics" xr:uid="{00000000-0004-0000-0000-000003000000}"/>
    <hyperlink ref="B7" location="'Revenues and Margins'!A1" display="Revenues and Margins" xr:uid="{00000000-0004-0000-0000-000004000000}"/>
  </hyperlinks>
  <pageMargins left="0.7" right="0.7" top="0.75" bottom="0.75" header="0.3" footer="0.3"/>
  <pageSetup paperSize="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E109"/>
  <sheetViews>
    <sheetView showGridLines="0" view="pageBreakPreview" zoomScale="90" zoomScaleNormal="90" zoomScaleSheetLayoutView="90" workbookViewId="0">
      <pane xSplit="1" ySplit="8" topLeftCell="T9" activePane="bottomRight" state="frozen"/>
      <selection pane="topRight" activeCell="X8" sqref="X8"/>
      <selection pane="bottomLeft" activeCell="X8" sqref="X8"/>
      <selection pane="bottomRight" activeCell="AB4" sqref="AB4"/>
    </sheetView>
  </sheetViews>
  <sheetFormatPr baseColWidth="10" defaultColWidth="9.1640625" defaultRowHeight="15" outlineLevelRow="1" outlineLevelCol="1" x14ac:dyDescent="0.2"/>
  <cols>
    <col min="1" max="1" width="79.5" style="21" customWidth="1"/>
    <col min="2" max="5" width="12.1640625" style="21" hidden="1" customWidth="1" outlineLevel="1"/>
    <col min="6" max="6" width="12.1640625" style="21" customWidth="1" collapsed="1"/>
    <col min="7" max="10" width="12.1640625" style="21" hidden="1" customWidth="1" outlineLevel="1"/>
    <col min="11" max="11" width="12.1640625" style="21" customWidth="1" collapsed="1"/>
    <col min="12" max="15" width="12.1640625" style="21" hidden="1" customWidth="1" outlineLevel="1"/>
    <col min="16" max="16" width="12.1640625" style="21" customWidth="1" collapsed="1"/>
    <col min="17" max="20" width="12.1640625" style="21" customWidth="1" outlineLevel="1"/>
    <col min="21" max="28" width="12.1640625" style="21" customWidth="1"/>
    <col min="29" max="29" width="12.1640625" style="217" customWidth="1"/>
    <col min="30" max="30" width="9.1640625" customWidth="1"/>
    <col min="31" max="31" width="9.1640625" style="21" customWidth="1"/>
    <col min="32" max="32" width="10.5" style="234" customWidth="1"/>
    <col min="33" max="34" width="9.1640625" style="21" customWidth="1"/>
    <col min="35" max="16384" width="9.1640625" style="21"/>
  </cols>
  <sheetData>
    <row r="1" spans="1:57" ht="16" x14ac:dyDescent="0.2">
      <c r="R1" s="212"/>
      <c r="S1" s="212"/>
      <c r="T1" s="212"/>
      <c r="Y1" s="212"/>
      <c r="AC1" s="212"/>
      <c r="AE1" s="238"/>
      <c r="AG1" s="238"/>
    </row>
    <row r="2" spans="1:57" ht="30.75" customHeight="1" x14ac:dyDescent="0.2">
      <c r="A2" s="88"/>
      <c r="U2" s="207"/>
      <c r="V2" s="207"/>
      <c r="W2" s="207"/>
      <c r="X2" s="207"/>
      <c r="Y2" s="207"/>
      <c r="Z2" s="207"/>
      <c r="AA2" s="207"/>
      <c r="AB2" s="207"/>
    </row>
    <row r="3" spans="1:57" ht="15" customHeight="1" x14ac:dyDescent="0.2">
      <c r="AF3" s="269"/>
    </row>
    <row r="4" spans="1:57" s="4" customFormat="1" ht="13" x14ac:dyDescent="0.15">
      <c r="A4" s="22" t="s">
        <v>0</v>
      </c>
      <c r="B4" s="4">
        <v>2018</v>
      </c>
      <c r="C4" s="4">
        <v>2018</v>
      </c>
      <c r="D4" s="4">
        <v>2018</v>
      </c>
      <c r="E4" s="4">
        <v>2018</v>
      </c>
      <c r="F4" s="4">
        <v>2018</v>
      </c>
      <c r="G4" s="4">
        <v>2019</v>
      </c>
      <c r="H4" s="4">
        <v>2019</v>
      </c>
      <c r="I4" s="4">
        <v>2019</v>
      </c>
      <c r="J4" s="4">
        <v>2019</v>
      </c>
      <c r="K4" s="4">
        <v>2019</v>
      </c>
      <c r="L4" s="4">
        <v>2020</v>
      </c>
      <c r="M4" s="4">
        <v>2020</v>
      </c>
      <c r="N4" s="4">
        <v>2020</v>
      </c>
      <c r="O4" s="4">
        <v>2020</v>
      </c>
      <c r="P4" s="4">
        <v>2020</v>
      </c>
      <c r="Q4" s="4">
        <v>2021</v>
      </c>
      <c r="R4" s="4">
        <v>2021</v>
      </c>
      <c r="S4" s="4">
        <v>2021</v>
      </c>
      <c r="T4" s="4">
        <v>2021</v>
      </c>
      <c r="U4" s="4">
        <v>2021</v>
      </c>
      <c r="V4" s="4">
        <v>2022</v>
      </c>
      <c r="W4" s="4">
        <v>2022</v>
      </c>
      <c r="X4" s="4">
        <v>2022</v>
      </c>
      <c r="Y4" s="4">
        <v>2022</v>
      </c>
      <c r="Z4" s="4">
        <v>2022</v>
      </c>
      <c r="AA4" s="4">
        <v>2023</v>
      </c>
      <c r="AB4" s="4">
        <v>2023</v>
      </c>
      <c r="AC4" s="218"/>
      <c r="AF4" s="269"/>
    </row>
    <row r="5" spans="1:57" s="4" customFormat="1" ht="15" customHeight="1" x14ac:dyDescent="0.15">
      <c r="A5" s="22" t="s">
        <v>5</v>
      </c>
      <c r="B5" s="4" t="s">
        <v>6</v>
      </c>
      <c r="C5" s="4" t="s">
        <v>7</v>
      </c>
      <c r="D5" s="4" t="s">
        <v>8</v>
      </c>
      <c r="E5" s="4" t="s">
        <v>9</v>
      </c>
      <c r="F5" s="4" t="s">
        <v>10</v>
      </c>
      <c r="G5" s="4" t="s">
        <v>6</v>
      </c>
      <c r="H5" s="4" t="s">
        <v>7</v>
      </c>
      <c r="I5" s="4" t="s">
        <v>8</v>
      </c>
      <c r="J5" s="4" t="s">
        <v>9</v>
      </c>
      <c r="K5" s="4" t="s">
        <v>10</v>
      </c>
      <c r="L5" s="4" t="s">
        <v>6</v>
      </c>
      <c r="M5" s="4" t="s">
        <v>7</v>
      </c>
      <c r="N5" s="4" t="s">
        <v>8</v>
      </c>
      <c r="O5" s="4" t="s">
        <v>9</v>
      </c>
      <c r="P5" s="4" t="s">
        <v>10</v>
      </c>
      <c r="Q5" s="4" t="s">
        <v>6</v>
      </c>
      <c r="R5" s="4" t="s">
        <v>7</v>
      </c>
      <c r="S5" s="4" t="s">
        <v>8</v>
      </c>
      <c r="T5" s="4" t="s">
        <v>9</v>
      </c>
      <c r="U5" s="4" t="s">
        <v>10</v>
      </c>
      <c r="V5" s="4" t="s">
        <v>6</v>
      </c>
      <c r="W5" s="4" t="s">
        <v>7</v>
      </c>
      <c r="X5" s="4" t="s">
        <v>8</v>
      </c>
      <c r="Y5" s="4" t="s">
        <v>9</v>
      </c>
      <c r="Z5" s="4" t="s">
        <v>10</v>
      </c>
      <c r="AA5" s="4" t="s">
        <v>6</v>
      </c>
      <c r="AB5" s="4" t="s">
        <v>7</v>
      </c>
      <c r="AC5" s="218"/>
      <c r="AF5" s="269"/>
      <c r="AG5" s="234"/>
      <c r="AH5" s="234"/>
    </row>
    <row r="6" spans="1:57" ht="6" customHeight="1" x14ac:dyDescent="0.2">
      <c r="AF6" s="269"/>
      <c r="AG6" s="234"/>
      <c r="AH6" s="234"/>
    </row>
    <row r="7" spans="1:57" ht="6" customHeight="1" x14ac:dyDescent="0.2">
      <c r="AG7" s="234"/>
      <c r="AH7" s="234"/>
    </row>
    <row r="8" spans="1:57" s="10" customFormat="1" ht="13" x14ac:dyDescent="0.15">
      <c r="A8" s="46" t="s">
        <v>11</v>
      </c>
      <c r="B8" s="34">
        <v>206973</v>
      </c>
      <c r="C8" s="34">
        <v>210112</v>
      </c>
      <c r="D8" s="34">
        <v>231124</v>
      </c>
      <c r="E8" s="34">
        <f>+F8-SUM(B8:D8)</f>
        <v>234903</v>
      </c>
      <c r="F8" s="34">
        <v>883112</v>
      </c>
      <c r="G8" s="34">
        <v>239573</v>
      </c>
      <c r="H8" s="34">
        <v>243509</v>
      </c>
      <c r="I8" s="34">
        <v>251392</v>
      </c>
      <c r="J8" s="34">
        <f>+K8-SUM(G8:I8)</f>
        <v>256872</v>
      </c>
      <c r="K8" s="34">
        <v>991346</v>
      </c>
      <c r="L8" s="34">
        <v>245990</v>
      </c>
      <c r="M8" s="34">
        <v>222473</v>
      </c>
      <c r="N8" s="34">
        <v>241018</v>
      </c>
      <c r="O8" s="34">
        <f>+P8-SUM(L8:N8)</f>
        <v>248953</v>
      </c>
      <c r="P8" s="34">
        <v>958434</v>
      </c>
      <c r="Q8" s="34">
        <v>261415</v>
      </c>
      <c r="R8" s="34">
        <v>275064</v>
      </c>
      <c r="S8" s="34">
        <v>290325</v>
      </c>
      <c r="T8" s="34">
        <f>+U8-SUM(Q8:S8)</f>
        <v>295489</v>
      </c>
      <c r="U8" s="34">
        <v>1122293</v>
      </c>
      <c r="V8" s="34">
        <v>329208</v>
      </c>
      <c r="W8" s="34">
        <v>346782</v>
      </c>
      <c r="X8" s="34">
        <v>361351</v>
      </c>
      <c r="Y8" s="34">
        <f>+Z8-SUM(V8:X8)</f>
        <v>374703</v>
      </c>
      <c r="Z8" s="34">
        <v>1412044</v>
      </c>
      <c r="AA8" s="34">
        <v>400643</v>
      </c>
      <c r="AB8" s="34">
        <v>404996</v>
      </c>
      <c r="AC8" s="219"/>
      <c r="AD8" s="242"/>
      <c r="AF8" s="235"/>
    </row>
    <row r="9" spans="1:57" s="10" customFormat="1" ht="13" x14ac:dyDescent="0.15">
      <c r="A9" s="47" t="s">
        <v>12</v>
      </c>
      <c r="B9" s="30">
        <v>4.5978521794061811E-2</v>
      </c>
      <c r="C9" s="30">
        <f>C8/B8-1</f>
        <v>1.5166229411565757E-2</v>
      </c>
      <c r="D9" s="30">
        <f>D8/C8-1</f>
        <v>0.10000380749314641</v>
      </c>
      <c r="E9" s="30">
        <f>E8/D8-1</f>
        <v>1.6350530451186396E-2</v>
      </c>
      <c r="F9" s="30" t="s">
        <v>13</v>
      </c>
      <c r="G9" s="112">
        <f>G8/E8-1</f>
        <v>1.9880546438317159E-2</v>
      </c>
      <c r="H9" s="112">
        <f>H8/G8-1</f>
        <v>1.642923033897814E-2</v>
      </c>
      <c r="I9" s="112">
        <f>I8/H8-1</f>
        <v>3.2372520112192937E-2</v>
      </c>
      <c r="J9" s="112">
        <f>J8/I8-1</f>
        <v>2.1798625254582538E-2</v>
      </c>
      <c r="K9" s="30" t="s">
        <v>13</v>
      </c>
      <c r="L9" s="112">
        <f>L8/J8-1</f>
        <v>-4.2363511787972263E-2</v>
      </c>
      <c r="M9" s="112">
        <f>M8/L8-1</f>
        <v>-9.5601447213301327E-2</v>
      </c>
      <c r="N9" s="112">
        <f>N8/M8-1</f>
        <v>8.3358430011731821E-2</v>
      </c>
      <c r="O9" s="112">
        <f>O8/N8-1</f>
        <v>3.2922852235102829E-2</v>
      </c>
      <c r="P9" s="202" t="s">
        <v>13</v>
      </c>
      <c r="Q9" s="112">
        <f>Q8/O8-1</f>
        <v>5.0057641402192488E-2</v>
      </c>
      <c r="R9" s="112">
        <f>R8/Q8-1</f>
        <v>5.2212000076506726E-2</v>
      </c>
      <c r="S9" s="112">
        <f>S8/R8-1</f>
        <v>5.5481633365325855E-2</v>
      </c>
      <c r="T9" s="112">
        <f>T8/S8-1</f>
        <v>1.7786962886420454E-2</v>
      </c>
      <c r="U9" s="202" t="s">
        <v>13</v>
      </c>
      <c r="V9" s="112">
        <f>V8/T8-1</f>
        <v>0.11411253887623563</v>
      </c>
      <c r="W9" s="112">
        <f>W8/V8-1</f>
        <v>5.3382663847780121E-2</v>
      </c>
      <c r="X9" s="112">
        <f>X8/W8-1</f>
        <v>4.2011984474396025E-2</v>
      </c>
      <c r="Y9" s="112">
        <f>Y8/X8-1</f>
        <v>3.6950222913455288E-2</v>
      </c>
      <c r="Z9" s="202" t="s">
        <v>13</v>
      </c>
      <c r="AA9" s="112">
        <f>AA8/Y8-1</f>
        <v>6.9228162037667129E-2</v>
      </c>
      <c r="AB9" s="112">
        <f>AB8/AA8-1</f>
        <v>1.0865034457110179E-2</v>
      </c>
      <c r="AC9" s="220"/>
      <c r="AF9" s="243"/>
    </row>
    <row r="10" spans="1:57" s="10" customFormat="1" ht="13" x14ac:dyDescent="0.15">
      <c r="A10" s="47" t="s">
        <v>14</v>
      </c>
      <c r="B10" s="29">
        <v>0.13079608595171366</v>
      </c>
      <c r="C10" s="29">
        <v>0.11136852906795314</v>
      </c>
      <c r="D10" s="29">
        <v>0.20161168733265744</v>
      </c>
      <c r="E10" s="29">
        <v>0.18712823752368912</v>
      </c>
      <c r="F10" s="29">
        <v>0.15846833965184759</v>
      </c>
      <c r="G10" s="29">
        <f t="shared" ref="G10:M10" si="0">G8/B8-1</f>
        <v>0.15750846728800383</v>
      </c>
      <c r="H10" s="29">
        <f t="shared" si="0"/>
        <v>0.15894856076759067</v>
      </c>
      <c r="I10" s="29">
        <f t="shared" si="0"/>
        <v>8.7693186341530893E-2</v>
      </c>
      <c r="J10" s="29">
        <f t="shared" si="0"/>
        <v>9.3523709786592857E-2</v>
      </c>
      <c r="K10" s="29">
        <f t="shared" si="0"/>
        <v>0.12255976591870565</v>
      </c>
      <c r="L10" s="29">
        <f t="shared" si="0"/>
        <v>2.6785155255391935E-2</v>
      </c>
      <c r="M10" s="29">
        <f t="shared" si="0"/>
        <v>-8.6386950790319883E-2</v>
      </c>
      <c r="N10" s="29">
        <f>N8/I8-1</f>
        <v>-4.1266229633401208E-2</v>
      </c>
      <c r="O10" s="29">
        <f>O8/J8-1</f>
        <v>-3.082858388613785E-2</v>
      </c>
      <c r="P10" s="29">
        <f>P8/K8-1</f>
        <v>-3.3199306801056316E-2</v>
      </c>
      <c r="Q10" s="29">
        <f t="shared" ref="Q10:S10" si="1">Q8/L8-1</f>
        <v>6.2705801048823062E-2</v>
      </c>
      <c r="R10" s="29">
        <f t="shared" si="1"/>
        <v>0.23639273080328849</v>
      </c>
      <c r="S10" s="29">
        <f t="shared" si="1"/>
        <v>0.20457808130513078</v>
      </c>
      <c r="T10" s="29">
        <f>T8/O8-1</f>
        <v>0.18692684964631878</v>
      </c>
      <c r="U10" s="29">
        <f>U8/P8-1</f>
        <v>0.17096534555326715</v>
      </c>
      <c r="V10" s="29">
        <f t="shared" ref="V10:W10" si="2">V8/Q8-1</f>
        <v>0.25933094887439512</v>
      </c>
      <c r="W10" s="29">
        <f t="shared" si="2"/>
        <v>0.26073204781432691</v>
      </c>
      <c r="X10" s="29">
        <f>X8/S8-1</f>
        <v>0.24464307241884087</v>
      </c>
      <c r="Y10" s="29">
        <f>Y8/T8-1</f>
        <v>0.26807766109736741</v>
      </c>
      <c r="Z10" s="29">
        <f>Z8/U8-1</f>
        <v>0.25817767730886665</v>
      </c>
      <c r="AA10" s="29">
        <f>AA8/V8-1</f>
        <v>0.21699047410755501</v>
      </c>
      <c r="AB10" s="29">
        <f t="shared" ref="AB10" si="3">AB8/W8-1</f>
        <v>0.16786915122468882</v>
      </c>
      <c r="AC10" s="220"/>
      <c r="AF10" s="243"/>
    </row>
    <row r="11" spans="1:57" s="10" customFormat="1" ht="6" customHeight="1" x14ac:dyDescent="0.15">
      <c r="A11" s="47"/>
      <c r="AC11" s="221"/>
      <c r="AF11" s="235"/>
    </row>
    <row r="12" spans="1:57" x14ac:dyDescent="0.2">
      <c r="A12" s="48" t="s">
        <v>15</v>
      </c>
      <c r="B12" s="137">
        <v>-138101</v>
      </c>
      <c r="C12" s="137">
        <v>-139649</v>
      </c>
      <c r="D12" s="137">
        <v>-152157</v>
      </c>
      <c r="E12" s="137">
        <f>+F12-SUM(B12:D12)</f>
        <v>-154948</v>
      </c>
      <c r="F12" s="137">
        <v>-584855</v>
      </c>
      <c r="G12" s="137">
        <v>-157240</v>
      </c>
      <c r="H12" s="137">
        <v>-162446</v>
      </c>
      <c r="I12" s="137">
        <v>-167542</v>
      </c>
      <c r="J12" s="137">
        <f>+K12-SUM(G12:I12)</f>
        <v>-168262</v>
      </c>
      <c r="K12" s="137">
        <v>-655490</v>
      </c>
      <c r="L12" s="137">
        <v>-162656</v>
      </c>
      <c r="M12" s="137">
        <v>-158401</v>
      </c>
      <c r="N12" s="137">
        <v>-152087</v>
      </c>
      <c r="O12" s="137">
        <f>+P12-SUM(L12:N12)</f>
        <v>-150792</v>
      </c>
      <c r="P12" s="137">
        <v>-623936</v>
      </c>
      <c r="Q12" s="137">
        <v>-158821</v>
      </c>
      <c r="R12" s="137">
        <v>-170701</v>
      </c>
      <c r="S12" s="137">
        <v>-177743</v>
      </c>
      <c r="T12" s="137">
        <f>+U12-SUM(Q12:S12)</f>
        <v>-183669</v>
      </c>
      <c r="U12" s="137">
        <v>-690934</v>
      </c>
      <c r="V12" s="137">
        <v>-207516</v>
      </c>
      <c r="W12" s="137">
        <v>-221207</v>
      </c>
      <c r="X12" s="137">
        <v>-230462</v>
      </c>
      <c r="Y12" s="137">
        <f>+Z12-SUM(V12:X12)</f>
        <v>-237410</v>
      </c>
      <c r="Z12" s="137">
        <v>-896595</v>
      </c>
      <c r="AA12" s="137">
        <v>-251469</v>
      </c>
      <c r="AB12" s="137">
        <v>-253220</v>
      </c>
      <c r="AF12" s="244"/>
      <c r="AO12" s="10"/>
      <c r="AP12" s="10"/>
      <c r="AQ12" s="10"/>
      <c r="AR12" s="10"/>
      <c r="AS12" s="10"/>
      <c r="AT12" s="10"/>
      <c r="AU12" s="10"/>
      <c r="AV12" s="10"/>
      <c r="AW12" s="10"/>
      <c r="AX12" s="10"/>
      <c r="AY12" s="10"/>
      <c r="AZ12" s="10"/>
      <c r="BA12" s="10"/>
      <c r="BB12" s="10"/>
      <c r="BC12" s="10"/>
      <c r="BD12" s="10"/>
      <c r="BE12" s="10"/>
    </row>
    <row r="13" spans="1:57" s="10" customFormat="1" ht="13" x14ac:dyDescent="0.15">
      <c r="A13" s="49" t="s">
        <v>16</v>
      </c>
      <c r="B13" s="111">
        <f t="shared" ref="B13:H13" si="4">B8+B12</f>
        <v>68872</v>
      </c>
      <c r="C13" s="111">
        <f t="shared" si="4"/>
        <v>70463</v>
      </c>
      <c r="D13" s="111">
        <f t="shared" si="4"/>
        <v>78967</v>
      </c>
      <c r="E13" s="111">
        <f t="shared" si="4"/>
        <v>79955</v>
      </c>
      <c r="F13" s="111">
        <f t="shared" si="4"/>
        <v>298257</v>
      </c>
      <c r="G13" s="111">
        <f t="shared" si="4"/>
        <v>82333</v>
      </c>
      <c r="H13" s="111">
        <f t="shared" si="4"/>
        <v>81063</v>
      </c>
      <c r="I13" s="111">
        <f t="shared" ref="I13:P13" si="5">I8+I12</f>
        <v>83850</v>
      </c>
      <c r="J13" s="111">
        <f t="shared" si="5"/>
        <v>88610</v>
      </c>
      <c r="K13" s="111">
        <f t="shared" si="5"/>
        <v>335856</v>
      </c>
      <c r="L13" s="111">
        <f t="shared" si="5"/>
        <v>83334</v>
      </c>
      <c r="M13" s="111">
        <f>M8+M12</f>
        <v>64072</v>
      </c>
      <c r="N13" s="111">
        <f t="shared" si="5"/>
        <v>88931</v>
      </c>
      <c r="O13" s="111">
        <f t="shared" si="5"/>
        <v>98161</v>
      </c>
      <c r="P13" s="111">
        <f t="shared" si="5"/>
        <v>334498</v>
      </c>
      <c r="Q13" s="111">
        <f t="shared" ref="Q13:R13" si="6">Q8+Q12</f>
        <v>102594</v>
      </c>
      <c r="R13" s="111">
        <f t="shared" si="6"/>
        <v>104363</v>
      </c>
      <c r="S13" s="111">
        <f t="shared" ref="S13:T13" si="7">S8+S12</f>
        <v>112582</v>
      </c>
      <c r="T13" s="111">
        <f t="shared" si="7"/>
        <v>111820</v>
      </c>
      <c r="U13" s="111">
        <f t="shared" ref="U13:Y13" si="8">U8+U12</f>
        <v>431359</v>
      </c>
      <c r="V13" s="111">
        <f t="shared" si="8"/>
        <v>121692</v>
      </c>
      <c r="W13" s="111">
        <f t="shared" si="8"/>
        <v>125575</v>
      </c>
      <c r="X13" s="111">
        <f t="shared" si="8"/>
        <v>130889</v>
      </c>
      <c r="Y13" s="111">
        <f t="shared" si="8"/>
        <v>137293</v>
      </c>
      <c r="Z13" s="111">
        <f t="shared" ref="Z13:AA13" si="9">Z8+Z12</f>
        <v>515449</v>
      </c>
      <c r="AA13" s="111">
        <f t="shared" si="9"/>
        <v>149174</v>
      </c>
      <c r="AB13" s="111">
        <f t="shared" ref="AB13" si="10">AB8+AB12</f>
        <v>151776</v>
      </c>
      <c r="AC13" s="219"/>
      <c r="AF13" s="235"/>
    </row>
    <row r="14" spans="1:57" x14ac:dyDescent="0.2">
      <c r="A14" s="47" t="s">
        <v>17</v>
      </c>
      <c r="B14" s="112">
        <f t="shared" ref="B14:I14" si="11">B13/B8</f>
        <v>0.33275837911225137</v>
      </c>
      <c r="C14" s="112">
        <f t="shared" si="11"/>
        <v>0.33535923697837344</v>
      </c>
      <c r="D14" s="112">
        <f t="shared" si="11"/>
        <v>0.34166508021668024</v>
      </c>
      <c r="E14" s="112">
        <f t="shared" si="11"/>
        <v>0.34037453757508418</v>
      </c>
      <c r="F14" s="112">
        <f t="shared" si="11"/>
        <v>0.33773405864714784</v>
      </c>
      <c r="G14" s="112">
        <f t="shared" si="11"/>
        <v>0.34366560505566152</v>
      </c>
      <c r="H14" s="112">
        <f t="shared" si="11"/>
        <v>0.33289529339777996</v>
      </c>
      <c r="I14" s="112">
        <f t="shared" si="11"/>
        <v>0.33354283350305497</v>
      </c>
      <c r="J14" s="112">
        <f t="shared" ref="J14:P14" si="12">J13/J8</f>
        <v>0.34495779999377124</v>
      </c>
      <c r="K14" s="112">
        <f t="shared" si="12"/>
        <v>0.33878787022896145</v>
      </c>
      <c r="L14" s="112">
        <f t="shared" si="12"/>
        <v>0.33876986869384934</v>
      </c>
      <c r="M14" s="112">
        <f t="shared" si="12"/>
        <v>0.28799899313624577</v>
      </c>
      <c r="N14" s="112">
        <f t="shared" si="12"/>
        <v>0.36898074002771575</v>
      </c>
      <c r="O14" s="112">
        <f t="shared" si="12"/>
        <v>0.39429530875305779</v>
      </c>
      <c r="P14" s="112">
        <f t="shared" si="12"/>
        <v>0.34900473063351256</v>
      </c>
      <c r="Q14" s="112">
        <f t="shared" ref="Q14:R14" si="13">Q13/Q8</f>
        <v>0.39245643899546701</v>
      </c>
      <c r="R14" s="112">
        <f t="shared" si="13"/>
        <v>0.37941351830846637</v>
      </c>
      <c r="S14" s="112">
        <f t="shared" ref="S14:T14" si="14">S13/S8</f>
        <v>0.3877792129510032</v>
      </c>
      <c r="T14" s="112">
        <f t="shared" si="14"/>
        <v>0.37842356229842733</v>
      </c>
      <c r="U14" s="112">
        <f t="shared" ref="U14:W14" si="15">U13/U8</f>
        <v>0.38435506592307001</v>
      </c>
      <c r="V14" s="112">
        <f t="shared" si="15"/>
        <v>0.3696507982795072</v>
      </c>
      <c r="W14" s="112">
        <f t="shared" si="15"/>
        <v>0.36211510401347247</v>
      </c>
      <c r="X14" s="112">
        <f>X13/X8</f>
        <v>0.36222121981120847</v>
      </c>
      <c r="Y14" s="112">
        <f t="shared" ref="Y14:AA14" si="16">Y13/Y8</f>
        <v>0.36640485931524436</v>
      </c>
      <c r="Z14" s="112">
        <f t="shared" si="16"/>
        <v>0.36503749174954886</v>
      </c>
      <c r="AA14" s="112">
        <f t="shared" si="16"/>
        <v>0.37233646912588014</v>
      </c>
      <c r="AB14" s="112">
        <f t="shared" ref="AB14" si="17">AB13/AB8</f>
        <v>0.37475925688154943</v>
      </c>
      <c r="AC14" s="220"/>
      <c r="AF14" s="243"/>
      <c r="AO14" s="10"/>
      <c r="AP14" s="10"/>
      <c r="AQ14" s="10"/>
      <c r="AR14" s="10"/>
      <c r="AS14" s="10"/>
      <c r="AT14" s="10"/>
      <c r="AU14" s="10"/>
      <c r="AV14" s="10"/>
      <c r="AW14" s="10"/>
      <c r="AX14" s="10"/>
      <c r="AY14" s="10"/>
      <c r="AZ14" s="10"/>
      <c r="BA14" s="10"/>
      <c r="BB14" s="10"/>
      <c r="BC14" s="10"/>
      <c r="BD14" s="10"/>
      <c r="BE14" s="10"/>
    </row>
    <row r="15" spans="1:57" ht="6" customHeight="1" x14ac:dyDescent="0.2">
      <c r="A15" s="47"/>
      <c r="AF15" s="235"/>
      <c r="AO15" s="10"/>
      <c r="AP15" s="10"/>
      <c r="AQ15" s="10"/>
      <c r="AR15" s="10"/>
      <c r="AS15" s="10"/>
      <c r="AT15" s="10"/>
      <c r="AU15" s="10"/>
      <c r="AV15" s="10"/>
      <c r="AW15" s="10"/>
      <c r="AX15" s="10"/>
      <c r="AY15" s="10"/>
      <c r="AZ15" s="10"/>
      <c r="BA15" s="10"/>
      <c r="BB15" s="10"/>
      <c r="BC15" s="10"/>
      <c r="BD15" s="10"/>
      <c r="BE15" s="10"/>
    </row>
    <row r="16" spans="1:57" x14ac:dyDescent="0.2">
      <c r="A16" s="49" t="s">
        <v>18</v>
      </c>
      <c r="AF16" s="235"/>
      <c r="AO16" s="10"/>
      <c r="AP16" s="10"/>
      <c r="AQ16" s="10"/>
      <c r="AR16" s="10"/>
      <c r="AS16" s="10"/>
      <c r="AT16" s="10"/>
      <c r="AU16" s="10"/>
      <c r="AV16" s="10"/>
      <c r="AW16" s="10"/>
      <c r="AX16" s="10"/>
      <c r="AY16" s="10"/>
      <c r="AZ16" s="10"/>
      <c r="BA16" s="10"/>
      <c r="BB16" s="10"/>
      <c r="BC16" s="10"/>
      <c r="BD16" s="10"/>
      <c r="BE16" s="10"/>
    </row>
    <row r="17" spans="1:57" x14ac:dyDescent="0.2">
      <c r="A17" s="48" t="s">
        <v>19</v>
      </c>
      <c r="B17" s="137">
        <v>-29266</v>
      </c>
      <c r="C17" s="137">
        <f>-27640</f>
        <v>-27640</v>
      </c>
      <c r="D17" s="137">
        <v>-28704</v>
      </c>
      <c r="E17" s="137">
        <f>+F17-SUM(B17:D17)</f>
        <v>-30592</v>
      </c>
      <c r="F17" s="137">
        <v>-116202</v>
      </c>
      <c r="G17" s="137">
        <v>-32531</v>
      </c>
      <c r="H17" s="137">
        <v>-31228</v>
      </c>
      <c r="I17" s="137">
        <v>-29590</v>
      </c>
      <c r="J17" s="137">
        <f>+K17-SUM(G17:I17)</f>
        <v>-33560</v>
      </c>
      <c r="K17" s="137">
        <v>-126909</v>
      </c>
      <c r="L17" s="137">
        <v>-28941</v>
      </c>
      <c r="M17" s="137">
        <v>-28750</v>
      </c>
      <c r="N17" s="137">
        <v>-26810</v>
      </c>
      <c r="O17" s="137">
        <f>+P17-SUM(L17:N17)</f>
        <v>-29390</v>
      </c>
      <c r="P17" s="137">
        <v>-113891</v>
      </c>
      <c r="Q17" s="137">
        <v>-30703</v>
      </c>
      <c r="R17" s="137">
        <v>-36499</v>
      </c>
      <c r="S17" s="137">
        <v>-36167</v>
      </c>
      <c r="T17" s="137">
        <f>+U17-SUM(Q17:S17)</f>
        <v>-38671</v>
      </c>
      <c r="U17" s="137">
        <v>-142040</v>
      </c>
      <c r="V17" s="137">
        <v>-39945</v>
      </c>
      <c r="W17" s="137">
        <v>-40434</v>
      </c>
      <c r="X17" s="137">
        <v>-42519</v>
      </c>
      <c r="Y17" s="137">
        <f>+Z17-SUM(V17:X17)</f>
        <v>-46118</v>
      </c>
      <c r="Z17" s="137">
        <v>-169016</v>
      </c>
      <c r="AA17" s="137">
        <v>-46746</v>
      </c>
      <c r="AB17" s="137">
        <v>-45605</v>
      </c>
      <c r="AF17" s="244"/>
      <c r="AO17" s="10"/>
      <c r="AP17" s="10"/>
      <c r="AQ17" s="10"/>
      <c r="AR17" s="10"/>
      <c r="AS17" s="10"/>
      <c r="AT17" s="10"/>
      <c r="AU17" s="10"/>
      <c r="AV17" s="10"/>
      <c r="AW17" s="10"/>
      <c r="AX17" s="10"/>
      <c r="AY17" s="10"/>
      <c r="AZ17" s="10"/>
      <c r="BA17" s="10"/>
      <c r="BB17" s="10"/>
      <c r="BC17" s="10"/>
      <c r="BD17" s="10"/>
      <c r="BE17" s="10"/>
    </row>
    <row r="18" spans="1:57" x14ac:dyDescent="0.2">
      <c r="A18" s="47" t="s">
        <v>20</v>
      </c>
      <c r="B18" s="112">
        <f t="shared" ref="B18:H18" si="18">-B17/B$8</f>
        <v>0.14140008600155576</v>
      </c>
      <c r="C18" s="112">
        <f t="shared" si="18"/>
        <v>0.13154888821200122</v>
      </c>
      <c r="D18" s="112">
        <f t="shared" si="18"/>
        <v>0.12419307384780465</v>
      </c>
      <c r="E18" s="112">
        <f t="shared" si="18"/>
        <v>0.13023247893811488</v>
      </c>
      <c r="F18" s="112">
        <f t="shared" si="18"/>
        <v>0.13158240404388119</v>
      </c>
      <c r="G18" s="112">
        <f t="shared" si="18"/>
        <v>0.13578742178793102</v>
      </c>
      <c r="H18" s="112">
        <f t="shared" si="18"/>
        <v>0.1282416666324448</v>
      </c>
      <c r="I18" s="112">
        <f t="shared" ref="I18:P18" si="19">-I17/I$8</f>
        <v>0.11770462067209776</v>
      </c>
      <c r="J18" s="112">
        <f t="shared" si="19"/>
        <v>0.13064872777102993</v>
      </c>
      <c r="K18" s="112">
        <f t="shared" si="19"/>
        <v>0.12801685788816417</v>
      </c>
      <c r="L18" s="112">
        <f t="shared" si="19"/>
        <v>0.11765112402943209</v>
      </c>
      <c r="M18" s="112">
        <f>-M17/M$8</f>
        <v>0.12922916488742453</v>
      </c>
      <c r="N18" s="112">
        <f t="shared" si="19"/>
        <v>0.11123650515729115</v>
      </c>
      <c r="O18" s="112">
        <f t="shared" si="19"/>
        <v>0.11805441187694063</v>
      </c>
      <c r="P18" s="112">
        <f t="shared" si="19"/>
        <v>0.11883030026063349</v>
      </c>
      <c r="Q18" s="112">
        <f t="shared" ref="Q18:R18" si="20">-Q17/Q$8</f>
        <v>0.11744926649197636</v>
      </c>
      <c r="R18" s="112">
        <f t="shared" si="20"/>
        <v>0.13269275514062182</v>
      </c>
      <c r="S18" s="112">
        <f t="shared" ref="S18:V18" si="21">-S17/S$8</f>
        <v>0.12457418410402135</v>
      </c>
      <c r="T18" s="112">
        <f t="shared" si="21"/>
        <v>0.13087119994314508</v>
      </c>
      <c r="U18" s="112">
        <f t="shared" si="21"/>
        <v>0.12656231483222297</v>
      </c>
      <c r="V18" s="112">
        <f t="shared" si="21"/>
        <v>0.12133666253553985</v>
      </c>
      <c r="W18" s="112">
        <f t="shared" ref="W18:AA18" si="22">-W17/W$8</f>
        <v>0.11659774728792152</v>
      </c>
      <c r="X18" s="112">
        <f t="shared" si="22"/>
        <v>0.1176667561456866</v>
      </c>
      <c r="Y18" s="112">
        <f t="shared" si="22"/>
        <v>0.12307881175224111</v>
      </c>
      <c r="Z18" s="112">
        <f t="shared" si="22"/>
        <v>0.11969598681060931</v>
      </c>
      <c r="AA18" s="112">
        <f t="shared" si="22"/>
        <v>0.11667744101357068</v>
      </c>
      <c r="AB18" s="112">
        <f t="shared" ref="AB18" si="23">-AB17/AB$8</f>
        <v>0.11260605043012771</v>
      </c>
      <c r="AC18" s="220"/>
      <c r="AF18" s="243"/>
      <c r="AO18" s="10"/>
      <c r="AP18" s="10"/>
      <c r="AQ18" s="10"/>
      <c r="AR18" s="10"/>
      <c r="AS18" s="10"/>
      <c r="AT18" s="10"/>
      <c r="AU18" s="10"/>
      <c r="AV18" s="10"/>
      <c r="AW18" s="10"/>
      <c r="AX18" s="10"/>
      <c r="AY18" s="10"/>
      <c r="AZ18" s="10"/>
      <c r="BA18" s="10"/>
      <c r="BB18" s="10"/>
      <c r="BC18" s="10"/>
      <c r="BD18" s="10"/>
      <c r="BE18" s="10"/>
    </row>
    <row r="19" spans="1:57" ht="6" customHeight="1" x14ac:dyDescent="0.2">
      <c r="A19" s="47"/>
      <c r="AF19" s="235"/>
      <c r="AO19" s="10"/>
      <c r="AP19" s="10"/>
      <c r="AQ19" s="10"/>
      <c r="AR19" s="10"/>
      <c r="AS19" s="10"/>
      <c r="AT19" s="10"/>
      <c r="AU19" s="10"/>
      <c r="AV19" s="10"/>
      <c r="AW19" s="10"/>
      <c r="AX19" s="10"/>
      <c r="AY19" s="10"/>
      <c r="AZ19" s="10"/>
      <c r="BA19" s="10"/>
      <c r="BB19" s="10"/>
      <c r="BC19" s="10"/>
      <c r="BD19" s="10"/>
      <c r="BE19" s="10"/>
    </row>
    <row r="20" spans="1:57" x14ac:dyDescent="0.2">
      <c r="A20" s="48" t="s">
        <v>21</v>
      </c>
      <c r="B20" s="137">
        <v>-13952</v>
      </c>
      <c r="C20" s="137">
        <v>-15151</v>
      </c>
      <c r="D20" s="137">
        <v>-16490</v>
      </c>
      <c r="E20" s="137">
        <f>+F20-SUM(B20:D20)</f>
        <v>-18019</v>
      </c>
      <c r="F20" s="137">
        <v>-63612</v>
      </c>
      <c r="G20" s="137">
        <v>-18047</v>
      </c>
      <c r="H20" s="137">
        <v>-17647</v>
      </c>
      <c r="I20" s="137">
        <v>-18302</v>
      </c>
      <c r="J20" s="137">
        <f>+K20-SUM(G20:I20)</f>
        <v>-17846</v>
      </c>
      <c r="K20" s="137">
        <v>-71842</v>
      </c>
      <c r="L20" s="137">
        <v>-14456</v>
      </c>
      <c r="M20" s="137">
        <v>-13051</v>
      </c>
      <c r="N20" s="137">
        <v>-15290</v>
      </c>
      <c r="O20" s="137">
        <f>+P20-SUM(L20:N20)</f>
        <v>-17326</v>
      </c>
      <c r="P20" s="137">
        <v>-60123</v>
      </c>
      <c r="Q20" s="137">
        <v>-18235</v>
      </c>
      <c r="R20" s="137">
        <v>-19724</v>
      </c>
      <c r="S20" s="137">
        <v>-21672</v>
      </c>
      <c r="T20" s="137">
        <f>+U20-SUM(Q20:S20)</f>
        <v>-24675</v>
      </c>
      <c r="U20" s="137">
        <v>-84306</v>
      </c>
      <c r="V20" s="137">
        <v>-24170</v>
      </c>
      <c r="W20" s="137">
        <v>-23985</v>
      </c>
      <c r="X20" s="137">
        <v>-23879</v>
      </c>
      <c r="Y20" s="137">
        <f>+Z20-SUM(V20:X20)</f>
        <v>-25955</v>
      </c>
      <c r="Z20" s="137">
        <v>-97989</v>
      </c>
      <c r="AA20" s="137">
        <v>-29493</v>
      </c>
      <c r="AB20" s="137">
        <v>-28238</v>
      </c>
      <c r="AF20" s="244"/>
      <c r="AO20" s="10"/>
      <c r="AP20" s="10"/>
      <c r="AQ20" s="10"/>
      <c r="AR20" s="10"/>
      <c r="AS20" s="10"/>
      <c r="AT20" s="10"/>
      <c r="AU20" s="10"/>
      <c r="AV20" s="10"/>
      <c r="AW20" s="10"/>
      <c r="AX20" s="10"/>
      <c r="AY20" s="10"/>
      <c r="AZ20" s="10"/>
      <c r="BA20" s="10"/>
      <c r="BB20" s="10"/>
      <c r="BC20" s="10"/>
      <c r="BD20" s="10"/>
      <c r="BE20" s="10"/>
    </row>
    <row r="21" spans="1:57" x14ac:dyDescent="0.2">
      <c r="A21" s="47" t="s">
        <v>20</v>
      </c>
      <c r="B21" s="112">
        <f t="shared" ref="B21:H21" si="24">-B20/B$8</f>
        <v>6.7409758760804545E-2</v>
      </c>
      <c r="C21" s="112">
        <f t="shared" si="24"/>
        <v>7.2109160828510502E-2</v>
      </c>
      <c r="D21" s="112">
        <f t="shared" si="24"/>
        <v>7.1346982572125781E-2</v>
      </c>
      <c r="E21" s="112">
        <f t="shared" si="24"/>
        <v>7.6708258302363108E-2</v>
      </c>
      <c r="F21" s="112">
        <f t="shared" si="24"/>
        <v>7.2031633586679827E-2</v>
      </c>
      <c r="G21" s="112">
        <f t="shared" si="24"/>
        <v>7.5329857705167105E-2</v>
      </c>
      <c r="H21" s="112">
        <f t="shared" si="24"/>
        <v>7.246960071290999E-2</v>
      </c>
      <c r="I21" s="112">
        <f t="shared" ref="I21:P21" si="25">-I20/I$8</f>
        <v>7.28026349287169E-2</v>
      </c>
      <c r="J21" s="112">
        <f t="shared" si="25"/>
        <v>6.9474290697312285E-2</v>
      </c>
      <c r="K21" s="112">
        <f t="shared" si="25"/>
        <v>7.2469148006851294E-2</v>
      </c>
      <c r="L21" s="112">
        <f t="shared" si="25"/>
        <v>5.8766616529127201E-2</v>
      </c>
      <c r="M21" s="112">
        <f>-M20/M$8</f>
        <v>5.8663298467679224E-2</v>
      </c>
      <c r="N21" s="112">
        <f t="shared" si="25"/>
        <v>6.3439245201603198E-2</v>
      </c>
      <c r="O21" s="112">
        <f t="shared" si="25"/>
        <v>6.9595465810815701E-2</v>
      </c>
      <c r="P21" s="112">
        <f t="shared" si="25"/>
        <v>6.2730454053174234E-2</v>
      </c>
      <c r="Q21" s="112">
        <f t="shared" ref="Q21:R21" si="26">-Q20/Q$8</f>
        <v>6.9754987280760475E-2</v>
      </c>
      <c r="R21" s="112">
        <f t="shared" si="26"/>
        <v>7.1706948201145912E-2</v>
      </c>
      <c r="S21" s="112">
        <f>-S20/S$8-0.05%</f>
        <v>7.4147377938517181E-2</v>
      </c>
      <c r="T21" s="112">
        <f>ROUNDDOWN(-T20/T$8,3)</f>
        <v>8.3000000000000004E-2</v>
      </c>
      <c r="U21" s="112">
        <f>-U20/U$8</f>
        <v>7.5119420686041882E-2</v>
      </c>
      <c r="V21" s="112">
        <f>-V20/V$8</f>
        <v>7.3418628951908829E-2</v>
      </c>
      <c r="W21" s="112">
        <f>-W20/W$8</f>
        <v>6.916448950637577E-2</v>
      </c>
      <c r="X21" s="112">
        <f>-X20/X$8</f>
        <v>6.6082562383942486E-2</v>
      </c>
      <c r="Y21" s="112">
        <f>ROUNDDOWN(-Y20/Y$8,3)</f>
        <v>6.9000000000000006E-2</v>
      </c>
      <c r="Z21" s="112">
        <f>-Z20/Z$8</f>
        <v>6.9395146326884996E-2</v>
      </c>
      <c r="AA21" s="112">
        <f>-AA20/AA$8</f>
        <v>7.3614165229393749E-2</v>
      </c>
      <c r="AB21" s="112">
        <f>-AB20/AB$8</f>
        <v>6.9724145423658498E-2</v>
      </c>
      <c r="AC21" s="220"/>
      <c r="AF21" s="243"/>
      <c r="AO21" s="10"/>
      <c r="AP21" s="10"/>
      <c r="AQ21" s="10"/>
      <c r="AR21" s="10"/>
      <c r="AS21" s="10"/>
      <c r="AT21" s="10"/>
      <c r="AU21" s="10"/>
      <c r="AV21" s="10"/>
      <c r="AW21" s="10"/>
      <c r="AX21" s="10"/>
      <c r="AY21" s="10"/>
      <c r="AZ21" s="10"/>
      <c r="BA21" s="10"/>
      <c r="BB21" s="10"/>
      <c r="BC21" s="10"/>
      <c r="BD21" s="10"/>
      <c r="BE21" s="10"/>
    </row>
    <row r="22" spans="1:57" ht="6" customHeight="1" x14ac:dyDescent="0.2">
      <c r="A22" s="47"/>
      <c r="AF22" s="235"/>
      <c r="AO22" s="10"/>
      <c r="AP22" s="10"/>
      <c r="AQ22" s="10"/>
      <c r="AR22" s="10"/>
      <c r="AS22" s="10"/>
      <c r="AT22" s="10"/>
      <c r="AU22" s="10"/>
      <c r="AV22" s="10"/>
      <c r="AW22" s="10"/>
      <c r="AX22" s="10"/>
      <c r="AY22" s="10"/>
      <c r="AZ22" s="10"/>
      <c r="BA22" s="10"/>
      <c r="BB22" s="10"/>
      <c r="BC22" s="10"/>
      <c r="BD22" s="10"/>
      <c r="BE22" s="10"/>
    </row>
    <row r="23" spans="1:57" x14ac:dyDescent="0.2">
      <c r="A23" s="48" t="s">
        <v>22</v>
      </c>
      <c r="B23" s="69">
        <v>-10504</v>
      </c>
      <c r="C23" s="69">
        <v>-10582</v>
      </c>
      <c r="D23" s="69">
        <v>-14099</v>
      </c>
      <c r="E23" s="137">
        <f>+F23-SUM(B23:D23)</f>
        <v>-13381</v>
      </c>
      <c r="F23" s="24">
        <v>-48566</v>
      </c>
      <c r="G23" s="24">
        <v>-13667</v>
      </c>
      <c r="H23" s="24">
        <v>-12752</v>
      </c>
      <c r="I23" s="24">
        <v>-13047</v>
      </c>
      <c r="J23" s="137">
        <f>+K23-SUM(G23:I23)</f>
        <v>-12515</v>
      </c>
      <c r="K23" s="24">
        <v>-51981</v>
      </c>
      <c r="L23" s="24">
        <v>-12450</v>
      </c>
      <c r="M23" s="24">
        <v>-12405</v>
      </c>
      <c r="N23" s="24">
        <v>-12425</v>
      </c>
      <c r="O23" s="24">
        <f>+P23-SUM(L23:N23)</f>
        <v>-13182</v>
      </c>
      <c r="P23" s="24">
        <v>-50462</v>
      </c>
      <c r="Q23" s="24">
        <v>-12101</v>
      </c>
      <c r="R23" s="24">
        <v>-12310</v>
      </c>
      <c r="S23" s="24">
        <v>-12305</v>
      </c>
      <c r="T23" s="24">
        <f>+U23-SUM(Q23:S23)</f>
        <v>-12416</v>
      </c>
      <c r="U23" s="24">
        <v>-49132</v>
      </c>
      <c r="V23" s="24">
        <v>-13602</v>
      </c>
      <c r="W23" s="24">
        <v>-14075</v>
      </c>
      <c r="X23" s="24">
        <v>-14380</v>
      </c>
      <c r="Y23" s="24">
        <f>+Z23-SUM(V23:X23)</f>
        <v>-14225</v>
      </c>
      <c r="Z23" s="24">
        <v>-56282</v>
      </c>
      <c r="AA23" s="24">
        <v>-13487</v>
      </c>
      <c r="AB23" s="24">
        <v>-13122</v>
      </c>
      <c r="AC23" s="216"/>
      <c r="AF23" s="244"/>
      <c r="AO23" s="10"/>
      <c r="AP23" s="10"/>
      <c r="AQ23" s="10"/>
      <c r="AR23" s="10"/>
      <c r="AS23" s="10"/>
      <c r="AT23" s="10"/>
      <c r="AU23" s="10"/>
      <c r="AV23" s="10"/>
      <c r="AW23" s="10"/>
      <c r="AX23" s="10"/>
      <c r="AY23" s="10"/>
      <c r="AZ23" s="10"/>
      <c r="BA23" s="10"/>
      <c r="BB23" s="10"/>
      <c r="BC23" s="10"/>
      <c r="BD23" s="10"/>
      <c r="BE23" s="10"/>
    </row>
    <row r="24" spans="1:57" x14ac:dyDescent="0.2">
      <c r="A24" s="47" t="s">
        <v>20</v>
      </c>
      <c r="B24" s="29">
        <f t="shared" ref="B24:H24" si="27">-B23/B$8</f>
        <v>5.0750580993656175E-2</v>
      </c>
      <c r="C24" s="29">
        <f t="shared" si="27"/>
        <v>5.0363615595491927E-2</v>
      </c>
      <c r="D24" s="29">
        <f t="shared" si="27"/>
        <v>6.1001886433256609E-2</v>
      </c>
      <c r="E24" s="29">
        <f t="shared" si="27"/>
        <v>5.6963938306449899E-2</v>
      </c>
      <c r="F24" s="29">
        <f t="shared" si="27"/>
        <v>5.4994157026515327E-2</v>
      </c>
      <c r="G24" s="29">
        <f t="shared" si="27"/>
        <v>5.7047330041365266E-2</v>
      </c>
      <c r="H24" s="29">
        <f t="shared" si="27"/>
        <v>5.2367674295405918E-2</v>
      </c>
      <c r="I24" s="29">
        <f t="shared" ref="I24:P24" si="28">-I23/I$8</f>
        <v>5.1899026221995929E-2</v>
      </c>
      <c r="J24" s="29">
        <f t="shared" si="28"/>
        <v>4.8720763648821205E-2</v>
      </c>
      <c r="K24" s="29">
        <f t="shared" si="28"/>
        <v>5.243477050394111E-2</v>
      </c>
      <c r="L24" s="29">
        <f t="shared" si="28"/>
        <v>5.0611813488353183E-2</v>
      </c>
      <c r="M24" s="29">
        <f>-M23/M$8</f>
        <v>5.5759575319252221E-2</v>
      </c>
      <c r="N24" s="29">
        <f t="shared" si="28"/>
        <v>5.1552166228248514E-2</v>
      </c>
      <c r="O24" s="29">
        <f t="shared" si="28"/>
        <v>5.2949753567942542E-2</v>
      </c>
      <c r="P24" s="29">
        <f t="shared" si="28"/>
        <v>5.2650469411560943E-2</v>
      </c>
      <c r="Q24" s="29">
        <f t="shared" ref="Q24:R24" si="29">-Q23/Q$8</f>
        <v>4.6290381194652182E-2</v>
      </c>
      <c r="R24" s="29">
        <f t="shared" si="29"/>
        <v>4.475322106855132E-2</v>
      </c>
      <c r="S24" s="29">
        <f t="shared" ref="S24:V24" si="30">-S23/S$8</f>
        <v>4.2383535692758115E-2</v>
      </c>
      <c r="T24" s="29">
        <f t="shared" si="30"/>
        <v>4.2018484613640439E-2</v>
      </c>
      <c r="U24" s="29">
        <f t="shared" si="30"/>
        <v>4.3778229036445918E-2</v>
      </c>
      <c r="V24" s="29">
        <f t="shared" si="30"/>
        <v>4.1317343442443685E-2</v>
      </c>
      <c r="W24" s="29">
        <f t="shared" ref="W24:AA24" si="31">-W23/W$8</f>
        <v>4.0587458403261993E-2</v>
      </c>
      <c r="X24" s="29">
        <f t="shared" si="31"/>
        <v>3.9795102268985007E-2</v>
      </c>
      <c r="Y24" s="29">
        <f t="shared" si="31"/>
        <v>3.7963400346407689E-2</v>
      </c>
      <c r="Z24" s="29">
        <f t="shared" si="31"/>
        <v>3.9858531320553753E-2</v>
      </c>
      <c r="AA24" s="29">
        <f t="shared" si="31"/>
        <v>3.3663386106833268E-2</v>
      </c>
      <c r="AB24" s="29">
        <f t="shared" ref="AB24" si="32">-AB23/AB$8</f>
        <v>3.2400320003160524E-2</v>
      </c>
      <c r="AC24" s="220"/>
      <c r="AF24" s="243"/>
      <c r="AO24" s="10"/>
      <c r="AP24" s="10"/>
      <c r="AQ24" s="10"/>
      <c r="AR24" s="10"/>
      <c r="AS24" s="10"/>
      <c r="AT24" s="10"/>
      <c r="AU24" s="10"/>
      <c r="AV24" s="10"/>
      <c r="AW24" s="10"/>
      <c r="AX24" s="10"/>
      <c r="AY24" s="10"/>
      <c r="AZ24" s="10"/>
      <c r="BA24" s="10"/>
      <c r="BB24" s="10"/>
      <c r="BC24" s="10"/>
      <c r="BD24" s="10"/>
      <c r="BE24" s="10"/>
    </row>
    <row r="25" spans="1:57" ht="6" customHeight="1" x14ac:dyDescent="0.2">
      <c r="A25" s="47"/>
      <c r="AF25" s="235"/>
      <c r="AO25" s="10"/>
      <c r="AP25" s="10"/>
      <c r="AQ25" s="10"/>
      <c r="AR25" s="10"/>
      <c r="AS25" s="10"/>
      <c r="AT25" s="10"/>
      <c r="AU25" s="10"/>
      <c r="AV25" s="10"/>
      <c r="AW25" s="10"/>
      <c r="AX25" s="10"/>
      <c r="AY25" s="10"/>
      <c r="AZ25" s="10"/>
      <c r="BA25" s="10"/>
      <c r="BB25" s="10"/>
      <c r="BC25" s="10"/>
      <c r="BD25" s="10"/>
      <c r="BE25" s="10"/>
    </row>
    <row r="26" spans="1:57" x14ac:dyDescent="0.2">
      <c r="A26" s="48" t="s">
        <v>23</v>
      </c>
      <c r="B26" s="169">
        <v>0</v>
      </c>
      <c r="C26" s="169">
        <v>0</v>
      </c>
      <c r="D26" s="28">
        <v>0</v>
      </c>
      <c r="E26" s="137">
        <f>+F26-SUM(B26:D26)</f>
        <v>-20056</v>
      </c>
      <c r="F26" s="24">
        <v>-20056</v>
      </c>
      <c r="G26" s="24">
        <v>-1227</v>
      </c>
      <c r="H26" s="24">
        <v>-5580</v>
      </c>
      <c r="I26" s="170">
        <v>-489</v>
      </c>
      <c r="J26" s="137">
        <f>+K26-SUM(G26:I26)</f>
        <v>-1375</v>
      </c>
      <c r="K26" s="24">
        <v>-8671</v>
      </c>
      <c r="L26" s="24">
        <v>0</v>
      </c>
      <c r="M26" s="24">
        <v>0</v>
      </c>
      <c r="N26" s="24">
        <v>0</v>
      </c>
      <c r="O26" s="24">
        <f>+P26-SUM(L26:N26)</f>
        <v>0</v>
      </c>
      <c r="P26" s="24">
        <v>0</v>
      </c>
      <c r="Q26" s="24">
        <v>0</v>
      </c>
      <c r="R26" s="24">
        <v>0</v>
      </c>
      <c r="S26" s="24">
        <v>0</v>
      </c>
      <c r="T26" s="24">
        <f>+U26-SUM(Q26:S26)</f>
        <v>0</v>
      </c>
      <c r="U26" s="24">
        <v>0</v>
      </c>
      <c r="V26" s="24">
        <v>0</v>
      </c>
      <c r="W26" s="24">
        <v>0</v>
      </c>
      <c r="X26" s="24">
        <v>0</v>
      </c>
      <c r="Y26" s="24">
        <f>+Z26-SUM(V26:X26)</f>
        <v>0</v>
      </c>
      <c r="Z26" s="24">
        <v>0</v>
      </c>
      <c r="AA26" s="24">
        <v>0</v>
      </c>
      <c r="AB26" s="24">
        <v>0</v>
      </c>
      <c r="AC26" s="216"/>
      <c r="AD26" s="241"/>
      <c r="AF26" s="244"/>
      <c r="AO26" s="10"/>
      <c r="AP26" s="10"/>
      <c r="AQ26" s="10"/>
      <c r="AR26" s="10"/>
      <c r="AS26" s="10"/>
      <c r="AT26" s="10"/>
      <c r="AU26" s="10"/>
      <c r="AV26" s="10"/>
      <c r="AW26" s="10"/>
      <c r="AX26" s="10"/>
      <c r="AY26" s="10"/>
      <c r="AZ26" s="10"/>
      <c r="BA26" s="10"/>
      <c r="BB26" s="10"/>
      <c r="BC26" s="10"/>
      <c r="BD26" s="10"/>
      <c r="BE26" s="10"/>
    </row>
    <row r="27" spans="1:57" x14ac:dyDescent="0.2">
      <c r="A27" s="47" t="s">
        <v>20</v>
      </c>
      <c r="B27" s="29">
        <v>0</v>
      </c>
      <c r="C27" s="29">
        <v>0</v>
      </c>
      <c r="D27" s="29">
        <v>0</v>
      </c>
      <c r="E27" s="29">
        <f>-E26/E$8</f>
        <v>8.5379922776635461E-2</v>
      </c>
      <c r="F27" s="29">
        <f>-F26/F$8</f>
        <v>2.2710596164472911E-2</v>
      </c>
      <c r="G27" s="29">
        <f>-G26/G$8</f>
        <v>5.1216122017088738E-3</v>
      </c>
      <c r="H27" s="29">
        <f>-H26/H$8</f>
        <v>2.2914964128635903E-2</v>
      </c>
      <c r="I27" s="29">
        <f t="shared" ref="I27:P27" si="33">-I26/I$8</f>
        <v>1.9451692973523422E-3</v>
      </c>
      <c r="J27" s="29">
        <f t="shared" si="33"/>
        <v>5.3528605686879067E-3</v>
      </c>
      <c r="K27" s="29">
        <f t="shared" si="33"/>
        <v>8.7466938889146674E-3</v>
      </c>
      <c r="L27" s="29">
        <f t="shared" si="33"/>
        <v>0</v>
      </c>
      <c r="M27" s="29">
        <f>-M26/M$8</f>
        <v>0</v>
      </c>
      <c r="N27" s="29">
        <f t="shared" si="33"/>
        <v>0</v>
      </c>
      <c r="O27" s="29">
        <f t="shared" si="33"/>
        <v>0</v>
      </c>
      <c r="P27" s="29">
        <f t="shared" si="33"/>
        <v>0</v>
      </c>
      <c r="Q27" s="29">
        <f t="shared" ref="Q27:R27" si="34">-Q26/Q$8</f>
        <v>0</v>
      </c>
      <c r="R27" s="29">
        <f t="shared" si="34"/>
        <v>0</v>
      </c>
      <c r="S27" s="29">
        <f t="shared" ref="S27:V27" si="35">-S26/S$8</f>
        <v>0</v>
      </c>
      <c r="T27" s="29">
        <f t="shared" si="35"/>
        <v>0</v>
      </c>
      <c r="U27" s="29">
        <f t="shared" si="35"/>
        <v>0</v>
      </c>
      <c r="V27" s="29">
        <f t="shared" si="35"/>
        <v>0</v>
      </c>
      <c r="W27" s="29">
        <f t="shared" ref="W27:AA27" si="36">-W26/W$8</f>
        <v>0</v>
      </c>
      <c r="X27" s="29">
        <f t="shared" si="36"/>
        <v>0</v>
      </c>
      <c r="Y27" s="29">
        <f t="shared" si="36"/>
        <v>0</v>
      </c>
      <c r="Z27" s="29">
        <f t="shared" si="36"/>
        <v>0</v>
      </c>
      <c r="AA27" s="29">
        <f t="shared" si="36"/>
        <v>0</v>
      </c>
      <c r="AB27" s="29">
        <f t="shared" ref="AB27" si="37">-AB26/AB$8</f>
        <v>0</v>
      </c>
      <c r="AC27" s="220"/>
      <c r="AF27" s="243"/>
      <c r="AO27" s="10"/>
      <c r="AP27" s="10"/>
      <c r="AQ27" s="10"/>
      <c r="AR27" s="10"/>
      <c r="AS27" s="10"/>
      <c r="AT27" s="10"/>
      <c r="AU27" s="10"/>
      <c r="AV27" s="10"/>
      <c r="AW27" s="10"/>
      <c r="AX27" s="10"/>
      <c r="AY27" s="10"/>
      <c r="AZ27" s="10"/>
      <c r="BA27" s="10"/>
      <c r="BB27" s="10"/>
      <c r="BC27" s="10"/>
      <c r="BD27" s="10"/>
      <c r="BE27" s="10"/>
    </row>
    <row r="28" spans="1:57" ht="6" customHeight="1" x14ac:dyDescent="0.2">
      <c r="A28" s="47"/>
      <c r="AF28" s="235"/>
      <c r="AO28" s="10"/>
      <c r="AP28" s="10"/>
      <c r="AQ28" s="10"/>
      <c r="AR28" s="10"/>
      <c r="AS28" s="10"/>
      <c r="AT28" s="10"/>
      <c r="AU28" s="10"/>
      <c r="AV28" s="10"/>
      <c r="AW28" s="10"/>
      <c r="AX28" s="10"/>
      <c r="AY28" s="10"/>
      <c r="AZ28" s="10"/>
      <c r="BA28" s="10"/>
      <c r="BB28" s="10"/>
      <c r="BC28" s="10"/>
      <c r="BD28" s="10"/>
      <c r="BE28" s="10"/>
    </row>
    <row r="29" spans="1:57" s="10" customFormat="1" ht="13" x14ac:dyDescent="0.15">
      <c r="A29" s="49" t="s">
        <v>24</v>
      </c>
      <c r="B29" s="23">
        <f t="shared" ref="B29:E29" si="38">B17+B20+B23+B26</f>
        <v>-53722</v>
      </c>
      <c r="C29" s="23">
        <f t="shared" si="38"/>
        <v>-53373</v>
      </c>
      <c r="D29" s="23">
        <f t="shared" si="38"/>
        <v>-59293</v>
      </c>
      <c r="E29" s="23">
        <f t="shared" si="38"/>
        <v>-82048</v>
      </c>
      <c r="F29" s="23">
        <f t="shared" ref="F29:P29" si="39">F17+F20+F23+F26</f>
        <v>-248436</v>
      </c>
      <c r="G29" s="23">
        <f t="shared" si="39"/>
        <v>-65472</v>
      </c>
      <c r="H29" s="23">
        <f t="shared" si="39"/>
        <v>-67207</v>
      </c>
      <c r="I29" s="23">
        <f t="shared" si="39"/>
        <v>-61428</v>
      </c>
      <c r="J29" s="23">
        <f t="shared" si="39"/>
        <v>-65296</v>
      </c>
      <c r="K29" s="23">
        <f t="shared" si="39"/>
        <v>-259403</v>
      </c>
      <c r="L29" s="23">
        <f t="shared" si="39"/>
        <v>-55847</v>
      </c>
      <c r="M29" s="23">
        <f>M17+M20+M23+M26</f>
        <v>-54206</v>
      </c>
      <c r="N29" s="23">
        <f t="shared" si="39"/>
        <v>-54525</v>
      </c>
      <c r="O29" s="23">
        <f t="shared" si="39"/>
        <v>-59898</v>
      </c>
      <c r="P29" s="23">
        <f t="shared" si="39"/>
        <v>-224476</v>
      </c>
      <c r="Q29" s="23">
        <f t="shared" ref="Q29:R29" si="40">Q17+Q20+Q23+Q26</f>
        <v>-61039</v>
      </c>
      <c r="R29" s="23">
        <f t="shared" si="40"/>
        <v>-68533</v>
      </c>
      <c r="S29" s="23">
        <f t="shared" ref="S29:V29" si="41">S17+S20+S23+S26</f>
        <v>-70144</v>
      </c>
      <c r="T29" s="23">
        <f t="shared" si="41"/>
        <v>-75762</v>
      </c>
      <c r="U29" s="23">
        <f t="shared" si="41"/>
        <v>-275478</v>
      </c>
      <c r="V29" s="23">
        <f t="shared" si="41"/>
        <v>-77717</v>
      </c>
      <c r="W29" s="23">
        <f t="shared" ref="W29:AA29" si="42">W17+W20+W23+W26</f>
        <v>-78494</v>
      </c>
      <c r="X29" s="23">
        <f t="shared" si="42"/>
        <v>-80778</v>
      </c>
      <c r="Y29" s="23">
        <f t="shared" si="42"/>
        <v>-86298</v>
      </c>
      <c r="Z29" s="23">
        <f t="shared" si="42"/>
        <v>-323287</v>
      </c>
      <c r="AA29" s="23">
        <f t="shared" si="42"/>
        <v>-89726</v>
      </c>
      <c r="AB29" s="23">
        <f t="shared" ref="AB29" si="43">AB17+AB20+AB23+AB26</f>
        <v>-86965</v>
      </c>
      <c r="AC29" s="219"/>
      <c r="AF29" s="244"/>
    </row>
    <row r="30" spans="1:57" ht="6" customHeight="1" x14ac:dyDescent="0.2">
      <c r="A30" s="47"/>
      <c r="AF30" s="235"/>
      <c r="AO30" s="10"/>
      <c r="AP30" s="10"/>
      <c r="AQ30" s="10"/>
      <c r="AR30" s="10"/>
      <c r="AS30" s="10"/>
      <c r="AT30" s="10"/>
      <c r="AU30" s="10"/>
      <c r="AV30" s="10"/>
      <c r="AW30" s="10"/>
      <c r="AX30" s="10"/>
      <c r="AY30" s="10"/>
      <c r="AZ30" s="10"/>
      <c r="BA30" s="10"/>
      <c r="BB30" s="10"/>
      <c r="BC30" s="10"/>
      <c r="BD30" s="10"/>
      <c r="BE30" s="10"/>
    </row>
    <row r="31" spans="1:57" s="10" customFormat="1" ht="13" x14ac:dyDescent="0.15">
      <c r="A31" s="46" t="s">
        <v>25</v>
      </c>
      <c r="B31" s="34">
        <f t="shared" ref="B31:F31" si="44">B13+B29</f>
        <v>15150</v>
      </c>
      <c r="C31" s="34">
        <f t="shared" si="44"/>
        <v>17090</v>
      </c>
      <c r="D31" s="34">
        <f t="shared" si="44"/>
        <v>19674</v>
      </c>
      <c r="E31" s="34">
        <f t="shared" si="44"/>
        <v>-2093</v>
      </c>
      <c r="F31" s="34">
        <f t="shared" si="44"/>
        <v>49821</v>
      </c>
      <c r="G31" s="34">
        <f>G13+G29</f>
        <v>16861</v>
      </c>
      <c r="H31" s="34">
        <f>H13+H29</f>
        <v>13856</v>
      </c>
      <c r="I31" s="34">
        <f t="shared" ref="I31:P31" si="45">I13+I29</f>
        <v>22422</v>
      </c>
      <c r="J31" s="34">
        <f t="shared" si="45"/>
        <v>23314</v>
      </c>
      <c r="K31" s="34">
        <f t="shared" si="45"/>
        <v>76453</v>
      </c>
      <c r="L31" s="34">
        <f t="shared" si="45"/>
        <v>27487</v>
      </c>
      <c r="M31" s="34">
        <f>M13+M29</f>
        <v>9866</v>
      </c>
      <c r="N31" s="34">
        <f t="shared" si="45"/>
        <v>34406</v>
      </c>
      <c r="O31" s="34">
        <f t="shared" si="45"/>
        <v>38263</v>
      </c>
      <c r="P31" s="34">
        <f t="shared" si="45"/>
        <v>110022</v>
      </c>
      <c r="Q31" s="34">
        <f t="shared" ref="Q31:R31" si="46">Q13+Q29</f>
        <v>41555</v>
      </c>
      <c r="R31" s="34">
        <f t="shared" si="46"/>
        <v>35830</v>
      </c>
      <c r="S31" s="34">
        <f t="shared" ref="S31:AA31" si="47">S13+S29</f>
        <v>42438</v>
      </c>
      <c r="T31" s="34">
        <f t="shared" si="47"/>
        <v>36058</v>
      </c>
      <c r="U31" s="34">
        <f t="shared" si="47"/>
        <v>155881</v>
      </c>
      <c r="V31" s="34">
        <f t="shared" si="47"/>
        <v>43975</v>
      </c>
      <c r="W31" s="34">
        <f t="shared" si="47"/>
        <v>47081</v>
      </c>
      <c r="X31" s="34">
        <f t="shared" ref="X31" si="48">X13+X29</f>
        <v>50111</v>
      </c>
      <c r="Y31" s="34">
        <f t="shared" si="47"/>
        <v>50995</v>
      </c>
      <c r="Z31" s="34">
        <f t="shared" si="47"/>
        <v>192162</v>
      </c>
      <c r="AA31" s="34">
        <f t="shared" si="47"/>
        <v>59448</v>
      </c>
      <c r="AB31" s="34">
        <f t="shared" ref="AB31" si="49">AB13+AB29</f>
        <v>64811</v>
      </c>
      <c r="AC31" s="219"/>
      <c r="AF31" s="235"/>
    </row>
    <row r="32" spans="1:57" s="10" customFormat="1" ht="13" x14ac:dyDescent="0.15">
      <c r="A32" s="47" t="s">
        <v>12</v>
      </c>
      <c r="B32" s="29">
        <v>-7.055214723926384E-2</v>
      </c>
      <c r="C32" s="29">
        <f>C31/B31-1</f>
        <v>0.12805280528052809</v>
      </c>
      <c r="D32" s="29">
        <f>D31/C31-1</f>
        <v>0.15119953188999413</v>
      </c>
      <c r="E32" s="29">
        <f>E31/D31-1</f>
        <v>-1.1063840601809494</v>
      </c>
      <c r="F32" s="30" t="s">
        <v>13</v>
      </c>
      <c r="G32" s="29">
        <f>G31/E31-1</f>
        <v>-9.0559006211180133</v>
      </c>
      <c r="H32" s="29">
        <f>H31/G31-1</f>
        <v>-0.17822193226973493</v>
      </c>
      <c r="I32" s="29">
        <f>I31/H31-1</f>
        <v>0.61821593533487307</v>
      </c>
      <c r="J32" s="29">
        <f>J31/I31-1</f>
        <v>3.9782356614039838E-2</v>
      </c>
      <c r="K32" s="30" t="s">
        <v>13</v>
      </c>
      <c r="L32" s="29">
        <f>L31/J31-1</f>
        <v>0.17899116410740334</v>
      </c>
      <c r="M32" s="29">
        <f>M31/L31-1</f>
        <v>-0.64106668606977846</v>
      </c>
      <c r="N32" s="29">
        <f>N31/M31-1</f>
        <v>2.4873302250152038</v>
      </c>
      <c r="O32" s="29">
        <f>O31/N31-1</f>
        <v>0.11210254025460675</v>
      </c>
      <c r="P32" s="30" t="s">
        <v>13</v>
      </c>
      <c r="Q32" s="29">
        <f>Q31/O31-1</f>
        <v>8.6036118443404863E-2</v>
      </c>
      <c r="R32" s="29">
        <f>R31/Q31-1</f>
        <v>-0.13776922151365656</v>
      </c>
      <c r="S32" s="29">
        <f>S31/R31-1</f>
        <v>0.18442645827518844</v>
      </c>
      <c r="T32" s="29">
        <f>T31/S31-1</f>
        <v>-0.15033696215655779</v>
      </c>
      <c r="U32" s="30" t="s">
        <v>13</v>
      </c>
      <c r="V32" s="29">
        <f>V31/T31-1</f>
        <v>0.21956292639636144</v>
      </c>
      <c r="W32" s="29">
        <f>W31/V31-1</f>
        <v>7.0631040363843045E-2</v>
      </c>
      <c r="X32" s="29">
        <f>X31/W31-1</f>
        <v>6.4357171682844383E-2</v>
      </c>
      <c r="Y32" s="29">
        <f>Y31/X31-1</f>
        <v>1.7640837341102777E-2</v>
      </c>
      <c r="Z32" s="30" t="s">
        <v>13</v>
      </c>
      <c r="AA32" s="29">
        <f>AA31/Y31-1</f>
        <v>0.16576134915187768</v>
      </c>
      <c r="AB32" s="29">
        <f>AB31/AA31-1</f>
        <v>9.0213295653344128E-2</v>
      </c>
      <c r="AC32" s="220"/>
      <c r="AF32" s="243"/>
    </row>
    <row r="33" spans="1:57" s="10" customFormat="1" ht="13" x14ac:dyDescent="0.15">
      <c r="A33" s="47" t="s">
        <v>14</v>
      </c>
      <c r="B33" s="29">
        <v>-0.1198001394376017</v>
      </c>
      <c r="C33" s="29">
        <v>-6.4484344208451949E-2</v>
      </c>
      <c r="D33" s="29">
        <v>-6.0682740510861755E-2</v>
      </c>
      <c r="E33" s="29">
        <v>-1.1284049079754601</v>
      </c>
      <c r="F33" s="29">
        <v>-0.31493984187005841</v>
      </c>
      <c r="G33" s="29">
        <f t="shared" ref="G33" si="50">G31/B31-1</f>
        <v>0.11293729372937289</v>
      </c>
      <c r="H33" s="29">
        <f t="shared" ref="H33" si="51">H31/C31-1</f>
        <v>-0.18923346986541834</v>
      </c>
      <c r="I33" s="29">
        <f t="shared" ref="I33" si="52">I31/D31-1</f>
        <v>0.1396767307105824</v>
      </c>
      <c r="J33" s="29">
        <f t="shared" ref="J33" si="53">J31/E31-1</f>
        <v>-12.139034878165313</v>
      </c>
      <c r="K33" s="29">
        <f>K31/F31-1</f>
        <v>0.53455370225406962</v>
      </c>
      <c r="L33" s="29">
        <f t="shared" ref="L33" si="54">L31/G31-1</f>
        <v>0.63021173121404428</v>
      </c>
      <c r="M33" s="29">
        <f t="shared" ref="M33" si="55">M31/H31-1</f>
        <v>-0.28796189376443415</v>
      </c>
      <c r="N33" s="29">
        <f t="shared" ref="N33" si="56">N31/I31-1</f>
        <v>0.53447506912853449</v>
      </c>
      <c r="O33" s="29">
        <f t="shared" ref="O33" si="57">O31/J31-1</f>
        <v>0.64120271081753444</v>
      </c>
      <c r="P33" s="29">
        <f>P31/K31-1</f>
        <v>0.43908021921965124</v>
      </c>
      <c r="Q33" s="29">
        <f t="shared" ref="Q33" si="58">Q31/L31-1</f>
        <v>0.51180558082002392</v>
      </c>
      <c r="R33" s="29">
        <f t="shared" ref="R33" si="59">R31/M31-1</f>
        <v>2.6316643016420027</v>
      </c>
      <c r="S33" s="29">
        <f t="shared" ref="S33" si="60">S31/N31-1</f>
        <v>0.23344765447886995</v>
      </c>
      <c r="T33" s="29">
        <f t="shared" ref="T33" si="61">T31/O31-1</f>
        <v>-5.7627473015707031E-2</v>
      </c>
      <c r="U33" s="29">
        <f>U31/P31-1</f>
        <v>0.41681663667266555</v>
      </c>
      <c r="V33" s="29">
        <f t="shared" ref="V33" si="62">V31/Q31-1</f>
        <v>5.823607267476838E-2</v>
      </c>
      <c r="W33" s="29">
        <f t="shared" ref="W33" si="63">W31/R31-1</f>
        <v>0.31401060563773364</v>
      </c>
      <c r="X33" s="29">
        <f t="shared" ref="X33" si="64">X31/S31-1</f>
        <v>0.18080493896979122</v>
      </c>
      <c r="Y33" s="29">
        <f t="shared" ref="Y33" si="65">Y31/T31-1</f>
        <v>0.41424926507293813</v>
      </c>
      <c r="Z33" s="29">
        <f>Z31/U31-1</f>
        <v>0.23274805781333185</v>
      </c>
      <c r="AA33" s="29">
        <f t="shared" ref="AA33:AB33" si="66">AA31/V31-1</f>
        <v>0.35185901080159177</v>
      </c>
      <c r="AB33" s="29">
        <f t="shared" si="66"/>
        <v>0.37658503430258494</v>
      </c>
      <c r="AC33" s="220"/>
      <c r="AF33" s="243"/>
    </row>
    <row r="34" spans="1:57" x14ac:dyDescent="0.2">
      <c r="A34" s="47" t="s">
        <v>26</v>
      </c>
      <c r="B34" s="29">
        <v>7.3197953356234871E-2</v>
      </c>
      <c r="C34" s="29">
        <f t="shared" ref="C34:P34" si="67">IF(C31/C8&lt;0, "NM",C31/C8)</f>
        <v>8.1337572342369782E-2</v>
      </c>
      <c r="D34" s="29">
        <f t="shared" si="67"/>
        <v>8.5123137363493195E-2</v>
      </c>
      <c r="E34" s="30" t="str">
        <f t="shared" si="67"/>
        <v>NM</v>
      </c>
      <c r="F34" s="29">
        <f t="shared" si="67"/>
        <v>5.6415267825598567E-2</v>
      </c>
      <c r="G34" s="29">
        <f t="shared" si="67"/>
        <v>7.0379383319489258E-2</v>
      </c>
      <c r="H34" s="29">
        <f t="shared" si="67"/>
        <v>5.6901387628383343E-2</v>
      </c>
      <c r="I34" s="29">
        <f t="shared" si="67"/>
        <v>8.9191382382892051E-2</v>
      </c>
      <c r="J34" s="29">
        <f t="shared" si="67"/>
        <v>9.0761157307919893E-2</v>
      </c>
      <c r="K34" s="29">
        <f t="shared" si="67"/>
        <v>7.7120399941090198E-2</v>
      </c>
      <c r="L34" s="29">
        <f t="shared" si="67"/>
        <v>0.11174031464693687</v>
      </c>
      <c r="M34" s="29">
        <f t="shared" si="67"/>
        <v>4.4346954461889757E-2</v>
      </c>
      <c r="N34" s="29">
        <f t="shared" si="67"/>
        <v>0.14275282344057291</v>
      </c>
      <c r="O34" s="29">
        <f t="shared" si="67"/>
        <v>0.15369567749735893</v>
      </c>
      <c r="P34" s="29">
        <f t="shared" si="67"/>
        <v>0.11479350690814391</v>
      </c>
      <c r="Q34" s="29">
        <f t="shared" ref="Q34" si="68">IF(Q31/Q8&lt;0, "NM",Q31/Q8)</f>
        <v>0.15896180402807797</v>
      </c>
      <c r="R34" s="29">
        <f>IF(R31/R8&lt;0, "NM",R31/R8)</f>
        <v>0.13026059389814734</v>
      </c>
      <c r="S34" s="29">
        <f>IF(S31/S8&lt;0, "NM",S31/S8)</f>
        <v>0.14617411521570653</v>
      </c>
      <c r="T34" s="29">
        <f t="shared" ref="T34:V34" si="69">IF(T31/T8&lt;0, "NM",T31/T8)</f>
        <v>0.12202823116934979</v>
      </c>
      <c r="U34" s="29">
        <f t="shared" si="69"/>
        <v>0.13889510136835925</v>
      </c>
      <c r="V34" s="29">
        <f t="shared" si="69"/>
        <v>0.13357816334961484</v>
      </c>
      <c r="W34" s="29">
        <f>IF(W31/W8&lt;0, "NM",W31/W8)</f>
        <v>0.13576540881591317</v>
      </c>
      <c r="X34" s="29">
        <f>IF(X31/X8&lt;0, "NM",X31/X8)</f>
        <v>0.13867679901259441</v>
      </c>
      <c r="Y34" s="29">
        <f t="shared" ref="Y34:AA34" si="70">IF(Y31/Y8&lt;0, "NM",Y31/Y8)</f>
        <v>0.13609445347381793</v>
      </c>
      <c r="Z34" s="29">
        <f t="shared" si="70"/>
        <v>0.13608782729150082</v>
      </c>
      <c r="AA34" s="29">
        <f t="shared" si="70"/>
        <v>0.14838147677608246</v>
      </c>
      <c r="AB34" s="29">
        <f>IF(AB31/AB8&lt;0, "NM",AB31/AB8)</f>
        <v>0.16002874102460271</v>
      </c>
      <c r="AC34" s="220"/>
      <c r="AF34" s="243"/>
      <c r="AO34" s="10"/>
      <c r="AP34" s="10"/>
      <c r="AQ34" s="10"/>
      <c r="AR34" s="10"/>
      <c r="AS34" s="10"/>
      <c r="AT34" s="10"/>
      <c r="AU34" s="10"/>
      <c r="AV34" s="10"/>
      <c r="AW34" s="10"/>
      <c r="AX34" s="10"/>
      <c r="AY34" s="10"/>
      <c r="AZ34" s="10"/>
      <c r="BA34" s="10"/>
      <c r="BB34" s="10"/>
      <c r="BC34" s="10"/>
      <c r="BD34" s="10"/>
      <c r="BE34" s="10"/>
    </row>
    <row r="35" spans="1:57" ht="13" x14ac:dyDescent="0.15">
      <c r="A35" s="51"/>
      <c r="AD35" s="21"/>
      <c r="AF35" s="235"/>
      <c r="AO35" s="10"/>
      <c r="AP35" s="10"/>
      <c r="AQ35" s="10"/>
      <c r="AR35" s="10"/>
      <c r="AS35" s="10"/>
      <c r="AT35" s="10"/>
      <c r="AU35" s="10"/>
      <c r="AV35" s="10"/>
      <c r="AW35" s="10"/>
      <c r="AX35" s="10"/>
      <c r="AY35" s="10"/>
      <c r="AZ35" s="10"/>
      <c r="BA35" s="10"/>
      <c r="BB35" s="10"/>
      <c r="BC35" s="10"/>
      <c r="BD35" s="10"/>
      <c r="BE35" s="10"/>
    </row>
    <row r="36" spans="1:57" x14ac:dyDescent="0.2">
      <c r="A36" s="48" t="s">
        <v>27</v>
      </c>
      <c r="B36" s="53">
        <v>615</v>
      </c>
      <c r="C36" s="53">
        <v>1414</v>
      </c>
      <c r="D36" s="53">
        <v>1385</v>
      </c>
      <c r="E36" s="137">
        <f>+F36-SUM(B36:D36)</f>
        <v>1373</v>
      </c>
      <c r="F36" s="53">
        <v>4787</v>
      </c>
      <c r="G36" s="53">
        <v>1260</v>
      </c>
      <c r="H36" s="53">
        <v>1202</v>
      </c>
      <c r="I36" s="53">
        <v>1009</v>
      </c>
      <c r="J36" s="137">
        <f>+K36-SUM(G36:I36)</f>
        <v>281</v>
      </c>
      <c r="K36" s="53">
        <v>3752</v>
      </c>
      <c r="L36" s="53">
        <v>1377</v>
      </c>
      <c r="M36" s="53">
        <v>1359</v>
      </c>
      <c r="N36" s="53">
        <v>716</v>
      </c>
      <c r="O36" s="53">
        <f>+P36-SUM(L36:N36)</f>
        <v>980</v>
      </c>
      <c r="P36" s="53">
        <v>4432</v>
      </c>
      <c r="Q36" s="53">
        <v>434</v>
      </c>
      <c r="R36" s="53">
        <v>1353</v>
      </c>
      <c r="S36" s="53">
        <v>1171</v>
      </c>
      <c r="T36" s="53">
        <f>+U36-SUM(Q36:S36)</f>
        <v>1355</v>
      </c>
      <c r="U36" s="53">
        <v>4313</v>
      </c>
      <c r="V36" s="53">
        <v>1756</v>
      </c>
      <c r="W36" s="53">
        <v>1423</v>
      </c>
      <c r="X36" s="53">
        <v>1504</v>
      </c>
      <c r="Y36" s="53">
        <f>+Z36-SUM(V36:X36)</f>
        <v>1516</v>
      </c>
      <c r="Z36" s="53">
        <v>6199</v>
      </c>
      <c r="AA36" s="53">
        <v>105</v>
      </c>
      <c r="AB36" s="53">
        <v>324</v>
      </c>
      <c r="AF36" s="235"/>
      <c r="AO36" s="10"/>
      <c r="AP36" s="10"/>
      <c r="AQ36" s="10"/>
      <c r="AR36" s="10"/>
      <c r="AS36" s="10"/>
      <c r="AT36" s="10"/>
      <c r="AU36" s="10"/>
      <c r="AV36" s="10"/>
      <c r="AW36" s="10"/>
      <c r="AX36" s="10"/>
      <c r="AY36" s="10"/>
      <c r="AZ36" s="10"/>
      <c r="BA36" s="10"/>
      <c r="BB36" s="10"/>
      <c r="BC36" s="10"/>
      <c r="BD36" s="10"/>
      <c r="BE36" s="10"/>
    </row>
    <row r="37" spans="1:57" x14ac:dyDescent="0.2">
      <c r="A37" s="48" t="s">
        <v>28</v>
      </c>
      <c r="B37" s="24">
        <v>2996</v>
      </c>
      <c r="C37" s="24">
        <v>1526</v>
      </c>
      <c r="D37" s="24">
        <v>-9</v>
      </c>
      <c r="E37" s="137">
        <f>+F37-SUM(B37:D37)</f>
        <v>1249</v>
      </c>
      <c r="F37" s="24">
        <v>5762</v>
      </c>
      <c r="G37" s="24">
        <v>841</v>
      </c>
      <c r="H37" s="24">
        <v>238</v>
      </c>
      <c r="I37" s="24">
        <v>1383</v>
      </c>
      <c r="J37" s="137">
        <f>+K37-SUM(G37:I37)</f>
        <v>433</v>
      </c>
      <c r="K37" s="24">
        <v>2895</v>
      </c>
      <c r="L37" s="24">
        <v>-543</v>
      </c>
      <c r="M37" s="24">
        <v>1342</v>
      </c>
      <c r="N37" s="24">
        <v>-143</v>
      </c>
      <c r="O37" s="24">
        <f>+P37-SUM(L37:N37)</f>
        <v>219</v>
      </c>
      <c r="P37" s="24">
        <v>875</v>
      </c>
      <c r="Q37" s="24">
        <v>-1064</v>
      </c>
      <c r="R37" s="24">
        <v>-305</v>
      </c>
      <c r="S37" s="24">
        <v>-89</v>
      </c>
      <c r="T37" s="24">
        <f>+U37-SUM(Q37:S37)</f>
        <v>670</v>
      </c>
      <c r="U37" s="24">
        <v>-788</v>
      </c>
      <c r="V37" s="24">
        <v>1535</v>
      </c>
      <c r="W37" s="24">
        <v>-1676</v>
      </c>
      <c r="X37" s="24">
        <v>-181</v>
      </c>
      <c r="Y37" s="24">
        <f>+Z37-SUM(V37:X37)</f>
        <v>-7940</v>
      </c>
      <c r="Z37" s="24">
        <v>-8262</v>
      </c>
      <c r="AA37" s="24">
        <v>-230</v>
      </c>
      <c r="AB37" s="24">
        <v>-579</v>
      </c>
      <c r="AC37" s="216"/>
      <c r="AF37" s="235"/>
      <c r="AO37" s="10"/>
      <c r="AP37" s="10"/>
      <c r="AQ37" s="10"/>
      <c r="AR37" s="10"/>
      <c r="AS37" s="10"/>
      <c r="AT37" s="10"/>
      <c r="AU37" s="10"/>
      <c r="AV37" s="10"/>
      <c r="AW37" s="10"/>
      <c r="AX37" s="10"/>
      <c r="AY37" s="10"/>
      <c r="AZ37" s="10"/>
      <c r="BA37" s="10"/>
      <c r="BB37" s="10"/>
      <c r="BC37" s="10"/>
      <c r="BD37" s="10"/>
      <c r="BE37" s="10"/>
    </row>
    <row r="38" spans="1:57" ht="12.75" customHeight="1" outlineLevel="1" x14ac:dyDescent="0.2">
      <c r="A38" s="48" t="s">
        <v>29</v>
      </c>
      <c r="B38" s="24">
        <v>0</v>
      </c>
      <c r="C38" s="24">
        <v>0</v>
      </c>
      <c r="D38" s="24">
        <v>0</v>
      </c>
      <c r="E38" s="24">
        <v>0</v>
      </c>
      <c r="F38" s="24">
        <v>0</v>
      </c>
      <c r="G38" s="24">
        <v>0</v>
      </c>
      <c r="H38" s="24">
        <v>0</v>
      </c>
      <c r="I38" s="24">
        <v>0</v>
      </c>
      <c r="J38" s="24">
        <v>0</v>
      </c>
      <c r="K38" s="24">
        <v>0</v>
      </c>
      <c r="L38" s="24">
        <v>0</v>
      </c>
      <c r="M38" s="24">
        <v>0</v>
      </c>
      <c r="N38" s="24">
        <v>0</v>
      </c>
      <c r="O38" s="24">
        <v>0</v>
      </c>
      <c r="P38" s="24">
        <v>0</v>
      </c>
      <c r="Q38" s="24">
        <v>0</v>
      </c>
      <c r="R38" s="24">
        <v>0</v>
      </c>
      <c r="S38" s="53">
        <v>-12845</v>
      </c>
      <c r="T38" s="24">
        <f>+U38-SUM(Q38:S38)</f>
        <v>0</v>
      </c>
      <c r="U38" s="24">
        <v>-12845</v>
      </c>
      <c r="V38" s="24">
        <v>0</v>
      </c>
      <c r="W38" s="24">
        <v>0</v>
      </c>
      <c r="X38" s="28">
        <v>0</v>
      </c>
      <c r="Y38" s="24">
        <f>+Z38-SUM(V38:X38)</f>
        <v>0</v>
      </c>
      <c r="Z38" s="28">
        <v>0</v>
      </c>
      <c r="AA38" s="28">
        <v>0</v>
      </c>
      <c r="AB38" s="28">
        <v>0</v>
      </c>
      <c r="AF38" s="244"/>
      <c r="AO38" s="10"/>
      <c r="AP38" s="10"/>
      <c r="AQ38" s="10"/>
      <c r="AR38" s="10"/>
      <c r="AS38" s="10"/>
      <c r="AT38" s="10"/>
      <c r="AU38" s="10"/>
      <c r="AV38" s="10"/>
      <c r="AW38" s="10"/>
      <c r="AX38" s="10"/>
      <c r="AY38" s="10"/>
      <c r="AZ38" s="10"/>
      <c r="BA38" s="10"/>
      <c r="BB38" s="10"/>
      <c r="BC38" s="10"/>
      <c r="BD38" s="10"/>
      <c r="BE38" s="10"/>
    </row>
    <row r="39" spans="1:57" ht="6" customHeight="1" x14ac:dyDescent="0.2">
      <c r="A39" s="48"/>
      <c r="AF39" s="235"/>
      <c r="AO39" s="10"/>
      <c r="AP39" s="10"/>
      <c r="AQ39" s="10"/>
      <c r="AR39" s="10"/>
      <c r="AS39" s="10"/>
      <c r="AT39" s="10"/>
      <c r="AU39" s="10"/>
      <c r="AV39" s="10"/>
      <c r="AW39" s="10"/>
      <c r="AX39" s="10"/>
      <c r="AY39" s="10"/>
      <c r="AZ39" s="10"/>
      <c r="BA39" s="10"/>
      <c r="BB39" s="10"/>
      <c r="BC39" s="10"/>
      <c r="BD39" s="10"/>
      <c r="BE39" s="10"/>
    </row>
    <row r="40" spans="1:57" x14ac:dyDescent="0.2">
      <c r="A40" s="52" t="s">
        <v>30</v>
      </c>
      <c r="B40" s="34">
        <f t="shared" ref="B40:H40" si="71">B31+B37+B36+B38</f>
        <v>18761</v>
      </c>
      <c r="C40" s="34">
        <f t="shared" si="71"/>
        <v>20030</v>
      </c>
      <c r="D40" s="34">
        <f t="shared" si="71"/>
        <v>21050</v>
      </c>
      <c r="E40" s="34">
        <f t="shared" si="71"/>
        <v>529</v>
      </c>
      <c r="F40" s="34">
        <f t="shared" si="71"/>
        <v>60370</v>
      </c>
      <c r="G40" s="34">
        <f t="shared" si="71"/>
        <v>18962</v>
      </c>
      <c r="H40" s="34">
        <f t="shared" si="71"/>
        <v>15296</v>
      </c>
      <c r="I40" s="34">
        <f t="shared" ref="I40:P40" si="72">I31+I37+I36+I38</f>
        <v>24814</v>
      </c>
      <c r="J40" s="34">
        <f t="shared" si="72"/>
        <v>24028</v>
      </c>
      <c r="K40" s="34">
        <f t="shared" si="72"/>
        <v>83100</v>
      </c>
      <c r="L40" s="34">
        <f t="shared" si="72"/>
        <v>28321</v>
      </c>
      <c r="M40" s="34">
        <f>M31+M37+M36+M38</f>
        <v>12567</v>
      </c>
      <c r="N40" s="34">
        <f t="shared" si="72"/>
        <v>34979</v>
      </c>
      <c r="O40" s="34">
        <f t="shared" si="72"/>
        <v>39462</v>
      </c>
      <c r="P40" s="34">
        <f t="shared" si="72"/>
        <v>115329</v>
      </c>
      <c r="Q40" s="34">
        <f t="shared" ref="Q40:R40" si="73">Q31+Q37+Q36+Q38</f>
        <v>40925</v>
      </c>
      <c r="R40" s="34">
        <f t="shared" si="73"/>
        <v>36878</v>
      </c>
      <c r="S40" s="34">
        <f t="shared" ref="S40:AA40" si="74">S31+S37+S36+S38</f>
        <v>30675</v>
      </c>
      <c r="T40" s="34">
        <f t="shared" si="74"/>
        <v>38083</v>
      </c>
      <c r="U40" s="34">
        <f t="shared" si="74"/>
        <v>146561</v>
      </c>
      <c r="V40" s="34">
        <f t="shared" si="74"/>
        <v>47266</v>
      </c>
      <c r="W40" s="34">
        <f t="shared" si="74"/>
        <v>46828</v>
      </c>
      <c r="X40" s="34">
        <f t="shared" si="74"/>
        <v>51434</v>
      </c>
      <c r="Y40" s="34">
        <f t="shared" ref="Y40" si="75">Y31+Y37+Y36+Y38</f>
        <v>44571</v>
      </c>
      <c r="Z40" s="34">
        <f t="shared" si="74"/>
        <v>190099</v>
      </c>
      <c r="AA40" s="34">
        <f t="shared" si="74"/>
        <v>59323</v>
      </c>
      <c r="AB40" s="34">
        <f t="shared" ref="AB40" si="76">AB31+AB37+AB36+AB38</f>
        <v>64556</v>
      </c>
      <c r="AC40" s="219"/>
      <c r="AF40" s="235"/>
      <c r="AO40" s="10"/>
      <c r="AP40" s="10"/>
      <c r="AQ40" s="10"/>
      <c r="AR40" s="10"/>
      <c r="AS40" s="10"/>
      <c r="AT40" s="10"/>
      <c r="AU40" s="10"/>
      <c r="AV40" s="10"/>
      <c r="AW40" s="10"/>
      <c r="AX40" s="10"/>
      <c r="AY40" s="10"/>
      <c r="AZ40" s="10"/>
      <c r="BA40" s="10"/>
      <c r="BB40" s="10"/>
      <c r="BC40" s="10"/>
      <c r="BD40" s="10"/>
      <c r="BE40" s="10"/>
    </row>
    <row r="41" spans="1:57" ht="6" customHeight="1" x14ac:dyDescent="0.2">
      <c r="A41" s="51"/>
      <c r="AF41" s="235"/>
      <c r="AO41" s="10"/>
      <c r="AP41" s="10"/>
      <c r="AQ41" s="10"/>
      <c r="AR41" s="10"/>
      <c r="AS41" s="10"/>
      <c r="AT41" s="10"/>
      <c r="AU41" s="10"/>
      <c r="AV41" s="10"/>
      <c r="AW41" s="10"/>
      <c r="AX41" s="10"/>
      <c r="AY41" s="10"/>
      <c r="AZ41" s="10"/>
      <c r="BA41" s="10"/>
      <c r="BB41" s="10"/>
      <c r="BC41" s="10"/>
      <c r="BD41" s="10"/>
      <c r="BE41" s="10"/>
    </row>
    <row r="42" spans="1:57" x14ac:dyDescent="0.2">
      <c r="A42" s="48" t="s">
        <v>31</v>
      </c>
      <c r="B42" s="25">
        <v>4453</v>
      </c>
      <c r="C42" s="25">
        <v>-5510</v>
      </c>
      <c r="D42" s="25">
        <v>-5739</v>
      </c>
      <c r="E42" s="137">
        <f>+F42-SUM(B42:D42)</f>
        <v>3399</v>
      </c>
      <c r="F42" s="25">
        <v>-3397</v>
      </c>
      <c r="G42" s="25">
        <v>-4200</v>
      </c>
      <c r="H42" s="25">
        <v>-2670</v>
      </c>
      <c r="I42" s="25">
        <v>-5701</v>
      </c>
      <c r="J42" s="137">
        <f>+K42-SUM(G42:I42)</f>
        <v>-2601</v>
      </c>
      <c r="K42" s="25">
        <v>-15172</v>
      </c>
      <c r="L42" s="25">
        <v>-5855</v>
      </c>
      <c r="M42" s="25">
        <v>-4072</v>
      </c>
      <c r="N42" s="25">
        <v>-8490</v>
      </c>
      <c r="O42" s="25">
        <f>+P42-SUM(L42:N42)</f>
        <v>-7209</v>
      </c>
      <c r="P42" s="25">
        <v>-25626</v>
      </c>
      <c r="Q42" s="25">
        <v>-8958</v>
      </c>
      <c r="R42" s="25">
        <v>-8865</v>
      </c>
      <c r="S42" s="25">
        <v>-4196</v>
      </c>
      <c r="T42" s="25">
        <f>+U42-SUM(Q42:S42)</f>
        <v>-9831</v>
      </c>
      <c r="U42" s="25">
        <v>-31850</v>
      </c>
      <c r="V42" s="25">
        <v>-11202</v>
      </c>
      <c r="W42" s="25">
        <v>-11125</v>
      </c>
      <c r="X42" s="25">
        <v>-12447</v>
      </c>
      <c r="Y42" s="25">
        <f>+Z42-SUM(V42:X42)</f>
        <v>-12791</v>
      </c>
      <c r="Z42" s="25">
        <v>-47565</v>
      </c>
      <c r="AA42" s="25">
        <v>-8058</v>
      </c>
      <c r="AB42" s="25">
        <v>-15554</v>
      </c>
      <c r="AC42" s="216"/>
      <c r="AF42" s="235"/>
      <c r="AO42" s="10"/>
      <c r="AP42" s="10"/>
      <c r="AQ42" s="10"/>
      <c r="AR42" s="10"/>
      <c r="AS42" s="10"/>
      <c r="AT42" s="10"/>
      <c r="AU42" s="10"/>
      <c r="AV42" s="10"/>
      <c r="AW42" s="10"/>
      <c r="AX42" s="10"/>
      <c r="AY42" s="10"/>
      <c r="AZ42" s="10"/>
      <c r="BA42" s="10"/>
      <c r="BB42" s="10"/>
      <c r="BC42" s="10"/>
      <c r="BD42" s="10"/>
      <c r="BE42" s="10"/>
    </row>
    <row r="43" spans="1:57" outlineLevel="1" x14ac:dyDescent="0.2">
      <c r="A43" s="48" t="s">
        <v>32</v>
      </c>
      <c r="B43" s="24">
        <v>-56</v>
      </c>
      <c r="C43" s="24">
        <v>-58</v>
      </c>
      <c r="D43" s="24">
        <v>-62</v>
      </c>
      <c r="E43" s="137">
        <f>+F43-SUM(B43:D43)</f>
        <v>-71</v>
      </c>
      <c r="F43" s="45">
        <v>-247</v>
      </c>
      <c r="G43" s="45">
        <v>-67</v>
      </c>
      <c r="H43" s="45">
        <v>-62</v>
      </c>
      <c r="I43" s="45">
        <v>-69</v>
      </c>
      <c r="J43" s="137">
        <f>+K43-SUM(G43:I43)</f>
        <v>-71</v>
      </c>
      <c r="K43" s="45">
        <v>-269</v>
      </c>
      <c r="L43" s="45">
        <v>-55</v>
      </c>
      <c r="M43" s="45">
        <v>-66</v>
      </c>
      <c r="N43" s="45">
        <v>-71</v>
      </c>
      <c r="O43" s="45">
        <f>+P43-SUM(L43:N43)</f>
        <v>-35</v>
      </c>
      <c r="P43" s="45">
        <v>-227</v>
      </c>
      <c r="Q43" s="45">
        <v>-36</v>
      </c>
      <c r="R43" s="45">
        <v>8</v>
      </c>
      <c r="S43" s="45">
        <v>28</v>
      </c>
      <c r="T43" s="45">
        <f>+U43-SUM(Q43:S43)</f>
        <v>47</v>
      </c>
      <c r="U43" s="45">
        <v>47</v>
      </c>
      <c r="V43" s="45">
        <v>114</v>
      </c>
      <c r="W43" s="45">
        <v>143</v>
      </c>
      <c r="X43" s="45">
        <v>108</v>
      </c>
      <c r="Y43" s="45">
        <f>+Z43-SUM(V43:X43)</f>
        <v>69</v>
      </c>
      <c r="Z43" s="45">
        <v>434</v>
      </c>
      <c r="AA43" s="45">
        <v>66</v>
      </c>
      <c r="AB43" s="45">
        <v>66</v>
      </c>
      <c r="AC43" s="216"/>
      <c r="AF43" s="235"/>
      <c r="AO43" s="10"/>
      <c r="AP43" s="10"/>
      <c r="AQ43" s="10"/>
      <c r="AR43" s="10"/>
      <c r="AS43" s="10"/>
      <c r="AT43" s="10"/>
      <c r="AU43" s="10"/>
      <c r="AV43" s="10"/>
      <c r="AW43" s="10"/>
      <c r="AX43" s="10"/>
      <c r="AY43" s="10"/>
      <c r="AZ43" s="10"/>
      <c r="BA43" s="10"/>
      <c r="BB43" s="10"/>
      <c r="BC43" s="10"/>
      <c r="BD43" s="10"/>
      <c r="BE43" s="10"/>
    </row>
    <row r="44" spans="1:57" ht="6" customHeight="1" x14ac:dyDescent="0.2">
      <c r="A44" s="51"/>
      <c r="AF44" s="235"/>
      <c r="AO44" s="10"/>
      <c r="AP44" s="10"/>
      <c r="AQ44" s="10"/>
      <c r="AR44" s="10"/>
      <c r="AS44" s="10"/>
      <c r="AT44" s="10"/>
      <c r="AU44" s="10"/>
      <c r="AV44" s="10"/>
      <c r="AW44" s="10"/>
      <c r="AX44" s="10"/>
      <c r="AY44" s="10"/>
      <c r="AZ44" s="10"/>
      <c r="BA44" s="10"/>
      <c r="BB44" s="10"/>
      <c r="BC44" s="10"/>
      <c r="BD44" s="10"/>
      <c r="BE44" s="10"/>
    </row>
    <row r="45" spans="1:57" x14ac:dyDescent="0.2">
      <c r="A45" s="52" t="s">
        <v>33</v>
      </c>
      <c r="B45" s="34">
        <f t="shared" ref="B45:J45" si="77">B40+B42+B43</f>
        <v>23158</v>
      </c>
      <c r="C45" s="34">
        <f t="shared" si="77"/>
        <v>14462</v>
      </c>
      <c r="D45" s="34">
        <f t="shared" si="77"/>
        <v>15249</v>
      </c>
      <c r="E45" s="34">
        <f t="shared" si="77"/>
        <v>3857</v>
      </c>
      <c r="F45" s="34">
        <f t="shared" si="77"/>
        <v>56726</v>
      </c>
      <c r="G45" s="34">
        <f t="shared" si="77"/>
        <v>14695</v>
      </c>
      <c r="H45" s="34">
        <f t="shared" si="77"/>
        <v>12564</v>
      </c>
      <c r="I45" s="34">
        <f t="shared" si="77"/>
        <v>19044</v>
      </c>
      <c r="J45" s="34">
        <f t="shared" si="77"/>
        <v>21356</v>
      </c>
      <c r="K45" s="34">
        <f t="shared" ref="K45:AA45" si="78">K40+K42+K43</f>
        <v>67659</v>
      </c>
      <c r="L45" s="34">
        <f t="shared" si="78"/>
        <v>22411</v>
      </c>
      <c r="M45" s="34">
        <f t="shared" si="78"/>
        <v>8429</v>
      </c>
      <c r="N45" s="34">
        <f t="shared" si="78"/>
        <v>26418</v>
      </c>
      <c r="O45" s="34">
        <f t="shared" si="78"/>
        <v>32218</v>
      </c>
      <c r="P45" s="34">
        <f t="shared" si="78"/>
        <v>89476</v>
      </c>
      <c r="Q45" s="34">
        <f t="shared" si="78"/>
        <v>31931</v>
      </c>
      <c r="R45" s="34">
        <f t="shared" si="78"/>
        <v>28021</v>
      </c>
      <c r="S45" s="34">
        <f t="shared" si="78"/>
        <v>26507</v>
      </c>
      <c r="T45" s="34">
        <f t="shared" si="78"/>
        <v>28299</v>
      </c>
      <c r="U45" s="34">
        <f t="shared" si="78"/>
        <v>114758</v>
      </c>
      <c r="V45" s="34">
        <f t="shared" si="78"/>
        <v>36178</v>
      </c>
      <c r="W45" s="34">
        <f t="shared" si="78"/>
        <v>35846</v>
      </c>
      <c r="X45" s="34">
        <f t="shared" si="78"/>
        <v>39095</v>
      </c>
      <c r="Y45" s="34">
        <f t="shared" si="78"/>
        <v>31849</v>
      </c>
      <c r="Z45" s="34">
        <f t="shared" si="78"/>
        <v>142968</v>
      </c>
      <c r="AA45" s="34">
        <f t="shared" si="78"/>
        <v>51331</v>
      </c>
      <c r="AB45" s="34">
        <f t="shared" ref="AB45" si="79">AB40+AB42+AB43</f>
        <v>49068</v>
      </c>
      <c r="AC45" s="219"/>
      <c r="AF45" s="235"/>
      <c r="AO45" s="10"/>
      <c r="AP45" s="10"/>
      <c r="AQ45" s="10"/>
      <c r="AR45" s="10"/>
      <c r="AS45" s="10"/>
      <c r="AT45" s="10"/>
      <c r="AU45" s="10"/>
      <c r="AV45" s="10"/>
      <c r="AW45" s="10"/>
      <c r="AX45" s="10"/>
      <c r="AY45" s="10"/>
      <c r="AZ45" s="10"/>
      <c r="BA45" s="10"/>
      <c r="BB45" s="10"/>
      <c r="BC45" s="10"/>
      <c r="BD45" s="10"/>
      <c r="BE45" s="10"/>
    </row>
    <row r="46" spans="1:57" s="10" customFormat="1" ht="13" x14ac:dyDescent="0.15">
      <c r="A46" s="47" t="s">
        <v>20</v>
      </c>
      <c r="B46" s="30">
        <f t="shared" ref="B46:AA46" si="80">B45/B8</f>
        <v>0.11188899035139849</v>
      </c>
      <c r="C46" s="30">
        <f t="shared" si="80"/>
        <v>6.8829957356076762E-2</v>
      </c>
      <c r="D46" s="30">
        <f t="shared" si="80"/>
        <v>6.5977570481646222E-2</v>
      </c>
      <c r="E46" s="30">
        <f t="shared" si="80"/>
        <v>1.6419543385993367E-2</v>
      </c>
      <c r="F46" s="30">
        <f t="shared" si="80"/>
        <v>6.4234208118562536E-2</v>
      </c>
      <c r="G46" s="30">
        <f t="shared" si="80"/>
        <v>6.1338297721362588E-2</v>
      </c>
      <c r="H46" s="30">
        <f t="shared" si="80"/>
        <v>5.1595628908993094E-2</v>
      </c>
      <c r="I46" s="30">
        <f t="shared" si="80"/>
        <v>7.5754200610997968E-2</v>
      </c>
      <c r="J46" s="30">
        <f t="shared" si="80"/>
        <v>8.3138683858108325E-2</v>
      </c>
      <c r="K46" s="30">
        <f t="shared" si="80"/>
        <v>6.8249632318080664E-2</v>
      </c>
      <c r="L46" s="30">
        <f t="shared" si="80"/>
        <v>9.1105329484938408E-2</v>
      </c>
      <c r="M46" s="30">
        <f t="shared" si="80"/>
        <v>3.7887743681255706E-2</v>
      </c>
      <c r="N46" s="30">
        <f t="shared" si="80"/>
        <v>0.10961007061713234</v>
      </c>
      <c r="O46" s="30">
        <f t="shared" si="80"/>
        <v>0.12941398577241486</v>
      </c>
      <c r="P46" s="30">
        <f t="shared" si="80"/>
        <v>9.3356454382878734E-2</v>
      </c>
      <c r="Q46" s="30">
        <f t="shared" si="80"/>
        <v>0.12214677811143201</v>
      </c>
      <c r="R46" s="30">
        <f t="shared" si="80"/>
        <v>0.10187083733240264</v>
      </c>
      <c r="S46" s="30">
        <f t="shared" si="80"/>
        <v>9.1301128046155172E-2</v>
      </c>
      <c r="T46" s="30">
        <f t="shared" si="80"/>
        <v>9.5770062506556924E-2</v>
      </c>
      <c r="U46" s="30">
        <f t="shared" si="80"/>
        <v>0.10225315492478346</v>
      </c>
      <c r="V46" s="30">
        <f t="shared" si="80"/>
        <v>0.10989404874729654</v>
      </c>
      <c r="W46" s="30">
        <f t="shared" si="80"/>
        <v>0.10336753349366461</v>
      </c>
      <c r="X46" s="30">
        <f t="shared" si="80"/>
        <v>0.10819120467357224</v>
      </c>
      <c r="Y46" s="30">
        <f t="shared" si="80"/>
        <v>8.4997985070842774E-2</v>
      </c>
      <c r="Z46" s="30">
        <f t="shared" si="80"/>
        <v>0.10124896957885166</v>
      </c>
      <c r="AA46" s="30">
        <f t="shared" si="80"/>
        <v>0.12812154461702813</v>
      </c>
      <c r="AB46" s="30">
        <f t="shared" ref="AB46" si="81">AB45/AB8</f>
        <v>0.12115675216545349</v>
      </c>
      <c r="AC46" s="222"/>
      <c r="AF46" s="243"/>
    </row>
    <row r="47" spans="1:57" s="10" customFormat="1" ht="13" x14ac:dyDescent="0.15">
      <c r="A47" s="47" t="s">
        <v>12</v>
      </c>
      <c r="B47" s="30">
        <v>-3.4754676643506146</v>
      </c>
      <c r="C47" s="30">
        <f>C45/B45-1</f>
        <v>-0.37550738405734518</v>
      </c>
      <c r="D47" s="30">
        <f>D45/C45-1</f>
        <v>5.4418476006084848E-2</v>
      </c>
      <c r="E47" s="30">
        <f>E45/D45-1</f>
        <v>-0.74706538133648115</v>
      </c>
      <c r="F47" s="30" t="s">
        <v>13</v>
      </c>
      <c r="G47" s="30">
        <f>G45/E45-1</f>
        <v>2.8099559242934924</v>
      </c>
      <c r="H47" s="30">
        <f>H45/G45-1</f>
        <v>-0.14501531133038448</v>
      </c>
      <c r="I47" s="30">
        <f>I45/H45-1</f>
        <v>0.51575931232091698</v>
      </c>
      <c r="J47" s="30">
        <f>J45/I45-1</f>
        <v>0.12140306658265065</v>
      </c>
      <c r="K47" s="30" t="s">
        <v>13</v>
      </c>
      <c r="L47" s="30">
        <f>L45/J45-1</f>
        <v>4.9400636823375255E-2</v>
      </c>
      <c r="M47" s="30">
        <f>M45/L45-1</f>
        <v>-0.62389005399134356</v>
      </c>
      <c r="N47" s="30">
        <f>N45/M45-1</f>
        <v>2.1341796179855264</v>
      </c>
      <c r="O47" s="30">
        <f>O45/N45-1</f>
        <v>0.21954727837080767</v>
      </c>
      <c r="P47" s="30" t="s">
        <v>13</v>
      </c>
      <c r="Q47" s="30">
        <f>Q45/O45-1</f>
        <v>-8.908063815258549E-3</v>
      </c>
      <c r="R47" s="30">
        <f>R45/Q45-1</f>
        <v>-0.122451536124769</v>
      </c>
      <c r="S47" s="30">
        <f>S45/R45-1</f>
        <v>-5.403090539238431E-2</v>
      </c>
      <c r="T47" s="30">
        <f>T45/S45-1</f>
        <v>6.7604783642056798E-2</v>
      </c>
      <c r="U47" s="30" t="s">
        <v>13</v>
      </c>
      <c r="V47" s="30">
        <f>V45/T45-1</f>
        <v>0.27841973214601223</v>
      </c>
      <c r="W47" s="30">
        <f>W45/V45-1</f>
        <v>-9.1768478080601623E-3</v>
      </c>
      <c r="X47" s="30">
        <f>X45/W45-1</f>
        <v>9.0637728058918787E-2</v>
      </c>
      <c r="Y47" s="30">
        <f>Y45/X45-1</f>
        <v>-0.18534339429594582</v>
      </c>
      <c r="Z47" s="30" t="s">
        <v>13</v>
      </c>
      <c r="AA47" s="30">
        <f>AA45/Y45-1</f>
        <v>0.61169895444126965</v>
      </c>
      <c r="AB47" s="30">
        <f>AB45/AA45-1</f>
        <v>-4.4086419512575192E-2</v>
      </c>
      <c r="AC47" s="222"/>
      <c r="AF47" s="243"/>
    </row>
    <row r="48" spans="1:57" s="10" customFormat="1" ht="14" thickBot="1" x14ac:dyDescent="0.2">
      <c r="A48" s="86" t="s">
        <v>14</v>
      </c>
      <c r="B48" s="64">
        <v>0.37943769359066004</v>
      </c>
      <c r="C48" s="64">
        <v>-0.2903130827362842</v>
      </c>
      <c r="D48" s="64">
        <v>-0.27650993974474547</v>
      </c>
      <c r="E48" s="64">
        <v>-1.4122928915018707</v>
      </c>
      <c r="F48" s="64">
        <v>0.16032564228440527</v>
      </c>
      <c r="G48" s="64">
        <f t="shared" ref="G48:J48" si="82">G45/B45-1</f>
        <v>-0.3654460661542448</v>
      </c>
      <c r="H48" s="64">
        <f t="shared" si="82"/>
        <v>-0.13124049232471302</v>
      </c>
      <c r="I48" s="64">
        <f t="shared" si="82"/>
        <v>0.24886877828054299</v>
      </c>
      <c r="J48" s="64">
        <f t="shared" si="82"/>
        <v>4.5369458128078817</v>
      </c>
      <c r="K48" s="64">
        <f t="shared" ref="K48:Q48" si="83">K45/F45-1</f>
        <v>0.19273349081549918</v>
      </c>
      <c r="L48" s="64">
        <f t="shared" si="83"/>
        <v>0.52507655665192243</v>
      </c>
      <c r="M48" s="64">
        <f t="shared" si="83"/>
        <v>-0.32911493155046168</v>
      </c>
      <c r="N48" s="64">
        <f t="shared" si="83"/>
        <v>0.38720856962822947</v>
      </c>
      <c r="O48" s="64">
        <f t="shared" si="83"/>
        <v>0.50861584566398199</v>
      </c>
      <c r="P48" s="64">
        <f t="shared" si="83"/>
        <v>0.32245525355089488</v>
      </c>
      <c r="Q48" s="64">
        <f t="shared" si="83"/>
        <v>0.42479139708179026</v>
      </c>
      <c r="R48" s="64">
        <f>R45/M45-1</f>
        <v>2.3243563886582037</v>
      </c>
      <c r="S48" s="64">
        <f>S45/N45-1</f>
        <v>3.36891513362092E-3</v>
      </c>
      <c r="T48" s="64">
        <f t="shared" ref="T48:V48" si="84">T45/O45-1</f>
        <v>-0.12164007697560375</v>
      </c>
      <c r="U48" s="64">
        <f t="shared" si="84"/>
        <v>0.2825562161920514</v>
      </c>
      <c r="V48" s="64">
        <f t="shared" si="84"/>
        <v>0.13300554320253055</v>
      </c>
      <c r="W48" s="64">
        <f>W45/R45-1</f>
        <v>0.27925484458085004</v>
      </c>
      <c r="X48" s="64">
        <f>X45/S45-1</f>
        <v>0.47489342437846616</v>
      </c>
      <c r="Y48" s="64">
        <f t="shared" ref="Y48" si="85">Y45/T45-1</f>
        <v>0.12544612883847495</v>
      </c>
      <c r="Z48" s="64">
        <f>Z45/U45-1</f>
        <v>0.2458216420641699</v>
      </c>
      <c r="AA48" s="64">
        <f t="shared" ref="AA48" si="86">AA45/V45-1</f>
        <v>0.41884570733594995</v>
      </c>
      <c r="AB48" s="64">
        <f>AB45/W45-1</f>
        <v>0.36885566032472239</v>
      </c>
      <c r="AC48" s="220"/>
      <c r="AF48" s="235"/>
    </row>
    <row r="49" spans="1:57" s="10" customFormat="1" x14ac:dyDescent="0.15">
      <c r="A49" s="48" t="s">
        <v>34</v>
      </c>
      <c r="AC49" s="221"/>
      <c r="AF49" s="235"/>
    </row>
    <row r="50" spans="1:57" s="10" customFormat="1" ht="13" x14ac:dyDescent="0.15">
      <c r="A50" s="72" t="s">
        <v>35</v>
      </c>
      <c r="B50" s="27">
        <f t="shared" ref="B50:J50" si="87">B45/B53</f>
        <v>0.67229867038262792</v>
      </c>
      <c r="C50" s="27">
        <f t="shared" si="87"/>
        <v>0.41904265183124711</v>
      </c>
      <c r="D50" s="27">
        <f t="shared" si="87"/>
        <v>0.44252590034533795</v>
      </c>
      <c r="E50" s="27">
        <f t="shared" si="87"/>
        <v>0.11216121902989415</v>
      </c>
      <c r="F50" s="27">
        <f t="shared" si="87"/>
        <v>1.6465704914226003</v>
      </c>
      <c r="G50" s="27">
        <f t="shared" si="87"/>
        <v>0.42749090909090909</v>
      </c>
      <c r="H50" s="27">
        <f t="shared" si="87"/>
        <v>0.36468129571577845</v>
      </c>
      <c r="I50" s="27">
        <f t="shared" si="87"/>
        <v>0.55486277023483477</v>
      </c>
      <c r="J50" s="27">
        <f t="shared" si="87"/>
        <v>0.62347823548302339</v>
      </c>
      <c r="K50" s="27">
        <f t="shared" ref="K50:AA50" si="88">K45/K53</f>
        <v>1.9696943231441049</v>
      </c>
      <c r="L50" s="27">
        <f t="shared" si="88"/>
        <v>0.65144468344863671</v>
      </c>
      <c r="M50" s="27">
        <f t="shared" si="88"/>
        <v>0.24441802470567767</v>
      </c>
      <c r="N50" s="27">
        <f t="shared" si="88"/>
        <v>0.76959827541002712</v>
      </c>
      <c r="O50" s="27">
        <f t="shared" si="88"/>
        <v>0.95088837730948583</v>
      </c>
      <c r="P50" s="27">
        <f t="shared" si="88"/>
        <v>2.6106847956117059</v>
      </c>
      <c r="Q50" s="27">
        <f t="shared" si="88"/>
        <v>0.94655243967510527</v>
      </c>
      <c r="R50" s="27">
        <f t="shared" si="88"/>
        <v>0.83467874057966696</v>
      </c>
      <c r="S50" s="27">
        <f t="shared" si="88"/>
        <v>0.79246016323357948</v>
      </c>
      <c r="T50" s="27">
        <f t="shared" si="88"/>
        <v>0.84608485065925199</v>
      </c>
      <c r="U50" s="27">
        <f t="shared" si="88"/>
        <v>3.4206086619571372</v>
      </c>
      <c r="V50" s="27">
        <f t="shared" si="88"/>
        <v>1.0818132886789067</v>
      </c>
      <c r="W50" s="27">
        <f t="shared" si="88"/>
        <v>1.073137143370356</v>
      </c>
      <c r="X50" s="27">
        <f t="shared" si="88"/>
        <v>1.176213971959805</v>
      </c>
      <c r="Y50" s="27">
        <f t="shared" si="88"/>
        <v>0.95812400348966642</v>
      </c>
      <c r="Z50" s="27">
        <f t="shared" si="88"/>
        <v>4.2894689468946892</v>
      </c>
      <c r="AA50" s="27">
        <f t="shared" si="88"/>
        <v>1.535017942583732</v>
      </c>
      <c r="AB50" s="27">
        <f t="shared" ref="AB50" si="89">AB45/AB53</f>
        <v>1.4710837955329037</v>
      </c>
      <c r="AC50" s="221"/>
      <c r="AF50" s="235"/>
    </row>
    <row r="51" spans="1:57" x14ac:dyDescent="0.2">
      <c r="A51" s="72" t="s">
        <v>36</v>
      </c>
      <c r="B51" s="27">
        <f t="shared" ref="B51:J51" si="90">B45/B54</f>
        <v>0.65597824547488881</v>
      </c>
      <c r="C51" s="27">
        <f t="shared" si="90"/>
        <v>0.41153036252916736</v>
      </c>
      <c r="D51" s="27">
        <f t="shared" si="90"/>
        <v>0.43311179277436945</v>
      </c>
      <c r="E51" s="27">
        <f t="shared" si="90"/>
        <v>0.11044929984822886</v>
      </c>
      <c r="F51" s="27">
        <f t="shared" si="90"/>
        <v>1.6193086123718992</v>
      </c>
      <c r="G51" s="27">
        <f t="shared" si="90"/>
        <v>0.42187006574225588</v>
      </c>
      <c r="H51" s="27">
        <f t="shared" si="90"/>
        <v>0.3620436273521021</v>
      </c>
      <c r="I51" s="27">
        <f t="shared" si="90"/>
        <v>0.54883426035332428</v>
      </c>
      <c r="J51" s="27">
        <f t="shared" si="90"/>
        <v>0.61549989912672565</v>
      </c>
      <c r="K51" s="27">
        <f t="shared" ref="K51:AA51" si="91">K45/K54</f>
        <v>1.9479745487000835</v>
      </c>
      <c r="L51" s="27">
        <f t="shared" si="91"/>
        <v>0.64545952017511021</v>
      </c>
      <c r="M51" s="27">
        <f t="shared" si="91"/>
        <v>0.2436267992369501</v>
      </c>
      <c r="N51" s="27">
        <f t="shared" si="91"/>
        <v>0.76494093120222373</v>
      </c>
      <c r="O51" s="27">
        <f t="shared" si="91"/>
        <v>0.9373872563281932</v>
      </c>
      <c r="P51" s="27">
        <f t="shared" si="91"/>
        <v>2.5893792504702646</v>
      </c>
      <c r="Q51" s="27">
        <f t="shared" si="91"/>
        <v>0.93044466460749464</v>
      </c>
      <c r="R51" s="27">
        <f t="shared" si="91"/>
        <v>0.81480081419017159</v>
      </c>
      <c r="S51" s="27">
        <f t="shared" si="91"/>
        <v>0.77266367399288749</v>
      </c>
      <c r="T51" s="27">
        <f t="shared" si="91"/>
        <v>0.83310763071125771</v>
      </c>
      <c r="U51" s="27">
        <f t="shared" si="91"/>
        <v>3.3511856091578087</v>
      </c>
      <c r="V51" s="27">
        <f t="shared" si="91"/>
        <v>1.0673550671190442</v>
      </c>
      <c r="W51" s="27">
        <f t="shared" si="91"/>
        <v>1.0595607578847803</v>
      </c>
      <c r="X51" s="27">
        <f t="shared" si="91"/>
        <v>1.1574101486174433</v>
      </c>
      <c r="Y51" s="27">
        <f t="shared" si="91"/>
        <v>0.94130338406975023</v>
      </c>
      <c r="Z51" s="27">
        <f t="shared" si="91"/>
        <v>4.2255719099131053</v>
      </c>
      <c r="AA51" s="27">
        <f t="shared" si="91"/>
        <v>1.5128053991924788</v>
      </c>
      <c r="AB51" s="27">
        <f t="shared" ref="AB51" si="92">AB45/AB54</f>
        <v>1.4565423889812397</v>
      </c>
      <c r="AF51" s="235"/>
      <c r="AO51" s="10"/>
      <c r="AP51" s="10"/>
      <c r="AQ51" s="10"/>
      <c r="AR51" s="10"/>
      <c r="AS51" s="10"/>
      <c r="AT51" s="10"/>
      <c r="AU51" s="10"/>
      <c r="AV51" s="10"/>
      <c r="AW51" s="10"/>
      <c r="AX51" s="10"/>
      <c r="AY51" s="10"/>
      <c r="AZ51" s="10"/>
      <c r="BA51" s="10"/>
      <c r="BB51" s="10"/>
      <c r="BC51" s="10"/>
      <c r="BD51" s="10"/>
      <c r="BE51" s="10"/>
    </row>
    <row r="52" spans="1:57" x14ac:dyDescent="0.2">
      <c r="A52" s="51" t="s">
        <v>37</v>
      </c>
      <c r="AE52" s="78"/>
      <c r="AF52" s="235"/>
      <c r="AO52" s="10"/>
      <c r="AP52" s="10"/>
      <c r="AQ52" s="10"/>
      <c r="AR52" s="10"/>
      <c r="AS52" s="10"/>
      <c r="AT52" s="10"/>
      <c r="AU52" s="10"/>
      <c r="AV52" s="10"/>
      <c r="AW52" s="10"/>
      <c r="AX52" s="10"/>
      <c r="AY52" s="10"/>
      <c r="AZ52" s="10"/>
      <c r="BA52" s="10"/>
      <c r="BB52" s="10"/>
      <c r="BC52" s="10"/>
      <c r="BD52" s="10"/>
      <c r="BE52" s="10"/>
    </row>
    <row r="53" spans="1:57" x14ac:dyDescent="0.2">
      <c r="A53" s="48" t="s">
        <v>35</v>
      </c>
      <c r="B53" s="24">
        <v>34446</v>
      </c>
      <c r="C53" s="24">
        <v>34512</v>
      </c>
      <c r="D53" s="24">
        <v>34459</v>
      </c>
      <c r="E53" s="24">
        <v>34388</v>
      </c>
      <c r="F53" s="24">
        <v>34451</v>
      </c>
      <c r="G53" s="24">
        <v>34375</v>
      </c>
      <c r="H53" s="24">
        <v>34452</v>
      </c>
      <c r="I53" s="24">
        <v>34322</v>
      </c>
      <c r="J53" s="24">
        <v>34253</v>
      </c>
      <c r="K53" s="24">
        <v>34350</v>
      </c>
      <c r="L53" s="24">
        <v>34402</v>
      </c>
      <c r="M53" s="24">
        <v>34486</v>
      </c>
      <c r="N53" s="24">
        <v>34327</v>
      </c>
      <c r="O53" s="24">
        <v>33882</v>
      </c>
      <c r="P53" s="24">
        <v>34273</v>
      </c>
      <c r="Q53" s="24">
        <v>33734</v>
      </c>
      <c r="R53" s="24">
        <v>33571</v>
      </c>
      <c r="S53" s="24">
        <v>33449</v>
      </c>
      <c r="T53" s="24">
        <v>33447</v>
      </c>
      <c r="U53" s="24">
        <v>33549</v>
      </c>
      <c r="V53" s="24">
        <v>33442</v>
      </c>
      <c r="W53" s="24">
        <v>33403</v>
      </c>
      <c r="X53" s="24">
        <v>33238</v>
      </c>
      <c r="Y53" s="24">
        <v>33241</v>
      </c>
      <c r="Z53" s="24">
        <v>33330</v>
      </c>
      <c r="AA53" s="24">
        <v>33440</v>
      </c>
      <c r="AB53" s="24">
        <v>33355</v>
      </c>
      <c r="AC53" s="216"/>
      <c r="AF53" s="244"/>
      <c r="AO53" s="10"/>
      <c r="AP53" s="10"/>
      <c r="AQ53" s="10"/>
      <c r="AR53" s="10"/>
      <c r="AS53" s="10"/>
      <c r="AT53" s="10"/>
      <c r="AU53" s="10"/>
      <c r="AV53" s="10"/>
      <c r="AW53" s="10"/>
      <c r="AX53" s="10"/>
      <c r="AY53" s="10"/>
      <c r="AZ53" s="10"/>
      <c r="BA53" s="10"/>
      <c r="BB53" s="10"/>
      <c r="BC53" s="10"/>
      <c r="BD53" s="10"/>
      <c r="BE53" s="10"/>
    </row>
    <row r="54" spans="1:57" ht="16" thickBot="1" x14ac:dyDescent="0.25">
      <c r="A54" s="73" t="s">
        <v>36</v>
      </c>
      <c r="B54" s="62">
        <v>35303</v>
      </c>
      <c r="C54" s="62">
        <v>35142</v>
      </c>
      <c r="D54" s="62">
        <v>35208</v>
      </c>
      <c r="E54" s="62">
        <v>34921</v>
      </c>
      <c r="F54" s="62">
        <v>35031</v>
      </c>
      <c r="G54" s="62">
        <v>34833</v>
      </c>
      <c r="H54" s="62">
        <v>34703</v>
      </c>
      <c r="I54" s="62">
        <v>34699</v>
      </c>
      <c r="J54" s="62">
        <v>34697</v>
      </c>
      <c r="K54" s="62">
        <v>34733</v>
      </c>
      <c r="L54" s="62">
        <v>34721</v>
      </c>
      <c r="M54" s="62">
        <v>34598</v>
      </c>
      <c r="N54" s="62">
        <v>34536</v>
      </c>
      <c r="O54" s="62">
        <v>34370</v>
      </c>
      <c r="P54" s="62">
        <v>34555</v>
      </c>
      <c r="Q54" s="62">
        <v>34318</v>
      </c>
      <c r="R54" s="62">
        <v>34390</v>
      </c>
      <c r="S54" s="62">
        <v>34306</v>
      </c>
      <c r="T54" s="62">
        <v>33968</v>
      </c>
      <c r="U54" s="62">
        <v>34244</v>
      </c>
      <c r="V54" s="62">
        <v>33895</v>
      </c>
      <c r="W54" s="62">
        <v>33831</v>
      </c>
      <c r="X54" s="62">
        <v>33778</v>
      </c>
      <c r="Y54" s="62">
        <v>33835</v>
      </c>
      <c r="Z54" s="62">
        <v>33834</v>
      </c>
      <c r="AA54" s="62">
        <v>33931</v>
      </c>
      <c r="AB54" s="62">
        <v>33688</v>
      </c>
      <c r="AC54" s="216"/>
      <c r="AF54" s="244"/>
      <c r="AO54" s="10"/>
      <c r="AP54" s="10"/>
      <c r="AQ54" s="10"/>
      <c r="AR54" s="10"/>
      <c r="AS54" s="10"/>
      <c r="AT54" s="10"/>
      <c r="AU54" s="10"/>
      <c r="AV54" s="10"/>
      <c r="AW54" s="10"/>
      <c r="AX54" s="10"/>
      <c r="AY54" s="10"/>
      <c r="AZ54" s="10"/>
      <c r="BA54" s="10"/>
      <c r="BB54" s="10"/>
      <c r="BC54" s="10"/>
      <c r="BD54" s="10"/>
      <c r="BE54" s="10"/>
    </row>
    <row r="55" spans="1:57" ht="6" customHeight="1" x14ac:dyDescent="0.2">
      <c r="A55" s="51"/>
      <c r="AF55" s="235"/>
      <c r="AO55" s="10"/>
      <c r="AP55" s="10"/>
      <c r="AQ55" s="10"/>
      <c r="AR55" s="10"/>
      <c r="AS55" s="10"/>
      <c r="AT55" s="10"/>
      <c r="AU55" s="10"/>
      <c r="AV55" s="10"/>
      <c r="AW55" s="10"/>
      <c r="AX55" s="10"/>
      <c r="AY55" s="10"/>
      <c r="AZ55" s="10"/>
      <c r="BA55" s="10"/>
      <c r="BB55" s="10"/>
      <c r="BC55" s="10"/>
      <c r="BD55" s="10"/>
      <c r="BE55" s="10"/>
    </row>
    <row r="56" spans="1:57" x14ac:dyDescent="0.2">
      <c r="A56" s="49" t="s">
        <v>38</v>
      </c>
      <c r="J56" s="21" t="s">
        <v>39</v>
      </c>
      <c r="AF56" s="235"/>
      <c r="AO56" s="10"/>
      <c r="AP56" s="10"/>
      <c r="AQ56" s="10"/>
      <c r="AR56" s="10"/>
      <c r="AS56" s="10"/>
      <c r="AT56" s="10"/>
      <c r="AU56" s="10"/>
      <c r="AV56" s="10"/>
      <c r="AW56" s="10"/>
      <c r="AX56" s="10"/>
      <c r="AY56" s="10"/>
      <c r="AZ56" s="10"/>
      <c r="BA56" s="10"/>
      <c r="BB56" s="10"/>
      <c r="BC56" s="10"/>
      <c r="BD56" s="10"/>
      <c r="BE56" s="10"/>
    </row>
    <row r="57" spans="1:57" ht="6.75" customHeight="1" x14ac:dyDescent="0.2">
      <c r="A57" s="49"/>
      <c r="AF57" s="235"/>
      <c r="AO57" s="10"/>
      <c r="AP57" s="10"/>
      <c r="AQ57" s="10"/>
      <c r="AR57" s="10"/>
      <c r="AS57" s="10"/>
      <c r="AT57" s="10"/>
      <c r="AU57" s="10"/>
      <c r="AV57" s="10"/>
      <c r="AW57" s="10"/>
      <c r="AX57" s="10"/>
      <c r="AY57" s="10"/>
      <c r="AZ57" s="10"/>
      <c r="BA57" s="10"/>
      <c r="BB57" s="10"/>
      <c r="BC57" s="10"/>
      <c r="BD57" s="10"/>
      <c r="BE57" s="10"/>
    </row>
    <row r="58" spans="1:57" s="10" customFormat="1" ht="13" x14ac:dyDescent="0.15">
      <c r="A58" s="46" t="s">
        <v>40</v>
      </c>
      <c r="B58" s="34">
        <f t="shared" ref="B58:AB58" si="93">B31</f>
        <v>15150</v>
      </c>
      <c r="C58" s="34">
        <f t="shared" si="93"/>
        <v>17090</v>
      </c>
      <c r="D58" s="34">
        <f t="shared" si="93"/>
        <v>19674</v>
      </c>
      <c r="E58" s="34">
        <f t="shared" si="93"/>
        <v>-2093</v>
      </c>
      <c r="F58" s="34">
        <f t="shared" si="93"/>
        <v>49821</v>
      </c>
      <c r="G58" s="34">
        <f t="shared" si="93"/>
        <v>16861</v>
      </c>
      <c r="H58" s="34">
        <f t="shared" si="93"/>
        <v>13856</v>
      </c>
      <c r="I58" s="34">
        <f t="shared" si="93"/>
        <v>22422</v>
      </c>
      <c r="J58" s="34">
        <f t="shared" si="93"/>
        <v>23314</v>
      </c>
      <c r="K58" s="34">
        <f t="shared" si="93"/>
        <v>76453</v>
      </c>
      <c r="L58" s="34">
        <f t="shared" si="93"/>
        <v>27487</v>
      </c>
      <c r="M58" s="34">
        <f t="shared" si="93"/>
        <v>9866</v>
      </c>
      <c r="N58" s="34">
        <f t="shared" si="93"/>
        <v>34406</v>
      </c>
      <c r="O58" s="34">
        <f t="shared" si="93"/>
        <v>38263</v>
      </c>
      <c r="P58" s="34">
        <f t="shared" si="93"/>
        <v>110022</v>
      </c>
      <c r="Q58" s="34">
        <f t="shared" si="93"/>
        <v>41555</v>
      </c>
      <c r="R58" s="34">
        <f t="shared" si="93"/>
        <v>35830</v>
      </c>
      <c r="S58" s="34">
        <f t="shared" si="93"/>
        <v>42438</v>
      </c>
      <c r="T58" s="34">
        <f t="shared" si="93"/>
        <v>36058</v>
      </c>
      <c r="U58" s="34">
        <f t="shared" si="93"/>
        <v>155881</v>
      </c>
      <c r="V58" s="34">
        <f t="shared" si="93"/>
        <v>43975</v>
      </c>
      <c r="W58" s="34">
        <f t="shared" si="93"/>
        <v>47081</v>
      </c>
      <c r="X58" s="34">
        <f t="shared" si="93"/>
        <v>50111</v>
      </c>
      <c r="Y58" s="34">
        <f t="shared" si="93"/>
        <v>50995</v>
      </c>
      <c r="Z58" s="34">
        <f t="shared" si="93"/>
        <v>192162</v>
      </c>
      <c r="AA58" s="34">
        <f t="shared" si="93"/>
        <v>59448</v>
      </c>
      <c r="AB58" s="34">
        <f t="shared" si="93"/>
        <v>64811</v>
      </c>
      <c r="AC58" s="233"/>
      <c r="AF58" s="235"/>
    </row>
    <row r="59" spans="1:57" x14ac:dyDescent="0.2">
      <c r="A59" s="50" t="s">
        <v>41</v>
      </c>
      <c r="B59" s="45">
        <v>3947</v>
      </c>
      <c r="C59" s="45">
        <v>3761</v>
      </c>
      <c r="D59" s="24">
        <v>6718</v>
      </c>
      <c r="E59" s="137">
        <f>+F59-SUM(B59:D59)</f>
        <v>5951</v>
      </c>
      <c r="F59" s="45">
        <v>20377</v>
      </c>
      <c r="G59" s="45">
        <v>5528</v>
      </c>
      <c r="H59" s="45">
        <v>5554</v>
      </c>
      <c r="I59" s="45">
        <v>5502</v>
      </c>
      <c r="J59" s="137">
        <f>+K59-SUM(G59:I59)</f>
        <v>4974</v>
      </c>
      <c r="K59" s="45">
        <v>21558</v>
      </c>
      <c r="L59" s="45">
        <v>4154</v>
      </c>
      <c r="M59" s="199">
        <v>3430</v>
      </c>
      <c r="N59" s="199">
        <v>3413</v>
      </c>
      <c r="O59" s="199">
        <f>+P59-SUM(L59:N59)</f>
        <v>3415</v>
      </c>
      <c r="P59" s="199">
        <v>14412</v>
      </c>
      <c r="Q59" s="45">
        <v>3361</v>
      </c>
      <c r="R59" s="199">
        <v>3397</v>
      </c>
      <c r="S59" s="199">
        <v>3022</v>
      </c>
      <c r="T59" s="199">
        <f>+U59-SUM(Q59:S59)</f>
        <v>2998</v>
      </c>
      <c r="U59" s="199">
        <v>12778</v>
      </c>
      <c r="V59" s="199">
        <v>4486</v>
      </c>
      <c r="W59" s="199">
        <v>4146</v>
      </c>
      <c r="X59" s="199">
        <v>4243</v>
      </c>
      <c r="Y59" s="199">
        <f>+Z59-SUM(V59:X59)</f>
        <v>4234</v>
      </c>
      <c r="Z59" s="199">
        <v>17109</v>
      </c>
      <c r="AA59" s="199">
        <v>4149</v>
      </c>
      <c r="AB59" s="199">
        <v>4204</v>
      </c>
      <c r="AC59" s="216"/>
      <c r="AF59" s="235"/>
      <c r="AO59" s="10"/>
      <c r="AP59" s="10"/>
      <c r="AQ59" s="10"/>
      <c r="AR59" s="10"/>
      <c r="AS59" s="10"/>
      <c r="AT59" s="10"/>
      <c r="AU59" s="10"/>
      <c r="AV59" s="10"/>
      <c r="AW59" s="10"/>
      <c r="AX59" s="10"/>
      <c r="AY59" s="10"/>
      <c r="AZ59" s="10"/>
      <c r="BA59" s="10"/>
      <c r="BB59" s="10"/>
      <c r="BC59" s="10"/>
      <c r="BD59" s="10"/>
      <c r="BE59" s="10"/>
    </row>
    <row r="60" spans="1:57" x14ac:dyDescent="0.2">
      <c r="A60" s="50" t="s">
        <v>42</v>
      </c>
      <c r="B60" s="45">
        <v>5074</v>
      </c>
      <c r="C60" s="45">
        <v>6893</v>
      </c>
      <c r="D60" s="24">
        <v>5344</v>
      </c>
      <c r="E60" s="137">
        <f>+F60-SUM(B60:D60)</f>
        <v>6590</v>
      </c>
      <c r="F60" s="45">
        <v>23901</v>
      </c>
      <c r="G60" s="45">
        <v>6956</v>
      </c>
      <c r="H60" s="45">
        <v>7155</v>
      </c>
      <c r="I60" s="45">
        <v>7427</v>
      </c>
      <c r="J60" s="137">
        <f>+K60-SUM(G60:I60)</f>
        <v>4532</v>
      </c>
      <c r="K60" s="45">
        <v>26070</v>
      </c>
      <c r="L60" s="45">
        <v>4778</v>
      </c>
      <c r="M60" s="199">
        <v>7726</v>
      </c>
      <c r="N60" s="199">
        <v>8346</v>
      </c>
      <c r="O60" s="199">
        <f>+P60-SUM(L60:N60)</f>
        <v>7385</v>
      </c>
      <c r="P60" s="199">
        <v>28235</v>
      </c>
      <c r="Q60" s="45">
        <v>7832</v>
      </c>
      <c r="R60" s="199">
        <v>10070</v>
      </c>
      <c r="S60" s="199">
        <v>10894</v>
      </c>
      <c r="T60" s="199">
        <f>+U60-SUM(Q60:S60)</f>
        <v>9825</v>
      </c>
      <c r="U60" s="199">
        <v>38621</v>
      </c>
      <c r="V60" s="199">
        <v>11224</v>
      </c>
      <c r="W60" s="199">
        <v>13340</v>
      </c>
      <c r="X60" s="199">
        <v>12186</v>
      </c>
      <c r="Y60" s="199">
        <f>+Z60-SUM(V60:X60)</f>
        <v>12616</v>
      </c>
      <c r="Z60" s="199">
        <v>49366</v>
      </c>
      <c r="AA60" s="199">
        <v>14407</v>
      </c>
      <c r="AB60" s="199">
        <v>11511</v>
      </c>
      <c r="AC60" s="216"/>
      <c r="AF60" s="235"/>
      <c r="AO60" s="10"/>
      <c r="AP60" s="10"/>
      <c r="AQ60" s="10"/>
      <c r="AR60" s="10"/>
      <c r="AS60" s="10"/>
      <c r="AT60" s="10"/>
      <c r="AU60" s="10"/>
      <c r="AV60" s="10"/>
      <c r="AW60" s="10"/>
      <c r="AX60" s="10"/>
      <c r="AY60" s="10"/>
      <c r="AZ60" s="10"/>
      <c r="BA60" s="10"/>
      <c r="BB60" s="10"/>
      <c r="BC60" s="10"/>
      <c r="BD60" s="10"/>
      <c r="BE60" s="10"/>
    </row>
    <row r="61" spans="1:57" x14ac:dyDescent="0.2">
      <c r="A61" s="50" t="s">
        <v>43</v>
      </c>
      <c r="B61" s="162">
        <v>2400</v>
      </c>
      <c r="C61" s="162">
        <v>0</v>
      </c>
      <c r="D61" s="162">
        <v>0</v>
      </c>
      <c r="E61" s="162">
        <v>0</v>
      </c>
      <c r="F61" s="80">
        <f>SUM(B61:E61)</f>
        <v>2400</v>
      </c>
      <c r="G61" s="80">
        <v>0</v>
      </c>
      <c r="H61" s="80">
        <v>0</v>
      </c>
      <c r="I61" s="80">
        <v>0</v>
      </c>
      <c r="J61" s="80">
        <v>0</v>
      </c>
      <c r="K61" s="80">
        <f>SUM(G61:J61)</f>
        <v>0</v>
      </c>
      <c r="L61" s="80">
        <v>0</v>
      </c>
      <c r="M61" s="162">
        <v>0</v>
      </c>
      <c r="N61" s="162">
        <v>0</v>
      </c>
      <c r="O61" s="162">
        <v>0</v>
      </c>
      <c r="P61" s="162">
        <f>SUM(L61:O61)</f>
        <v>0</v>
      </c>
      <c r="Q61" s="80">
        <v>0</v>
      </c>
      <c r="R61" s="162">
        <v>0</v>
      </c>
      <c r="S61" s="162">
        <v>0</v>
      </c>
      <c r="T61" s="162">
        <f>+U61-SUM(Q61:S61)</f>
        <v>0</v>
      </c>
      <c r="U61" s="162">
        <v>0</v>
      </c>
      <c r="V61" s="162">
        <v>0</v>
      </c>
      <c r="W61" s="162">
        <v>217</v>
      </c>
      <c r="X61" s="162">
        <v>169</v>
      </c>
      <c r="Y61" s="162">
        <f>+Z61-SUM(V61:X61)</f>
        <v>0</v>
      </c>
      <c r="Z61" s="162">
        <v>386</v>
      </c>
      <c r="AA61" s="162">
        <v>0</v>
      </c>
      <c r="AB61" s="162">
        <v>0</v>
      </c>
      <c r="AC61" s="223"/>
      <c r="AF61" s="244"/>
      <c r="AO61" s="10"/>
      <c r="AP61" s="10"/>
      <c r="AQ61" s="10"/>
      <c r="AR61" s="10"/>
      <c r="AS61" s="10"/>
      <c r="AT61" s="10"/>
      <c r="AU61" s="10"/>
      <c r="AV61" s="10"/>
      <c r="AW61" s="10"/>
      <c r="AX61" s="10"/>
      <c r="AY61" s="10"/>
      <c r="AZ61" s="10"/>
      <c r="BA61" s="10"/>
      <c r="BB61" s="10"/>
      <c r="BC61" s="10"/>
      <c r="BD61" s="10"/>
      <c r="BE61" s="10"/>
    </row>
    <row r="62" spans="1:57" x14ac:dyDescent="0.2">
      <c r="A62" s="50" t="s">
        <v>44</v>
      </c>
      <c r="B62" s="162">
        <v>363</v>
      </c>
      <c r="C62" s="162">
        <v>841</v>
      </c>
      <c r="D62" s="162">
        <v>855</v>
      </c>
      <c r="E62" s="137">
        <f>+F62-SUM(B62:D62)</f>
        <v>236</v>
      </c>
      <c r="F62" s="162">
        <v>2295</v>
      </c>
      <c r="G62" s="162">
        <v>0</v>
      </c>
      <c r="H62" s="162">
        <v>0</v>
      </c>
      <c r="I62" s="162">
        <v>0</v>
      </c>
      <c r="J62" s="137">
        <f>+K62-SUM(G62:I62)</f>
        <v>0</v>
      </c>
      <c r="K62" s="162">
        <v>0</v>
      </c>
      <c r="L62" s="162">
        <v>0</v>
      </c>
      <c r="M62" s="162">
        <v>0</v>
      </c>
      <c r="N62" s="162">
        <v>0</v>
      </c>
      <c r="O62" s="162">
        <v>0</v>
      </c>
      <c r="P62" s="162">
        <v>0</v>
      </c>
      <c r="Q62" s="162">
        <v>0</v>
      </c>
      <c r="R62" s="162">
        <v>0</v>
      </c>
      <c r="S62" s="162">
        <v>0</v>
      </c>
      <c r="T62" s="162">
        <f>+U62-SUM(Q62:S62)</f>
        <v>761</v>
      </c>
      <c r="U62" s="162">
        <v>761</v>
      </c>
      <c r="V62" s="162">
        <v>134</v>
      </c>
      <c r="W62" s="162">
        <v>0</v>
      </c>
      <c r="X62" s="162">
        <v>0</v>
      </c>
      <c r="Y62" s="256">
        <f>+Z62-SUM(V62:X62)</f>
        <v>0</v>
      </c>
      <c r="Z62" s="162">
        <v>134</v>
      </c>
      <c r="AA62" s="162">
        <v>0</v>
      </c>
      <c r="AB62" s="162">
        <v>0</v>
      </c>
      <c r="AC62" s="223"/>
      <c r="AF62" s="244"/>
      <c r="AO62" s="10"/>
      <c r="AP62" s="10"/>
      <c r="AQ62" s="10"/>
      <c r="AR62" s="10"/>
      <c r="AS62" s="10"/>
      <c r="AT62" s="10"/>
      <c r="AU62" s="10"/>
      <c r="AV62" s="10"/>
      <c r="AW62" s="10"/>
      <c r="AX62" s="10"/>
      <c r="AY62" s="10"/>
      <c r="AZ62" s="10"/>
      <c r="BA62" s="10"/>
      <c r="BB62" s="10"/>
      <c r="BC62" s="10"/>
      <c r="BD62" s="10"/>
      <c r="BE62" s="10"/>
    </row>
    <row r="63" spans="1:57" x14ac:dyDescent="0.2">
      <c r="A63" s="50" t="s">
        <v>45</v>
      </c>
      <c r="B63" s="162"/>
      <c r="C63" s="162"/>
      <c r="D63" s="162"/>
      <c r="E63" s="137"/>
      <c r="F63" s="162">
        <v>0</v>
      </c>
      <c r="G63" s="162">
        <v>0</v>
      </c>
      <c r="H63" s="162">
        <v>0</v>
      </c>
      <c r="I63" s="162">
        <v>0</v>
      </c>
      <c r="J63" s="137">
        <v>0</v>
      </c>
      <c r="K63" s="162">
        <v>0</v>
      </c>
      <c r="L63" s="162">
        <v>0</v>
      </c>
      <c r="M63" s="162">
        <v>0</v>
      </c>
      <c r="N63" s="162">
        <v>0</v>
      </c>
      <c r="O63" s="162">
        <v>0</v>
      </c>
      <c r="P63" s="162">
        <v>0</v>
      </c>
      <c r="Q63" s="162">
        <v>0</v>
      </c>
      <c r="R63" s="162">
        <v>0</v>
      </c>
      <c r="S63" s="162">
        <v>0</v>
      </c>
      <c r="T63" s="162">
        <f>+U63-SUM(Q63:S63)</f>
        <v>551</v>
      </c>
      <c r="U63" s="162">
        <v>551</v>
      </c>
      <c r="V63" s="162">
        <v>0</v>
      </c>
      <c r="W63" s="162">
        <v>0</v>
      </c>
      <c r="X63" s="162">
        <v>0</v>
      </c>
      <c r="Y63" s="53">
        <f>+Z63-SUM(V63:X63)</f>
        <v>-560</v>
      </c>
      <c r="Z63" s="162">
        <f>Z91</f>
        <v>-560</v>
      </c>
      <c r="AA63" s="162">
        <f>AA91</f>
        <v>-89</v>
      </c>
      <c r="AB63" s="162">
        <f>AB91</f>
        <v>578</v>
      </c>
      <c r="AC63" s="223"/>
      <c r="AF63" s="235"/>
      <c r="AO63" s="10"/>
      <c r="AP63" s="10"/>
      <c r="AQ63" s="10"/>
      <c r="AR63" s="10"/>
      <c r="AS63" s="10"/>
      <c r="AT63" s="10"/>
      <c r="AU63" s="10"/>
      <c r="AV63" s="10"/>
      <c r="AW63" s="10"/>
      <c r="AX63" s="10"/>
      <c r="AY63" s="10"/>
      <c r="AZ63" s="10"/>
      <c r="BA63" s="10"/>
      <c r="BB63" s="10"/>
      <c r="BC63" s="10"/>
      <c r="BD63" s="10"/>
      <c r="BE63" s="10"/>
    </row>
    <row r="64" spans="1:57" ht="29" x14ac:dyDescent="0.2">
      <c r="A64" s="261" t="s">
        <v>46</v>
      </c>
      <c r="B64" s="179">
        <v>0</v>
      </c>
      <c r="C64" s="179">
        <v>0</v>
      </c>
      <c r="D64" s="179">
        <v>0</v>
      </c>
      <c r="E64" s="181">
        <f>+F64-SUM(B64:D64)</f>
        <v>20056</v>
      </c>
      <c r="F64" s="179">
        <v>20056</v>
      </c>
      <c r="G64" s="179">
        <f>-G26</f>
        <v>1227</v>
      </c>
      <c r="H64" s="179">
        <f>-H26</f>
        <v>5580</v>
      </c>
      <c r="I64" s="179">
        <f>-I26</f>
        <v>489</v>
      </c>
      <c r="J64" s="181">
        <f>+K64-SUM(G64:I64)</f>
        <v>1375</v>
      </c>
      <c r="K64" s="179">
        <f t="shared" ref="K64:Z64" si="94">-K26</f>
        <v>8671</v>
      </c>
      <c r="L64" s="179">
        <f t="shared" si="94"/>
        <v>0</v>
      </c>
      <c r="M64" s="179">
        <f t="shared" si="94"/>
        <v>0</v>
      </c>
      <c r="N64" s="179">
        <f t="shared" si="94"/>
        <v>0</v>
      </c>
      <c r="O64" s="179">
        <f t="shared" si="94"/>
        <v>0</v>
      </c>
      <c r="P64" s="179">
        <f t="shared" si="94"/>
        <v>0</v>
      </c>
      <c r="Q64" s="179">
        <f t="shared" si="94"/>
        <v>0</v>
      </c>
      <c r="R64" s="179">
        <f t="shared" si="94"/>
        <v>0</v>
      </c>
      <c r="S64" s="179">
        <f t="shared" si="94"/>
        <v>0</v>
      </c>
      <c r="T64" s="179">
        <f t="shared" si="94"/>
        <v>0</v>
      </c>
      <c r="U64" s="179">
        <f t="shared" si="94"/>
        <v>0</v>
      </c>
      <c r="V64" s="179">
        <f t="shared" si="94"/>
        <v>0</v>
      </c>
      <c r="W64" s="179">
        <f t="shared" si="94"/>
        <v>0</v>
      </c>
      <c r="X64" s="179">
        <f t="shared" si="94"/>
        <v>0</v>
      </c>
      <c r="Y64" s="179">
        <f t="shared" si="94"/>
        <v>0</v>
      </c>
      <c r="Z64" s="179">
        <f t="shared" si="94"/>
        <v>0</v>
      </c>
      <c r="AA64" s="179">
        <v>0</v>
      </c>
      <c r="AB64" s="179">
        <v>0</v>
      </c>
      <c r="AC64" s="224"/>
      <c r="AF64" s="244"/>
      <c r="AO64" s="10"/>
      <c r="AP64" s="10"/>
      <c r="AQ64" s="10"/>
      <c r="AR64" s="10"/>
      <c r="AS64" s="10"/>
      <c r="AT64" s="10"/>
      <c r="AU64" s="10"/>
      <c r="AV64" s="10"/>
      <c r="AW64" s="10"/>
      <c r="AX64" s="10"/>
      <c r="AY64" s="10"/>
      <c r="AZ64" s="10"/>
      <c r="BA64" s="10"/>
      <c r="BB64" s="10"/>
      <c r="BC64" s="10"/>
      <c r="BD64" s="10"/>
      <c r="BE64" s="10"/>
    </row>
    <row r="65" spans="1:57" s="10" customFormat="1" ht="13" x14ac:dyDescent="0.15">
      <c r="A65" s="46" t="s">
        <v>47</v>
      </c>
      <c r="B65" s="34">
        <f t="shared" ref="B65:AB65" si="95">SUM(B58:B64)</f>
        <v>26934</v>
      </c>
      <c r="C65" s="34">
        <f t="shared" si="95"/>
        <v>28585</v>
      </c>
      <c r="D65" s="34">
        <f t="shared" si="95"/>
        <v>32591</v>
      </c>
      <c r="E65" s="34">
        <f t="shared" si="95"/>
        <v>30740</v>
      </c>
      <c r="F65" s="34">
        <f t="shared" si="95"/>
        <v>118850</v>
      </c>
      <c r="G65" s="34">
        <f t="shared" si="95"/>
        <v>30572</v>
      </c>
      <c r="H65" s="34">
        <f t="shared" si="95"/>
        <v>32145</v>
      </c>
      <c r="I65" s="34">
        <f t="shared" si="95"/>
        <v>35840</v>
      </c>
      <c r="J65" s="34">
        <f t="shared" si="95"/>
        <v>34195</v>
      </c>
      <c r="K65" s="34">
        <f t="shared" si="95"/>
        <v>132752</v>
      </c>
      <c r="L65" s="34">
        <f t="shared" si="95"/>
        <v>36419</v>
      </c>
      <c r="M65" s="34">
        <f t="shared" si="95"/>
        <v>21022</v>
      </c>
      <c r="N65" s="34">
        <f t="shared" si="95"/>
        <v>46165</v>
      </c>
      <c r="O65" s="34">
        <f t="shared" si="95"/>
        <v>49063</v>
      </c>
      <c r="P65" s="34">
        <f t="shared" si="95"/>
        <v>152669</v>
      </c>
      <c r="Q65" s="34">
        <f t="shared" si="95"/>
        <v>52748</v>
      </c>
      <c r="R65" s="34">
        <f t="shared" si="95"/>
        <v>49297</v>
      </c>
      <c r="S65" s="34">
        <f t="shared" si="95"/>
        <v>56354</v>
      </c>
      <c r="T65" s="34">
        <f t="shared" si="95"/>
        <v>50193</v>
      </c>
      <c r="U65" s="34">
        <f t="shared" si="95"/>
        <v>208592</v>
      </c>
      <c r="V65" s="34">
        <f t="shared" si="95"/>
        <v>59819</v>
      </c>
      <c r="W65" s="34">
        <f t="shared" si="95"/>
        <v>64784</v>
      </c>
      <c r="X65" s="34">
        <f t="shared" si="95"/>
        <v>66709</v>
      </c>
      <c r="Y65" s="34">
        <f t="shared" ref="Y65" si="96">SUM(Y58:Y64)</f>
        <v>67285</v>
      </c>
      <c r="Z65" s="34">
        <f t="shared" si="95"/>
        <v>258597</v>
      </c>
      <c r="AA65" s="34">
        <f t="shared" si="95"/>
        <v>77915</v>
      </c>
      <c r="AB65" s="34">
        <f t="shared" si="95"/>
        <v>81104</v>
      </c>
      <c r="AC65" s="219"/>
      <c r="AF65" s="235"/>
    </row>
    <row r="66" spans="1:57" x14ac:dyDescent="0.2">
      <c r="A66" s="84" t="s">
        <v>48</v>
      </c>
      <c r="B66" s="82">
        <f t="shared" ref="B66:AA66" si="97">IF(B65/B8&lt;0, "NM",B65/B8)</f>
        <v>0.13013291588757953</v>
      </c>
      <c r="C66" s="82">
        <f t="shared" si="97"/>
        <v>0.13604648949131892</v>
      </c>
      <c r="D66" s="82">
        <f t="shared" si="97"/>
        <v>0.14101088593136152</v>
      </c>
      <c r="E66" s="82">
        <f t="shared" si="97"/>
        <v>0.13086252623423286</v>
      </c>
      <c r="F66" s="82">
        <f t="shared" si="97"/>
        <v>0.13458089121198671</v>
      </c>
      <c r="G66" s="82">
        <f t="shared" si="97"/>
        <v>0.12761037345610732</v>
      </c>
      <c r="H66" s="82">
        <f t="shared" si="97"/>
        <v>0.13200744120340521</v>
      </c>
      <c r="I66" s="184">
        <f t="shared" si="97"/>
        <v>0.1425661914460285</v>
      </c>
      <c r="J66" s="184">
        <f t="shared" si="97"/>
        <v>0.13312077610638762</v>
      </c>
      <c r="K66" s="82">
        <f t="shared" si="97"/>
        <v>0.13391086462244262</v>
      </c>
      <c r="L66" s="82">
        <f t="shared" si="97"/>
        <v>0.14805073376966543</v>
      </c>
      <c r="M66" s="82">
        <f t="shared" si="97"/>
        <v>9.4492365365684824E-2</v>
      </c>
      <c r="N66" s="82">
        <f t="shared" si="97"/>
        <v>0.1915417105776332</v>
      </c>
      <c r="O66" s="82">
        <f t="shared" si="97"/>
        <v>0.19707735998361137</v>
      </c>
      <c r="P66" s="82">
        <f t="shared" si="97"/>
        <v>0.15929005022776738</v>
      </c>
      <c r="Q66" s="82">
        <f t="shared" si="97"/>
        <v>0.20177878086567336</v>
      </c>
      <c r="R66" s="82">
        <f t="shared" si="97"/>
        <v>0.17922010877468517</v>
      </c>
      <c r="S66" s="82">
        <f t="shared" si="97"/>
        <v>0.19410660466718332</v>
      </c>
      <c r="T66" s="82">
        <f t="shared" si="97"/>
        <v>0.16986419122200827</v>
      </c>
      <c r="U66" s="82">
        <f t="shared" si="97"/>
        <v>0.18586233719714906</v>
      </c>
      <c r="V66" s="82">
        <f t="shared" si="97"/>
        <v>0.18170579086777963</v>
      </c>
      <c r="W66" s="82">
        <f t="shared" si="97"/>
        <v>0.18681477123956838</v>
      </c>
      <c r="X66" s="82">
        <f t="shared" si="97"/>
        <v>0.1846099775564479</v>
      </c>
      <c r="Y66" s="82">
        <f t="shared" si="97"/>
        <v>0.17956888522376388</v>
      </c>
      <c r="Z66" s="82">
        <f t="shared" si="97"/>
        <v>0.18313664446716957</v>
      </c>
      <c r="AA66" s="82">
        <f t="shared" si="97"/>
        <v>0.19447488162778334</v>
      </c>
      <c r="AB66" s="82">
        <f t="shared" ref="AB66" si="98">IF(AB65/AB8&lt;0, "NM",AB65/AB8)</f>
        <v>0.20025876798783199</v>
      </c>
      <c r="AC66" s="220"/>
      <c r="AF66" s="243"/>
      <c r="AO66" s="10"/>
      <c r="AP66" s="10"/>
      <c r="AQ66" s="10"/>
      <c r="AR66" s="10"/>
      <c r="AS66" s="10"/>
      <c r="AT66" s="10"/>
      <c r="AU66" s="10"/>
      <c r="AV66" s="10"/>
      <c r="AW66" s="10"/>
      <c r="AX66" s="10"/>
      <c r="AY66" s="10"/>
      <c r="AZ66" s="10"/>
      <c r="BA66" s="10"/>
      <c r="BB66" s="10"/>
      <c r="BC66" s="10"/>
      <c r="BD66" s="10"/>
      <c r="BE66" s="10"/>
    </row>
    <row r="67" spans="1:57" s="10" customFormat="1" ht="13" x14ac:dyDescent="0.15">
      <c r="A67" s="47" t="s">
        <v>12</v>
      </c>
      <c r="B67" s="30">
        <v>2.123303253203912E-2</v>
      </c>
      <c r="C67" s="30">
        <f>C65/B65-1</f>
        <v>6.1297987673572418E-2</v>
      </c>
      <c r="D67" s="30">
        <f>D65/C65-1</f>
        <v>0.14014343186986178</v>
      </c>
      <c r="E67" s="30">
        <f>E65/D65-1</f>
        <v>-5.6794820656009382E-2</v>
      </c>
      <c r="F67" s="30" t="s">
        <v>13</v>
      </c>
      <c r="G67" s="112">
        <f>G65/E65-1</f>
        <v>-5.4651919323357445E-3</v>
      </c>
      <c r="H67" s="112">
        <f>H65/G65-1</f>
        <v>5.1452309302629784E-2</v>
      </c>
      <c r="I67" s="112">
        <f>I65/H65-1</f>
        <v>0.1149478923627314</v>
      </c>
      <c r="J67" s="112">
        <f>J65/I65-1</f>
        <v>-4.58984375E-2</v>
      </c>
      <c r="K67" s="30" t="s">
        <v>13</v>
      </c>
      <c r="L67" s="112">
        <f>L65/J65-1</f>
        <v>6.5038748355022769E-2</v>
      </c>
      <c r="M67" s="112">
        <f>M65/L65-1</f>
        <v>-0.42277382684862297</v>
      </c>
      <c r="N67" s="112">
        <f>N65/M65-1</f>
        <v>1.1960327276186851</v>
      </c>
      <c r="O67" s="112">
        <f>O65/N65-1</f>
        <v>6.2774829416224476E-2</v>
      </c>
      <c r="P67" s="202" t="s">
        <v>13</v>
      </c>
      <c r="Q67" s="112">
        <f>Q65/O65-1</f>
        <v>7.5107514827874367E-2</v>
      </c>
      <c r="R67" s="112">
        <f>R65/Q65-1</f>
        <v>-6.5424281489345537E-2</v>
      </c>
      <c r="S67" s="112">
        <f>S65/R65-1</f>
        <v>0.14315272734649165</v>
      </c>
      <c r="T67" s="112">
        <f>T65/S65-1</f>
        <v>-0.1093267558647123</v>
      </c>
      <c r="U67" s="202" t="s">
        <v>13</v>
      </c>
      <c r="V67" s="112">
        <f>V65/T65-1</f>
        <v>0.19177973024126871</v>
      </c>
      <c r="W67" s="112">
        <f>W65/V65-1</f>
        <v>8.3000384493221224E-2</v>
      </c>
      <c r="X67" s="112">
        <f>X65/W65-1</f>
        <v>2.971412694492459E-2</v>
      </c>
      <c r="Y67" s="112">
        <f>Y65/X65-1</f>
        <v>8.6345170816530814E-3</v>
      </c>
      <c r="Z67" s="202" t="s">
        <v>13</v>
      </c>
      <c r="AA67" s="112">
        <f>AA65/Y65-1</f>
        <v>0.15798469198186815</v>
      </c>
      <c r="AB67" s="112">
        <f>AB65/AA65-1</f>
        <v>4.0929217737277757E-2</v>
      </c>
      <c r="AC67" s="220"/>
      <c r="AF67" s="243"/>
    </row>
    <row r="68" spans="1:57" ht="16" thickBot="1" x14ac:dyDescent="0.25">
      <c r="A68" s="86" t="s">
        <v>14</v>
      </c>
      <c r="B68" s="64">
        <v>1.0050251256281451E-2</v>
      </c>
      <c r="C68" s="64">
        <v>6.1455625696249516E-2</v>
      </c>
      <c r="D68" s="64">
        <v>6.5169787887701336E-2</v>
      </c>
      <c r="E68" s="64">
        <v>0.16554182149086216</v>
      </c>
      <c r="F68" s="64">
        <v>7.4913853138820707E-2</v>
      </c>
      <c r="G68" s="64">
        <f t="shared" ref="G68:S68" si="99">G65/B65-1</f>
        <v>0.13507091408628491</v>
      </c>
      <c r="H68" s="64">
        <f t="shared" si="99"/>
        <v>0.12454084309952762</v>
      </c>
      <c r="I68" s="64">
        <f t="shared" si="99"/>
        <v>9.9690098493449009E-2</v>
      </c>
      <c r="J68" s="64">
        <f t="shared" si="99"/>
        <v>0.11239427456083284</v>
      </c>
      <c r="K68" s="64">
        <f t="shared" si="99"/>
        <v>0.11697097181320992</v>
      </c>
      <c r="L68" s="64">
        <f t="shared" si="99"/>
        <v>0.19125343451524279</v>
      </c>
      <c r="M68" s="64">
        <f t="shared" si="99"/>
        <v>-0.34602582050085551</v>
      </c>
      <c r="N68" s="64">
        <f t="shared" si="99"/>
        <v>0.2880859375</v>
      </c>
      <c r="O68" s="64">
        <f t="shared" si="99"/>
        <v>0.43480040941658138</v>
      </c>
      <c r="P68" s="64">
        <f t="shared" si="99"/>
        <v>0.1500316379414246</v>
      </c>
      <c r="Q68" s="64">
        <f t="shared" si="99"/>
        <v>0.44836486449380808</v>
      </c>
      <c r="R68" s="64">
        <f t="shared" si="99"/>
        <v>1.3450195033774142</v>
      </c>
      <c r="S68" s="64">
        <f t="shared" si="99"/>
        <v>0.22070832882053493</v>
      </c>
      <c r="T68" s="64">
        <f t="shared" ref="T68" si="100">T65/O65-1</f>
        <v>2.3031612416688718E-2</v>
      </c>
      <c r="U68" s="64">
        <f t="shared" ref="U68:AB68" si="101">U65/P65-1</f>
        <v>0.3663022617558247</v>
      </c>
      <c r="V68" s="64">
        <f t="shared" si="101"/>
        <v>0.13405247592325775</v>
      </c>
      <c r="W68" s="64">
        <f t="shared" si="101"/>
        <v>0.31415704809623302</v>
      </c>
      <c r="X68" s="64">
        <f t="shared" si="101"/>
        <v>0.18374915711395823</v>
      </c>
      <c r="Y68" s="64">
        <f t="shared" si="101"/>
        <v>0.3405255712948021</v>
      </c>
      <c r="Z68" s="64">
        <f>Z65/U65-1</f>
        <v>0.23972635575669243</v>
      </c>
      <c r="AA68" s="64">
        <f t="shared" si="101"/>
        <v>0.30251257961517242</v>
      </c>
      <c r="AB68" s="64">
        <f t="shared" si="101"/>
        <v>0.25191405285255608</v>
      </c>
      <c r="AC68" s="220"/>
      <c r="AF68" s="235"/>
      <c r="AO68" s="10"/>
      <c r="AP68" s="10"/>
      <c r="AQ68" s="10"/>
      <c r="AR68" s="10"/>
      <c r="AS68" s="10"/>
      <c r="AT68" s="10"/>
      <c r="AU68" s="10"/>
      <c r="AV68" s="10"/>
      <c r="AW68" s="10"/>
      <c r="AX68" s="10"/>
      <c r="AY68" s="10"/>
      <c r="AZ68" s="10"/>
      <c r="BA68" s="10"/>
      <c r="BB68" s="10"/>
      <c r="BC68" s="10"/>
      <c r="BD68" s="10"/>
      <c r="BE68" s="10"/>
    </row>
    <row r="69" spans="1:57" ht="6" customHeight="1" x14ac:dyDescent="0.2">
      <c r="A69" s="87"/>
      <c r="AF69" s="235"/>
      <c r="AO69" s="10"/>
      <c r="AP69" s="10"/>
      <c r="AQ69" s="10"/>
      <c r="AR69" s="10"/>
      <c r="AS69" s="10"/>
      <c r="AT69" s="10"/>
      <c r="AU69" s="10"/>
      <c r="AV69" s="10"/>
      <c r="AW69" s="10"/>
      <c r="AX69" s="10"/>
      <c r="AY69" s="10"/>
      <c r="AZ69" s="10"/>
      <c r="BA69" s="10"/>
      <c r="BB69" s="10"/>
      <c r="BC69" s="10"/>
      <c r="BD69" s="10"/>
      <c r="BE69" s="10"/>
    </row>
    <row r="70" spans="1:57" x14ac:dyDescent="0.2">
      <c r="A70" s="46" t="s">
        <v>40</v>
      </c>
      <c r="B70" s="34">
        <f t="shared" ref="B70:AB70" si="102">B58</f>
        <v>15150</v>
      </c>
      <c r="C70" s="34">
        <f t="shared" si="102"/>
        <v>17090</v>
      </c>
      <c r="D70" s="34">
        <f t="shared" si="102"/>
        <v>19674</v>
      </c>
      <c r="E70" s="34">
        <f t="shared" si="102"/>
        <v>-2093</v>
      </c>
      <c r="F70" s="34">
        <f t="shared" si="102"/>
        <v>49821</v>
      </c>
      <c r="G70" s="34">
        <f t="shared" si="102"/>
        <v>16861</v>
      </c>
      <c r="H70" s="34">
        <f t="shared" si="102"/>
        <v>13856</v>
      </c>
      <c r="I70" s="34">
        <f t="shared" si="102"/>
        <v>22422</v>
      </c>
      <c r="J70" s="34">
        <f t="shared" si="102"/>
        <v>23314</v>
      </c>
      <c r="K70" s="34">
        <f t="shared" si="102"/>
        <v>76453</v>
      </c>
      <c r="L70" s="34">
        <f t="shared" si="102"/>
        <v>27487</v>
      </c>
      <c r="M70" s="34">
        <f t="shared" si="102"/>
        <v>9866</v>
      </c>
      <c r="N70" s="34">
        <f t="shared" si="102"/>
        <v>34406</v>
      </c>
      <c r="O70" s="34">
        <f t="shared" si="102"/>
        <v>38263</v>
      </c>
      <c r="P70" s="34">
        <f t="shared" si="102"/>
        <v>110022</v>
      </c>
      <c r="Q70" s="34">
        <f t="shared" si="102"/>
        <v>41555</v>
      </c>
      <c r="R70" s="34">
        <f t="shared" si="102"/>
        <v>35830</v>
      </c>
      <c r="S70" s="34">
        <f t="shared" si="102"/>
        <v>42438</v>
      </c>
      <c r="T70" s="34">
        <f t="shared" si="102"/>
        <v>36058</v>
      </c>
      <c r="U70" s="34">
        <f t="shared" si="102"/>
        <v>155881</v>
      </c>
      <c r="V70" s="34">
        <f t="shared" si="102"/>
        <v>43975</v>
      </c>
      <c r="W70" s="34">
        <f t="shared" si="102"/>
        <v>47081</v>
      </c>
      <c r="X70" s="34">
        <f t="shared" si="102"/>
        <v>50111</v>
      </c>
      <c r="Y70" s="34">
        <f t="shared" ref="Y70" si="103">Y58</f>
        <v>50995</v>
      </c>
      <c r="Z70" s="34">
        <f t="shared" si="102"/>
        <v>192162</v>
      </c>
      <c r="AA70" s="34">
        <f t="shared" si="102"/>
        <v>59448</v>
      </c>
      <c r="AB70" s="34">
        <f t="shared" si="102"/>
        <v>64811</v>
      </c>
      <c r="AC70" s="219"/>
      <c r="AF70" s="235"/>
      <c r="AO70" s="10"/>
      <c r="AP70" s="10"/>
      <c r="AQ70" s="10"/>
      <c r="AR70" s="10"/>
      <c r="AS70" s="10"/>
      <c r="AT70" s="10"/>
      <c r="AU70" s="10"/>
      <c r="AV70" s="10"/>
      <c r="AW70" s="10"/>
      <c r="AX70" s="10"/>
      <c r="AY70" s="10"/>
      <c r="AZ70" s="10"/>
      <c r="BA70" s="10"/>
      <c r="BB70" s="10"/>
      <c r="BC70" s="10"/>
      <c r="BD70" s="10"/>
      <c r="BE70" s="10"/>
    </row>
    <row r="71" spans="1:57" x14ac:dyDescent="0.2">
      <c r="A71" s="50" t="s">
        <v>49</v>
      </c>
      <c r="B71" s="69">
        <f t="shared" ref="B71:AB71" si="104">-B23-B59</f>
        <v>6557</v>
      </c>
      <c r="C71" s="69">
        <f t="shared" si="104"/>
        <v>6821</v>
      </c>
      <c r="D71" s="24">
        <f t="shared" si="104"/>
        <v>7381</v>
      </c>
      <c r="E71" s="24">
        <f t="shared" si="104"/>
        <v>7430</v>
      </c>
      <c r="F71" s="69">
        <f t="shared" si="104"/>
        <v>28189</v>
      </c>
      <c r="G71" s="69">
        <f t="shared" si="104"/>
        <v>8139</v>
      </c>
      <c r="H71" s="69">
        <f t="shared" si="104"/>
        <v>7198</v>
      </c>
      <c r="I71" s="69">
        <f t="shared" si="104"/>
        <v>7545</v>
      </c>
      <c r="J71" s="69">
        <f t="shared" si="104"/>
        <v>7541</v>
      </c>
      <c r="K71" s="69">
        <f t="shared" si="104"/>
        <v>30423</v>
      </c>
      <c r="L71" s="69">
        <f t="shared" si="104"/>
        <v>8296</v>
      </c>
      <c r="M71" s="69">
        <f t="shared" si="104"/>
        <v>8975</v>
      </c>
      <c r="N71" s="69">
        <f t="shared" si="104"/>
        <v>9012</v>
      </c>
      <c r="O71" s="69">
        <f t="shared" si="104"/>
        <v>9767</v>
      </c>
      <c r="P71" s="69">
        <f t="shared" si="104"/>
        <v>36050</v>
      </c>
      <c r="Q71" s="69">
        <f t="shared" si="104"/>
        <v>8740</v>
      </c>
      <c r="R71" s="69">
        <f t="shared" si="104"/>
        <v>8913</v>
      </c>
      <c r="S71" s="69">
        <f t="shared" si="104"/>
        <v>9283</v>
      </c>
      <c r="T71" s="69">
        <f t="shared" si="104"/>
        <v>9418</v>
      </c>
      <c r="U71" s="69">
        <f t="shared" si="104"/>
        <v>36354</v>
      </c>
      <c r="V71" s="69">
        <f t="shared" si="104"/>
        <v>9116</v>
      </c>
      <c r="W71" s="69">
        <f t="shared" si="104"/>
        <v>9929</v>
      </c>
      <c r="X71" s="69">
        <f t="shared" si="104"/>
        <v>10137</v>
      </c>
      <c r="Y71" s="69">
        <f t="shared" si="104"/>
        <v>9991</v>
      </c>
      <c r="Z71" s="69">
        <f t="shared" si="104"/>
        <v>39173</v>
      </c>
      <c r="AA71" s="69">
        <f t="shared" si="104"/>
        <v>9338</v>
      </c>
      <c r="AB71" s="69">
        <f t="shared" si="104"/>
        <v>8918</v>
      </c>
      <c r="AC71" s="253"/>
      <c r="AF71" s="235"/>
      <c r="AO71" s="10"/>
      <c r="AP71" s="10"/>
      <c r="AQ71" s="10"/>
      <c r="AR71" s="10"/>
      <c r="AS71" s="10"/>
      <c r="AT71" s="10"/>
      <c r="AU71" s="10"/>
      <c r="AV71" s="10"/>
      <c r="AW71" s="10"/>
      <c r="AX71" s="10"/>
      <c r="AY71" s="10"/>
      <c r="AZ71" s="10"/>
      <c r="BA71" s="10"/>
      <c r="BB71" s="10"/>
      <c r="BC71" s="10"/>
      <c r="BD71" s="10"/>
      <c r="BE71" s="10"/>
    </row>
    <row r="72" spans="1:57" x14ac:dyDescent="0.2">
      <c r="A72" s="50" t="s">
        <v>41</v>
      </c>
      <c r="B72" s="69">
        <f t="shared" ref="B72:N72" si="105">B59</f>
        <v>3947</v>
      </c>
      <c r="C72" s="69">
        <f t="shared" si="105"/>
        <v>3761</v>
      </c>
      <c r="D72" s="24">
        <f t="shared" si="105"/>
        <v>6718</v>
      </c>
      <c r="E72" s="24">
        <f t="shared" si="105"/>
        <v>5951</v>
      </c>
      <c r="F72" s="69">
        <f t="shared" si="105"/>
        <v>20377</v>
      </c>
      <c r="G72" s="69">
        <f t="shared" si="105"/>
        <v>5528</v>
      </c>
      <c r="H72" s="69">
        <f t="shared" si="105"/>
        <v>5554</v>
      </c>
      <c r="I72" s="69">
        <f t="shared" si="105"/>
        <v>5502</v>
      </c>
      <c r="J72" s="69">
        <f t="shared" si="105"/>
        <v>4974</v>
      </c>
      <c r="K72" s="69">
        <f t="shared" si="105"/>
        <v>21558</v>
      </c>
      <c r="L72" s="69">
        <f t="shared" si="105"/>
        <v>4154</v>
      </c>
      <c r="M72" s="69">
        <f t="shared" si="105"/>
        <v>3430</v>
      </c>
      <c r="N72" s="69">
        <f t="shared" si="105"/>
        <v>3413</v>
      </c>
      <c r="O72" s="69">
        <f t="shared" ref="O72:V74" si="106">O59</f>
        <v>3415</v>
      </c>
      <c r="P72" s="69">
        <f t="shared" si="106"/>
        <v>14412</v>
      </c>
      <c r="Q72" s="69">
        <f t="shared" si="106"/>
        <v>3361</v>
      </c>
      <c r="R72" s="69">
        <f t="shared" si="106"/>
        <v>3397</v>
      </c>
      <c r="S72" s="69">
        <f t="shared" si="106"/>
        <v>3022</v>
      </c>
      <c r="T72" s="69">
        <f t="shared" si="106"/>
        <v>2998</v>
      </c>
      <c r="U72" s="69">
        <f t="shared" si="106"/>
        <v>12778</v>
      </c>
      <c r="V72" s="69">
        <f t="shared" si="106"/>
        <v>4486</v>
      </c>
      <c r="W72" s="69">
        <f t="shared" ref="W72:AB74" si="107">W59</f>
        <v>4146</v>
      </c>
      <c r="X72" s="69">
        <f t="shared" si="107"/>
        <v>4243</v>
      </c>
      <c r="Y72" s="69">
        <f t="shared" si="107"/>
        <v>4234</v>
      </c>
      <c r="Z72" s="69">
        <f t="shared" si="107"/>
        <v>17109</v>
      </c>
      <c r="AA72" s="69">
        <f t="shared" si="107"/>
        <v>4149</v>
      </c>
      <c r="AB72" s="69">
        <f t="shared" si="107"/>
        <v>4204</v>
      </c>
      <c r="AC72" s="69"/>
      <c r="AF72" s="235"/>
      <c r="AO72" s="10"/>
      <c r="AP72" s="10"/>
      <c r="AQ72" s="10"/>
      <c r="AR72" s="10"/>
      <c r="AS72" s="10"/>
      <c r="AT72" s="10"/>
      <c r="AU72" s="10"/>
      <c r="AV72" s="10"/>
      <c r="AW72" s="10"/>
      <c r="AX72" s="10"/>
      <c r="AY72" s="10"/>
      <c r="AZ72" s="10"/>
      <c r="BA72" s="10"/>
      <c r="BB72" s="10"/>
      <c r="BC72" s="10"/>
      <c r="BD72" s="10"/>
      <c r="BE72" s="10"/>
    </row>
    <row r="73" spans="1:57" x14ac:dyDescent="0.2">
      <c r="A73" s="50" t="s">
        <v>42</v>
      </c>
      <c r="B73" s="69">
        <f t="shared" ref="B73:N73" si="108">B60</f>
        <v>5074</v>
      </c>
      <c r="C73" s="69">
        <f t="shared" si="108"/>
        <v>6893</v>
      </c>
      <c r="D73" s="24">
        <f t="shared" si="108"/>
        <v>5344</v>
      </c>
      <c r="E73" s="24">
        <f t="shared" si="108"/>
        <v>6590</v>
      </c>
      <c r="F73" s="69">
        <f t="shared" si="108"/>
        <v>23901</v>
      </c>
      <c r="G73" s="69">
        <f t="shared" si="108"/>
        <v>6956</v>
      </c>
      <c r="H73" s="69">
        <f t="shared" si="108"/>
        <v>7155</v>
      </c>
      <c r="I73" s="69">
        <f t="shared" si="108"/>
        <v>7427</v>
      </c>
      <c r="J73" s="69">
        <f t="shared" si="108"/>
        <v>4532</v>
      </c>
      <c r="K73" s="69">
        <f t="shared" si="108"/>
        <v>26070</v>
      </c>
      <c r="L73" s="69">
        <f t="shared" si="108"/>
        <v>4778</v>
      </c>
      <c r="M73" s="69">
        <f t="shared" si="108"/>
        <v>7726</v>
      </c>
      <c r="N73" s="69">
        <f t="shared" si="108"/>
        <v>8346</v>
      </c>
      <c r="O73" s="69">
        <f t="shared" si="106"/>
        <v>7385</v>
      </c>
      <c r="P73" s="69">
        <f t="shared" si="106"/>
        <v>28235</v>
      </c>
      <c r="Q73" s="69">
        <f t="shared" si="106"/>
        <v>7832</v>
      </c>
      <c r="R73" s="69">
        <f t="shared" si="106"/>
        <v>10070</v>
      </c>
      <c r="S73" s="69">
        <f t="shared" si="106"/>
        <v>10894</v>
      </c>
      <c r="T73" s="69">
        <f t="shared" si="106"/>
        <v>9825</v>
      </c>
      <c r="U73" s="69">
        <f t="shared" si="106"/>
        <v>38621</v>
      </c>
      <c r="V73" s="69">
        <f t="shared" si="106"/>
        <v>11224</v>
      </c>
      <c r="W73" s="69">
        <f t="shared" si="107"/>
        <v>13340</v>
      </c>
      <c r="X73" s="69">
        <f t="shared" si="107"/>
        <v>12186</v>
      </c>
      <c r="Y73" s="69">
        <f t="shared" si="107"/>
        <v>12616</v>
      </c>
      <c r="Z73" s="69">
        <f t="shared" si="107"/>
        <v>49366</v>
      </c>
      <c r="AA73" s="69">
        <f t="shared" si="107"/>
        <v>14407</v>
      </c>
      <c r="AB73" s="69">
        <f t="shared" si="107"/>
        <v>11511</v>
      </c>
      <c r="AC73" s="69"/>
      <c r="AF73" s="235"/>
      <c r="AO73" s="10"/>
      <c r="AP73" s="10"/>
      <c r="AQ73" s="10"/>
      <c r="AR73" s="10"/>
      <c r="AS73" s="10"/>
      <c r="AT73" s="10"/>
      <c r="AU73" s="10"/>
      <c r="AV73" s="10"/>
      <c r="AW73" s="10"/>
      <c r="AX73" s="10"/>
      <c r="AY73" s="10"/>
      <c r="AZ73" s="10"/>
      <c r="BA73" s="10"/>
      <c r="BB73" s="10"/>
      <c r="BC73" s="10"/>
      <c r="BD73" s="10"/>
      <c r="BE73" s="10"/>
    </row>
    <row r="74" spans="1:57" x14ac:dyDescent="0.2">
      <c r="A74" s="50" t="s">
        <v>43</v>
      </c>
      <c r="B74" s="24">
        <f t="shared" ref="B74:N74" si="109">B61</f>
        <v>2400</v>
      </c>
      <c r="C74" s="24">
        <f t="shared" si="109"/>
        <v>0</v>
      </c>
      <c r="D74" s="24">
        <f t="shared" si="109"/>
        <v>0</v>
      </c>
      <c r="E74" s="24">
        <f t="shared" si="109"/>
        <v>0</v>
      </c>
      <c r="F74" s="24">
        <f t="shared" si="109"/>
        <v>2400</v>
      </c>
      <c r="G74" s="24">
        <f t="shared" si="109"/>
        <v>0</v>
      </c>
      <c r="H74" s="24">
        <f t="shared" si="109"/>
        <v>0</v>
      </c>
      <c r="I74" s="24">
        <f t="shared" si="109"/>
        <v>0</v>
      </c>
      <c r="J74" s="24">
        <f t="shared" si="109"/>
        <v>0</v>
      </c>
      <c r="K74" s="24">
        <f t="shared" si="109"/>
        <v>0</v>
      </c>
      <c r="L74" s="24">
        <f t="shared" si="109"/>
        <v>0</v>
      </c>
      <c r="M74" s="24">
        <f t="shared" si="109"/>
        <v>0</v>
      </c>
      <c r="N74" s="24">
        <f t="shared" si="109"/>
        <v>0</v>
      </c>
      <c r="O74" s="24">
        <f t="shared" si="106"/>
        <v>0</v>
      </c>
      <c r="P74" s="24">
        <f t="shared" si="106"/>
        <v>0</v>
      </c>
      <c r="Q74" s="24">
        <f t="shared" si="106"/>
        <v>0</v>
      </c>
      <c r="R74" s="24">
        <f t="shared" si="106"/>
        <v>0</v>
      </c>
      <c r="S74" s="24">
        <f t="shared" si="106"/>
        <v>0</v>
      </c>
      <c r="T74" s="24">
        <f t="shared" si="106"/>
        <v>0</v>
      </c>
      <c r="U74" s="24">
        <f t="shared" si="106"/>
        <v>0</v>
      </c>
      <c r="V74" s="24">
        <f t="shared" si="106"/>
        <v>0</v>
      </c>
      <c r="W74" s="69">
        <f t="shared" si="107"/>
        <v>217</v>
      </c>
      <c r="X74" s="69">
        <f t="shared" si="107"/>
        <v>169</v>
      </c>
      <c r="Y74" s="24">
        <f t="shared" si="107"/>
        <v>0</v>
      </c>
      <c r="Z74" s="24">
        <f>Z61</f>
        <v>386</v>
      </c>
      <c r="AA74" s="24">
        <v>0</v>
      </c>
      <c r="AB74" s="24">
        <v>0</v>
      </c>
      <c r="AC74" s="216"/>
      <c r="AF74" s="244"/>
      <c r="AO74" s="10"/>
      <c r="AP74" s="10"/>
      <c r="AQ74" s="10"/>
      <c r="AR74" s="10"/>
      <c r="AS74" s="10"/>
      <c r="AT74" s="10"/>
      <c r="AU74" s="10"/>
      <c r="AV74" s="10"/>
      <c r="AW74" s="10"/>
      <c r="AX74" s="10"/>
      <c r="AY74" s="10"/>
      <c r="AZ74" s="10"/>
      <c r="BA74" s="10"/>
      <c r="BB74" s="10"/>
      <c r="BC74" s="10"/>
      <c r="BD74" s="10"/>
      <c r="BE74" s="10"/>
    </row>
    <row r="75" spans="1:57" x14ac:dyDescent="0.2">
      <c r="A75" s="50" t="s">
        <v>44</v>
      </c>
      <c r="B75" s="162">
        <f t="shared" ref="B75:N75" si="110">B62</f>
        <v>363</v>
      </c>
      <c r="C75" s="162">
        <f t="shared" si="110"/>
        <v>841</v>
      </c>
      <c r="D75" s="162">
        <f t="shared" si="110"/>
        <v>855</v>
      </c>
      <c r="E75" s="162">
        <f t="shared" si="110"/>
        <v>236</v>
      </c>
      <c r="F75" s="24">
        <f t="shared" si="110"/>
        <v>2295</v>
      </c>
      <c r="G75" s="24">
        <f t="shared" si="110"/>
        <v>0</v>
      </c>
      <c r="H75" s="24">
        <f t="shared" si="110"/>
        <v>0</v>
      </c>
      <c r="I75" s="24">
        <f t="shared" si="110"/>
        <v>0</v>
      </c>
      <c r="J75" s="24">
        <f t="shared" si="110"/>
        <v>0</v>
      </c>
      <c r="K75" s="24">
        <f t="shared" si="110"/>
        <v>0</v>
      </c>
      <c r="L75" s="24">
        <f t="shared" si="110"/>
        <v>0</v>
      </c>
      <c r="M75" s="24">
        <f t="shared" si="110"/>
        <v>0</v>
      </c>
      <c r="N75" s="24">
        <f t="shared" si="110"/>
        <v>0</v>
      </c>
      <c r="O75" s="24">
        <f t="shared" ref="O75:W75" si="111">O62</f>
        <v>0</v>
      </c>
      <c r="P75" s="24">
        <f t="shared" si="111"/>
        <v>0</v>
      </c>
      <c r="Q75" s="24">
        <f t="shared" si="111"/>
        <v>0</v>
      </c>
      <c r="R75" s="24">
        <f t="shared" si="111"/>
        <v>0</v>
      </c>
      <c r="S75" s="24">
        <f t="shared" si="111"/>
        <v>0</v>
      </c>
      <c r="T75" s="24">
        <f t="shared" si="111"/>
        <v>761</v>
      </c>
      <c r="U75" s="24">
        <f t="shared" si="111"/>
        <v>761</v>
      </c>
      <c r="V75" s="24">
        <f t="shared" si="111"/>
        <v>134</v>
      </c>
      <c r="W75" s="24">
        <f t="shared" si="111"/>
        <v>0</v>
      </c>
      <c r="X75" s="24">
        <f t="shared" ref="X75:Z75" si="112">X62</f>
        <v>0</v>
      </c>
      <c r="Y75" s="24">
        <f t="shared" si="112"/>
        <v>0</v>
      </c>
      <c r="Z75" s="24">
        <f t="shared" si="112"/>
        <v>134</v>
      </c>
      <c r="AA75" s="24">
        <v>0</v>
      </c>
      <c r="AB75" s="24">
        <v>0</v>
      </c>
      <c r="AC75" s="216"/>
      <c r="AF75" s="244"/>
      <c r="AO75" s="10"/>
      <c r="AP75" s="10"/>
      <c r="AQ75" s="10"/>
      <c r="AR75" s="10"/>
      <c r="AS75" s="10"/>
      <c r="AT75" s="10"/>
      <c r="AU75" s="10"/>
      <c r="AV75" s="10"/>
      <c r="AW75" s="10"/>
      <c r="AX75" s="10"/>
      <c r="AY75" s="10"/>
      <c r="AZ75" s="10"/>
      <c r="BA75" s="10"/>
      <c r="BB75" s="10"/>
      <c r="BC75" s="10"/>
      <c r="BD75" s="10"/>
      <c r="BE75" s="10"/>
    </row>
    <row r="76" spans="1:57" x14ac:dyDescent="0.2">
      <c r="A76" s="50" t="s">
        <v>45</v>
      </c>
      <c r="B76" s="162"/>
      <c r="C76" s="162"/>
      <c r="D76" s="162"/>
      <c r="E76" s="162"/>
      <c r="F76" s="24">
        <f t="shared" ref="F76:N76" si="113">F63</f>
        <v>0</v>
      </c>
      <c r="G76" s="24">
        <f t="shared" si="113"/>
        <v>0</v>
      </c>
      <c r="H76" s="24">
        <f t="shared" si="113"/>
        <v>0</v>
      </c>
      <c r="I76" s="24">
        <f t="shared" si="113"/>
        <v>0</v>
      </c>
      <c r="J76" s="24">
        <f t="shared" si="113"/>
        <v>0</v>
      </c>
      <c r="K76" s="24">
        <f t="shared" si="113"/>
        <v>0</v>
      </c>
      <c r="L76" s="24">
        <f t="shared" si="113"/>
        <v>0</v>
      </c>
      <c r="M76" s="24">
        <f t="shared" si="113"/>
        <v>0</v>
      </c>
      <c r="N76" s="24">
        <f t="shared" si="113"/>
        <v>0</v>
      </c>
      <c r="O76" s="24">
        <f t="shared" ref="O76:W76" si="114">O63</f>
        <v>0</v>
      </c>
      <c r="P76" s="24">
        <f t="shared" si="114"/>
        <v>0</v>
      </c>
      <c r="Q76" s="24">
        <f t="shared" si="114"/>
        <v>0</v>
      </c>
      <c r="R76" s="24">
        <f t="shared" si="114"/>
        <v>0</v>
      </c>
      <c r="S76" s="24">
        <f t="shared" si="114"/>
        <v>0</v>
      </c>
      <c r="T76" s="24">
        <f t="shared" si="114"/>
        <v>551</v>
      </c>
      <c r="U76" s="24">
        <f t="shared" si="114"/>
        <v>551</v>
      </c>
      <c r="V76" s="24">
        <f t="shared" si="114"/>
        <v>0</v>
      </c>
      <c r="W76" s="24">
        <f t="shared" si="114"/>
        <v>0</v>
      </c>
      <c r="X76" s="24">
        <f t="shared" ref="X76:Z77" si="115">X63</f>
        <v>0</v>
      </c>
      <c r="Y76" s="53">
        <f>+Z76-SUM(V76:X76)</f>
        <v>-864</v>
      </c>
      <c r="Z76" s="24">
        <v>-864</v>
      </c>
      <c r="AA76" s="24">
        <v>-838</v>
      </c>
      <c r="AB76" s="24">
        <v>-51</v>
      </c>
      <c r="AC76" s="216"/>
      <c r="AF76" s="235"/>
      <c r="AO76" s="10"/>
      <c r="AP76" s="10"/>
      <c r="AQ76" s="10"/>
      <c r="AR76" s="10"/>
      <c r="AS76" s="10"/>
      <c r="AT76" s="10"/>
      <c r="AU76" s="10"/>
      <c r="AV76" s="10"/>
      <c r="AW76" s="10"/>
      <c r="AX76" s="10"/>
      <c r="AY76" s="10"/>
      <c r="AZ76" s="10"/>
      <c r="BA76" s="10"/>
      <c r="BB76" s="10"/>
      <c r="BC76" s="10"/>
      <c r="BD76" s="10"/>
      <c r="BE76" s="10"/>
    </row>
    <row r="77" spans="1:57" ht="29" x14ac:dyDescent="0.2">
      <c r="A77" s="261" t="s">
        <v>46</v>
      </c>
      <c r="B77" s="179">
        <v>0</v>
      </c>
      <c r="C77" s="179">
        <v>0</v>
      </c>
      <c r="D77" s="179">
        <v>0</v>
      </c>
      <c r="E77" s="179">
        <f>E64</f>
        <v>20056</v>
      </c>
      <c r="F77" s="180">
        <f t="shared" ref="F77:N77" si="116">F64</f>
        <v>20056</v>
      </c>
      <c r="G77" s="180">
        <f t="shared" si="116"/>
        <v>1227</v>
      </c>
      <c r="H77" s="180">
        <f t="shared" si="116"/>
        <v>5580</v>
      </c>
      <c r="I77" s="180">
        <f t="shared" si="116"/>
        <v>489</v>
      </c>
      <c r="J77" s="180">
        <f t="shared" si="116"/>
        <v>1375</v>
      </c>
      <c r="K77" s="180">
        <f t="shared" si="116"/>
        <v>8671</v>
      </c>
      <c r="L77" s="180">
        <f t="shared" si="116"/>
        <v>0</v>
      </c>
      <c r="M77" s="180">
        <f t="shared" si="116"/>
        <v>0</v>
      </c>
      <c r="N77" s="180">
        <f t="shared" si="116"/>
        <v>0</v>
      </c>
      <c r="O77" s="180">
        <f t="shared" ref="O77:W77" si="117">O64</f>
        <v>0</v>
      </c>
      <c r="P77" s="180">
        <f t="shared" si="117"/>
        <v>0</v>
      </c>
      <c r="Q77" s="180">
        <f t="shared" si="117"/>
        <v>0</v>
      </c>
      <c r="R77" s="180">
        <f t="shared" si="117"/>
        <v>0</v>
      </c>
      <c r="S77" s="180">
        <f t="shared" si="117"/>
        <v>0</v>
      </c>
      <c r="T77" s="180">
        <f t="shared" si="117"/>
        <v>0</v>
      </c>
      <c r="U77" s="180">
        <f t="shared" si="117"/>
        <v>0</v>
      </c>
      <c r="V77" s="180">
        <f t="shared" si="117"/>
        <v>0</v>
      </c>
      <c r="W77" s="180">
        <f t="shared" si="117"/>
        <v>0</v>
      </c>
      <c r="X77" s="180">
        <f t="shared" ref="X77:Y77" si="118">X64</f>
        <v>0</v>
      </c>
      <c r="Y77" s="180">
        <f t="shared" si="118"/>
        <v>0</v>
      </c>
      <c r="Z77" s="180">
        <f t="shared" si="115"/>
        <v>0</v>
      </c>
      <c r="AA77" s="24">
        <v>0</v>
      </c>
      <c r="AB77" s="24">
        <v>0</v>
      </c>
      <c r="AC77" s="225"/>
      <c r="AF77" s="244"/>
      <c r="AO77" s="10"/>
      <c r="AP77" s="10"/>
      <c r="AQ77" s="10"/>
      <c r="AR77" s="10"/>
      <c r="AS77" s="10"/>
      <c r="AT77" s="10"/>
      <c r="AU77" s="10"/>
      <c r="AV77" s="10"/>
      <c r="AW77" s="10"/>
      <c r="AX77" s="10"/>
      <c r="AY77" s="10"/>
      <c r="AZ77" s="10"/>
      <c r="BA77" s="10"/>
      <c r="BB77" s="10"/>
      <c r="BC77" s="10"/>
      <c r="BD77" s="10"/>
      <c r="BE77" s="10"/>
    </row>
    <row r="78" spans="1:57" x14ac:dyDescent="0.2">
      <c r="A78" s="46" t="s">
        <v>50</v>
      </c>
      <c r="B78" s="34">
        <f t="shared" ref="B78:W78" si="119">SUM(B70:B77)</f>
        <v>33491</v>
      </c>
      <c r="C78" s="34">
        <f t="shared" si="119"/>
        <v>35406</v>
      </c>
      <c r="D78" s="34">
        <f t="shared" si="119"/>
        <v>39972</v>
      </c>
      <c r="E78" s="34">
        <f t="shared" si="119"/>
        <v>38170</v>
      </c>
      <c r="F78" s="34">
        <f t="shared" si="119"/>
        <v>147039</v>
      </c>
      <c r="G78" s="34">
        <f t="shared" si="119"/>
        <v>38711</v>
      </c>
      <c r="H78" s="34">
        <f t="shared" si="119"/>
        <v>39343</v>
      </c>
      <c r="I78" s="34">
        <f t="shared" si="119"/>
        <v>43385</v>
      </c>
      <c r="J78" s="34">
        <f t="shared" si="119"/>
        <v>41736</v>
      </c>
      <c r="K78" s="34">
        <f t="shared" si="119"/>
        <v>163175</v>
      </c>
      <c r="L78" s="34">
        <f t="shared" si="119"/>
        <v>44715</v>
      </c>
      <c r="M78" s="34">
        <f t="shared" si="119"/>
        <v>29997</v>
      </c>
      <c r="N78" s="34">
        <f t="shared" si="119"/>
        <v>55177</v>
      </c>
      <c r="O78" s="34">
        <f t="shared" si="119"/>
        <v>58830</v>
      </c>
      <c r="P78" s="34">
        <f t="shared" si="119"/>
        <v>188719</v>
      </c>
      <c r="Q78" s="34">
        <f t="shared" si="119"/>
        <v>61488</v>
      </c>
      <c r="R78" s="34">
        <f t="shared" si="119"/>
        <v>58210</v>
      </c>
      <c r="S78" s="34">
        <f t="shared" si="119"/>
        <v>65637</v>
      </c>
      <c r="T78" s="34">
        <f t="shared" si="119"/>
        <v>59611</v>
      </c>
      <c r="U78" s="34">
        <f t="shared" si="119"/>
        <v>244946</v>
      </c>
      <c r="V78" s="34">
        <f t="shared" si="119"/>
        <v>68935</v>
      </c>
      <c r="W78" s="34">
        <f t="shared" si="119"/>
        <v>74713</v>
      </c>
      <c r="X78" s="34">
        <f t="shared" ref="X78" si="120">SUM(X70:X77)</f>
        <v>76846</v>
      </c>
      <c r="Y78" s="34">
        <f t="shared" ref="Y78:AB78" si="121">SUM(Y70:Y77)</f>
        <v>76972</v>
      </c>
      <c r="Z78" s="34">
        <f t="shared" si="121"/>
        <v>297466</v>
      </c>
      <c r="AA78" s="34">
        <f t="shared" si="121"/>
        <v>86504</v>
      </c>
      <c r="AB78" s="34">
        <f t="shared" si="121"/>
        <v>89393</v>
      </c>
      <c r="AC78" s="219"/>
      <c r="AF78" s="235"/>
      <c r="AO78" s="10"/>
      <c r="AP78" s="10"/>
      <c r="AQ78" s="10"/>
      <c r="AR78" s="10"/>
      <c r="AS78" s="10"/>
      <c r="AT78" s="10"/>
      <c r="AU78" s="10"/>
      <c r="AV78" s="10"/>
      <c r="AW78" s="10"/>
      <c r="AX78" s="10"/>
      <c r="AY78" s="10"/>
      <c r="AZ78" s="10"/>
      <c r="BA78" s="10"/>
      <c r="BB78" s="10"/>
      <c r="BC78" s="10"/>
      <c r="BD78" s="10"/>
      <c r="BE78" s="10"/>
    </row>
    <row r="79" spans="1:57" x14ac:dyDescent="0.2">
      <c r="A79" s="84" t="s">
        <v>51</v>
      </c>
      <c r="B79" s="79">
        <f t="shared" ref="B79:AA79" si="122">IF(B78/B8&lt;0, "NM",B78/B8)</f>
        <v>0.16181337662400411</v>
      </c>
      <c r="C79" s="79">
        <f t="shared" si="122"/>
        <v>0.16851012793176973</v>
      </c>
      <c r="D79" s="79">
        <f t="shared" si="122"/>
        <v>0.17294612415846039</v>
      </c>
      <c r="E79" s="79">
        <f t="shared" si="122"/>
        <v>0.1624926033298851</v>
      </c>
      <c r="F79" s="79">
        <f t="shared" si="122"/>
        <v>0.1665009647700405</v>
      </c>
      <c r="G79" s="79">
        <f t="shared" si="122"/>
        <v>0.16158331698480213</v>
      </c>
      <c r="H79" s="79">
        <f t="shared" si="122"/>
        <v>0.16156692360446637</v>
      </c>
      <c r="I79" s="79">
        <f t="shared" si="122"/>
        <v>0.17257907968431771</v>
      </c>
      <c r="J79" s="79">
        <f t="shared" si="122"/>
        <v>0.16247780995982436</v>
      </c>
      <c r="K79" s="79">
        <f t="shared" si="122"/>
        <v>0.16459944358478271</v>
      </c>
      <c r="L79" s="79">
        <f t="shared" si="122"/>
        <v>0.18177568193829016</v>
      </c>
      <c r="M79" s="79">
        <f t="shared" si="122"/>
        <v>0.13483433944793299</v>
      </c>
      <c r="N79" s="79">
        <f t="shared" si="122"/>
        <v>0.22893310873046827</v>
      </c>
      <c r="O79" s="79">
        <f t="shared" si="122"/>
        <v>0.23630966487650279</v>
      </c>
      <c r="P79" s="79">
        <f t="shared" si="122"/>
        <v>0.19690349048552117</v>
      </c>
      <c r="Q79" s="79">
        <f t="shared" si="122"/>
        <v>0.23521221046994242</v>
      </c>
      <c r="R79" s="79">
        <f t="shared" si="122"/>
        <v>0.2116234767181456</v>
      </c>
      <c r="S79" s="79">
        <f t="shared" si="122"/>
        <v>0.22608111599070008</v>
      </c>
      <c r="T79" s="79">
        <f t="shared" si="122"/>
        <v>0.20173678207987439</v>
      </c>
      <c r="U79" s="79">
        <f t="shared" si="122"/>
        <v>0.21825494768300258</v>
      </c>
      <c r="V79" s="79">
        <f t="shared" si="122"/>
        <v>0.20939649097227284</v>
      </c>
      <c r="W79" s="79">
        <f t="shared" si="122"/>
        <v>0.21544659180695652</v>
      </c>
      <c r="X79" s="79">
        <f t="shared" si="122"/>
        <v>0.21266303400295003</v>
      </c>
      <c r="Y79" s="79">
        <f t="shared" si="122"/>
        <v>0.20542136038409087</v>
      </c>
      <c r="Z79" s="79">
        <f t="shared" si="122"/>
        <v>0.21066340708929751</v>
      </c>
      <c r="AA79" s="79">
        <f t="shared" si="122"/>
        <v>0.21591291998113032</v>
      </c>
      <c r="AB79" s="79">
        <f t="shared" ref="AB79" si="123">IF(AB78/AB8&lt;0, "NM",AB78/AB8)</f>
        <v>0.2207256367964128</v>
      </c>
      <c r="AC79" s="222"/>
      <c r="AF79" s="243"/>
      <c r="AO79" s="10"/>
      <c r="AP79" s="10"/>
      <c r="AQ79" s="10"/>
      <c r="AR79" s="10"/>
      <c r="AS79" s="10"/>
      <c r="AT79" s="10"/>
      <c r="AU79" s="10"/>
      <c r="AV79" s="10"/>
      <c r="AW79" s="10"/>
      <c r="AX79" s="10"/>
      <c r="AY79" s="10"/>
      <c r="AZ79" s="10"/>
      <c r="BA79" s="10"/>
      <c r="BB79" s="10"/>
      <c r="BC79" s="10"/>
      <c r="BD79" s="10"/>
      <c r="BE79" s="10"/>
    </row>
    <row r="80" spans="1:57" x14ac:dyDescent="0.2">
      <c r="A80" s="47" t="s">
        <v>12</v>
      </c>
      <c r="B80" s="79">
        <v>1.6387970016084497E-2</v>
      </c>
      <c r="C80" s="79">
        <f>C78/B78-1</f>
        <v>5.7179540772147819E-2</v>
      </c>
      <c r="D80" s="79">
        <f>D78/C78-1</f>
        <v>0.12896119301813247</v>
      </c>
      <c r="E80" s="79">
        <f>E78/D78-1</f>
        <v>-4.5081557089962976E-2</v>
      </c>
      <c r="F80" s="79" t="s">
        <v>13</v>
      </c>
      <c r="G80" s="174">
        <f>G78/E78-1</f>
        <v>1.4173434634529691E-2</v>
      </c>
      <c r="H80" s="174">
        <f>H78/G78-1</f>
        <v>1.6326108857947386E-2</v>
      </c>
      <c r="I80" s="174">
        <f>I78/H78-1</f>
        <v>0.10273746282693241</v>
      </c>
      <c r="J80" s="174">
        <f>J78/I78-1</f>
        <v>-3.8008528293188903E-2</v>
      </c>
      <c r="K80" s="79" t="s">
        <v>13</v>
      </c>
      <c r="L80" s="174">
        <f>L78/J78-1</f>
        <v>7.1377228292121897E-2</v>
      </c>
      <c r="M80" s="174">
        <f>M78/L78-1</f>
        <v>-0.32915129151291511</v>
      </c>
      <c r="N80" s="174">
        <f>N78/M78-1</f>
        <v>0.83941727506083952</v>
      </c>
      <c r="O80" s="174">
        <f>O78/N78-1</f>
        <v>6.620512169925874E-2</v>
      </c>
      <c r="P80" s="174" t="s">
        <v>13</v>
      </c>
      <c r="Q80" s="174">
        <f>Q78/O78-1</f>
        <v>4.5181030086690388E-2</v>
      </c>
      <c r="R80" s="174">
        <f>R78/Q78-1</f>
        <v>-5.3311215196461093E-2</v>
      </c>
      <c r="S80" s="174">
        <f>S78/R78-1</f>
        <v>0.12758976120941412</v>
      </c>
      <c r="T80" s="174">
        <f>T78/S78-1</f>
        <v>-9.1807974160915351E-2</v>
      </c>
      <c r="U80" s="174" t="s">
        <v>13</v>
      </c>
      <c r="V80" s="174">
        <f>V78/T78-1</f>
        <v>0.15641408464880646</v>
      </c>
      <c r="W80" s="174">
        <f>W78/V78-1</f>
        <v>8.3818089504605897E-2</v>
      </c>
      <c r="X80" s="174">
        <f>X78/W78-1</f>
        <v>2.8549248457430343E-2</v>
      </c>
      <c r="Y80" s="174">
        <f>Y78/X78-1</f>
        <v>1.6396429222080844E-3</v>
      </c>
      <c r="Z80" s="174" t="s">
        <v>13</v>
      </c>
      <c r="AA80" s="174">
        <f>AA78/Y78-1</f>
        <v>0.12383723951566794</v>
      </c>
      <c r="AB80" s="174">
        <f>AB78/AA78-1</f>
        <v>3.3397299546841674E-2</v>
      </c>
      <c r="AC80" s="222"/>
      <c r="AF80" s="243"/>
      <c r="AO80" s="10"/>
      <c r="AP80" s="10"/>
      <c r="AQ80" s="10"/>
      <c r="AR80" s="10"/>
      <c r="AS80" s="10"/>
      <c r="AT80" s="10"/>
      <c r="AU80" s="10"/>
      <c r="AV80" s="10"/>
      <c r="AW80" s="10"/>
      <c r="AX80" s="10"/>
      <c r="AY80" s="10"/>
      <c r="AZ80" s="10"/>
      <c r="BA80" s="10"/>
      <c r="BB80" s="10"/>
      <c r="BC80" s="10"/>
      <c r="BD80" s="10"/>
      <c r="BE80" s="10"/>
    </row>
    <row r="81" spans="1:57" ht="16" thickBot="1" x14ac:dyDescent="0.25">
      <c r="A81" s="86" t="s">
        <v>14</v>
      </c>
      <c r="B81" s="64">
        <v>2.9225568531038748E-2</v>
      </c>
      <c r="C81" s="64">
        <v>7.4276351720371281E-2</v>
      </c>
      <c r="D81" s="64">
        <v>8.939278316799304E-2</v>
      </c>
      <c r="E81" s="64">
        <v>0.15838669539619432</v>
      </c>
      <c r="F81" s="64">
        <v>8.804137900415121E-2</v>
      </c>
      <c r="G81" s="64">
        <f t="shared" ref="G81:M81" si="124">G78/B78-1</f>
        <v>0.1558627691021468</v>
      </c>
      <c r="H81" s="64">
        <f t="shared" si="124"/>
        <v>0.11119584251256853</v>
      </c>
      <c r="I81" s="64">
        <f t="shared" si="124"/>
        <v>8.5384769338537003E-2</v>
      </c>
      <c r="J81" s="64">
        <f t="shared" si="124"/>
        <v>9.3424155095624739E-2</v>
      </c>
      <c r="K81" s="64">
        <f t="shared" si="124"/>
        <v>0.10973959289712254</v>
      </c>
      <c r="L81" s="64">
        <f t="shared" si="124"/>
        <v>0.15509803415049994</v>
      </c>
      <c r="M81" s="64">
        <f t="shared" si="124"/>
        <v>-0.23755178811986888</v>
      </c>
      <c r="N81" s="64">
        <f>N78/I78-1</f>
        <v>0.27179900887403474</v>
      </c>
      <c r="O81" s="64">
        <f>O78/J78-1</f>
        <v>0.40957446808510634</v>
      </c>
      <c r="P81" s="64">
        <f>P78/K78-1</f>
        <v>0.1565435881722077</v>
      </c>
      <c r="Q81" s="64">
        <f t="shared" ref="Q81:S81" si="125">Q78/L78-1</f>
        <v>0.37510902381751099</v>
      </c>
      <c r="R81" s="64">
        <f t="shared" si="125"/>
        <v>0.94052738607194053</v>
      </c>
      <c r="S81" s="64">
        <f t="shared" si="125"/>
        <v>0.18957174184895886</v>
      </c>
      <c r="T81" s="64">
        <f>T78/O78-1</f>
        <v>1.3275539690634108E-2</v>
      </c>
      <c r="U81" s="64">
        <f>U78/P78-1</f>
        <v>0.29794032397373882</v>
      </c>
      <c r="V81" s="64">
        <f t="shared" ref="V81:X81" si="126">V78/Q78-1</f>
        <v>0.12111306271142341</v>
      </c>
      <c r="W81" s="64">
        <f t="shared" si="126"/>
        <v>0.28350798831815838</v>
      </c>
      <c r="X81" s="64">
        <f t="shared" si="126"/>
        <v>0.17077258253728833</v>
      </c>
      <c r="Y81" s="64">
        <f>Y78/T78-1</f>
        <v>0.29123819429299957</v>
      </c>
      <c r="Z81" s="64">
        <f>Z78/U78-1</f>
        <v>0.21441460566818815</v>
      </c>
      <c r="AA81" s="64">
        <f t="shared" ref="AA81" si="127">AA78/V78-1</f>
        <v>0.2548632770000725</v>
      </c>
      <c r="AB81" s="64">
        <f>AB78/W78-1</f>
        <v>0.19648521676281239</v>
      </c>
      <c r="AC81" s="220"/>
      <c r="AF81" s="243"/>
      <c r="AO81" s="10"/>
      <c r="AP81" s="10"/>
      <c r="AQ81" s="10"/>
      <c r="AR81" s="10"/>
      <c r="AS81" s="10"/>
      <c r="AT81" s="10"/>
      <c r="AU81" s="10"/>
      <c r="AV81" s="10"/>
      <c r="AW81" s="10"/>
      <c r="AX81" s="10"/>
      <c r="AY81" s="10"/>
      <c r="AZ81" s="10"/>
      <c r="BA81" s="10"/>
      <c r="BB81" s="10"/>
      <c r="BC81" s="10"/>
      <c r="BD81" s="10"/>
      <c r="BE81" s="10"/>
    </row>
    <row r="82" spans="1:57" ht="6" customHeight="1" x14ac:dyDescent="0.2">
      <c r="A82" s="84"/>
      <c r="AF82" s="235"/>
      <c r="AO82" s="10"/>
      <c r="AP82" s="10"/>
      <c r="AQ82" s="10"/>
      <c r="AR82" s="10"/>
      <c r="AS82" s="10"/>
      <c r="AT82" s="10"/>
      <c r="AU82" s="10"/>
      <c r="AV82" s="10"/>
      <c r="AW82" s="10"/>
      <c r="AX82" s="10"/>
      <c r="AY82" s="10"/>
      <c r="AZ82" s="10"/>
      <c r="BA82" s="10"/>
      <c r="BB82" s="10"/>
      <c r="BC82" s="10"/>
      <c r="BD82" s="10"/>
      <c r="BE82" s="10"/>
    </row>
    <row r="83" spans="1:57" ht="13" x14ac:dyDescent="0.15">
      <c r="A83" s="46" t="s">
        <v>52</v>
      </c>
      <c r="B83" s="81">
        <f t="shared" ref="B83:AB83" si="128">B45</f>
        <v>23158</v>
      </c>
      <c r="C83" s="81">
        <f t="shared" si="128"/>
        <v>14462</v>
      </c>
      <c r="D83" s="81">
        <f t="shared" si="128"/>
        <v>15249</v>
      </c>
      <c r="E83" s="81">
        <f t="shared" si="128"/>
        <v>3857</v>
      </c>
      <c r="F83" s="81">
        <f t="shared" si="128"/>
        <v>56726</v>
      </c>
      <c r="G83" s="81">
        <f t="shared" si="128"/>
        <v>14695</v>
      </c>
      <c r="H83" s="81">
        <f t="shared" si="128"/>
        <v>12564</v>
      </c>
      <c r="I83" s="81">
        <f t="shared" si="128"/>
        <v>19044</v>
      </c>
      <c r="J83" s="81">
        <f t="shared" si="128"/>
        <v>21356</v>
      </c>
      <c r="K83" s="81">
        <f t="shared" si="128"/>
        <v>67659</v>
      </c>
      <c r="L83" s="81">
        <f t="shared" si="128"/>
        <v>22411</v>
      </c>
      <c r="M83" s="81">
        <f t="shared" si="128"/>
        <v>8429</v>
      </c>
      <c r="N83" s="81">
        <f t="shared" si="128"/>
        <v>26418</v>
      </c>
      <c r="O83" s="81">
        <f t="shared" si="128"/>
        <v>32218</v>
      </c>
      <c r="P83" s="81">
        <f t="shared" si="128"/>
        <v>89476</v>
      </c>
      <c r="Q83" s="81">
        <f t="shared" si="128"/>
        <v>31931</v>
      </c>
      <c r="R83" s="81">
        <f t="shared" si="128"/>
        <v>28021</v>
      </c>
      <c r="S83" s="81">
        <f t="shared" si="128"/>
        <v>26507</v>
      </c>
      <c r="T83" s="81">
        <f t="shared" si="128"/>
        <v>28299</v>
      </c>
      <c r="U83" s="81">
        <f t="shared" si="128"/>
        <v>114758</v>
      </c>
      <c r="V83" s="81">
        <f t="shared" si="128"/>
        <v>36178</v>
      </c>
      <c r="W83" s="81">
        <f t="shared" si="128"/>
        <v>35846</v>
      </c>
      <c r="X83" s="81">
        <f t="shared" si="128"/>
        <v>39095</v>
      </c>
      <c r="Y83" s="81">
        <f t="shared" si="128"/>
        <v>31849</v>
      </c>
      <c r="Z83" s="81">
        <f t="shared" si="128"/>
        <v>142968</v>
      </c>
      <c r="AA83" s="81">
        <f t="shared" si="128"/>
        <v>51331</v>
      </c>
      <c r="AB83" s="81">
        <f t="shared" si="128"/>
        <v>49068</v>
      </c>
      <c r="AC83" s="219"/>
      <c r="AD83" s="250"/>
      <c r="AE83" s="137"/>
      <c r="AF83" s="244"/>
      <c r="AO83" s="10"/>
      <c r="AP83" s="10"/>
      <c r="AQ83" s="10"/>
      <c r="AR83" s="10"/>
      <c r="AS83" s="10"/>
      <c r="AT83" s="10"/>
      <c r="AU83" s="10"/>
      <c r="AV83" s="10"/>
      <c r="AW83" s="10"/>
      <c r="AX83" s="10"/>
      <c r="AY83" s="10"/>
      <c r="AZ83" s="10"/>
      <c r="BA83" s="10"/>
      <c r="BB83" s="10"/>
      <c r="BC83" s="10"/>
      <c r="BD83" s="10"/>
      <c r="BE83" s="10"/>
    </row>
    <row r="84" spans="1:57" ht="13" x14ac:dyDescent="0.15">
      <c r="A84" s="50" t="s">
        <v>42</v>
      </c>
      <c r="B84" s="80">
        <f t="shared" ref="B84:X84" si="129">B60</f>
        <v>5074</v>
      </c>
      <c r="C84" s="80">
        <f t="shared" si="129"/>
        <v>6893</v>
      </c>
      <c r="D84" s="80">
        <f t="shared" si="129"/>
        <v>5344</v>
      </c>
      <c r="E84" s="80">
        <f t="shared" si="129"/>
        <v>6590</v>
      </c>
      <c r="F84" s="80">
        <f t="shared" si="129"/>
        <v>23901</v>
      </c>
      <c r="G84" s="80">
        <f t="shared" si="129"/>
        <v>6956</v>
      </c>
      <c r="H84" s="80">
        <f t="shared" si="129"/>
        <v>7155</v>
      </c>
      <c r="I84" s="80">
        <f t="shared" si="129"/>
        <v>7427</v>
      </c>
      <c r="J84" s="80">
        <f t="shared" si="129"/>
        <v>4532</v>
      </c>
      <c r="K84" s="162">
        <f t="shared" si="129"/>
        <v>26070</v>
      </c>
      <c r="L84" s="80">
        <f t="shared" si="129"/>
        <v>4778</v>
      </c>
      <c r="M84" s="80">
        <f t="shared" si="129"/>
        <v>7726</v>
      </c>
      <c r="N84" s="80">
        <f t="shared" si="129"/>
        <v>8346</v>
      </c>
      <c r="O84" s="80">
        <f t="shared" si="129"/>
        <v>7385</v>
      </c>
      <c r="P84" s="80">
        <f t="shared" si="129"/>
        <v>28235</v>
      </c>
      <c r="Q84" s="80">
        <f t="shared" si="129"/>
        <v>7832</v>
      </c>
      <c r="R84" s="80">
        <f t="shared" si="129"/>
        <v>10070</v>
      </c>
      <c r="S84" s="80">
        <f t="shared" si="129"/>
        <v>10894</v>
      </c>
      <c r="T84" s="162">
        <f t="shared" si="129"/>
        <v>9825</v>
      </c>
      <c r="U84" s="162">
        <f t="shared" si="129"/>
        <v>38621</v>
      </c>
      <c r="V84" s="162">
        <f t="shared" si="129"/>
        <v>11224</v>
      </c>
      <c r="W84" s="162">
        <f t="shared" si="129"/>
        <v>13340</v>
      </c>
      <c r="X84" s="162">
        <f t="shared" si="129"/>
        <v>12186</v>
      </c>
      <c r="Y84" s="162">
        <f t="shared" ref="Y84:Z84" si="130">Y60</f>
        <v>12616</v>
      </c>
      <c r="Z84" s="162">
        <f t="shared" si="130"/>
        <v>49366</v>
      </c>
      <c r="AA84" s="162">
        <f t="shared" ref="AA84:AB84" si="131">AA60</f>
        <v>14407</v>
      </c>
      <c r="AB84" s="162">
        <f t="shared" si="131"/>
        <v>11511</v>
      </c>
      <c r="AC84" s="219"/>
      <c r="AD84" s="250"/>
      <c r="AF84" s="244"/>
      <c r="AO84" s="10"/>
      <c r="AP84" s="10"/>
      <c r="AQ84" s="10"/>
      <c r="AR84" s="10"/>
      <c r="AS84" s="10"/>
      <c r="AT84" s="10"/>
      <c r="AU84" s="10"/>
      <c r="AV84" s="10"/>
      <c r="AW84" s="10"/>
      <c r="AX84" s="10"/>
      <c r="AY84" s="10"/>
      <c r="AZ84" s="10"/>
      <c r="BA84" s="10"/>
      <c r="BB84" s="10"/>
      <c r="BC84" s="10"/>
      <c r="BD84" s="10"/>
      <c r="BE84" s="10"/>
    </row>
    <row r="85" spans="1:57" ht="13" x14ac:dyDescent="0.15">
      <c r="A85" s="50" t="s">
        <v>41</v>
      </c>
      <c r="B85" s="80">
        <f t="shared" ref="B85:X85" si="132">B59</f>
        <v>3947</v>
      </c>
      <c r="C85" s="80">
        <f t="shared" si="132"/>
        <v>3761</v>
      </c>
      <c r="D85" s="80">
        <f t="shared" si="132"/>
        <v>6718</v>
      </c>
      <c r="E85" s="80">
        <f t="shared" si="132"/>
        <v>5951</v>
      </c>
      <c r="F85" s="80">
        <f t="shared" si="132"/>
        <v>20377</v>
      </c>
      <c r="G85" s="80">
        <f t="shared" si="132"/>
        <v>5528</v>
      </c>
      <c r="H85" s="80">
        <f t="shared" si="132"/>
        <v>5554</v>
      </c>
      <c r="I85" s="80">
        <f t="shared" si="132"/>
        <v>5502</v>
      </c>
      <c r="J85" s="80">
        <f t="shared" si="132"/>
        <v>4974</v>
      </c>
      <c r="K85" s="162">
        <f t="shared" si="132"/>
        <v>21558</v>
      </c>
      <c r="L85" s="80">
        <f t="shared" si="132"/>
        <v>4154</v>
      </c>
      <c r="M85" s="80">
        <f t="shared" si="132"/>
        <v>3430</v>
      </c>
      <c r="N85" s="80">
        <f t="shared" si="132"/>
        <v>3413</v>
      </c>
      <c r="O85" s="80">
        <f t="shared" si="132"/>
        <v>3415</v>
      </c>
      <c r="P85" s="80">
        <f t="shared" si="132"/>
        <v>14412</v>
      </c>
      <c r="Q85" s="80">
        <f t="shared" si="132"/>
        <v>3361</v>
      </c>
      <c r="R85" s="80">
        <f t="shared" si="132"/>
        <v>3397</v>
      </c>
      <c r="S85" s="80">
        <f t="shared" si="132"/>
        <v>3022</v>
      </c>
      <c r="T85" s="162">
        <f t="shared" si="132"/>
        <v>2998</v>
      </c>
      <c r="U85" s="162">
        <f t="shared" si="132"/>
        <v>12778</v>
      </c>
      <c r="V85" s="162">
        <f t="shared" si="132"/>
        <v>4486</v>
      </c>
      <c r="W85" s="162">
        <f t="shared" si="132"/>
        <v>4146</v>
      </c>
      <c r="X85" s="162">
        <f t="shared" si="132"/>
        <v>4243</v>
      </c>
      <c r="Y85" s="162">
        <f t="shared" ref="Y85:Z85" si="133">Y59</f>
        <v>4234</v>
      </c>
      <c r="Z85" s="162">
        <f t="shared" si="133"/>
        <v>17109</v>
      </c>
      <c r="AA85" s="162">
        <f t="shared" ref="AA85:AB85" si="134">AA59</f>
        <v>4149</v>
      </c>
      <c r="AB85" s="162">
        <f t="shared" si="134"/>
        <v>4204</v>
      </c>
      <c r="AC85" s="219"/>
      <c r="AD85" s="250"/>
      <c r="AF85" s="244"/>
      <c r="AI85" s="137"/>
      <c r="AO85" s="10"/>
      <c r="AP85" s="10"/>
      <c r="AQ85" s="10"/>
      <c r="AR85" s="10"/>
      <c r="AS85" s="10"/>
      <c r="AT85" s="10"/>
      <c r="AU85" s="10"/>
      <c r="AV85" s="10"/>
      <c r="AW85" s="10"/>
      <c r="AX85" s="10"/>
      <c r="AY85" s="10"/>
      <c r="AZ85" s="10"/>
      <c r="BA85" s="10"/>
      <c r="BB85" s="10"/>
      <c r="BC85" s="10"/>
      <c r="BD85" s="10"/>
      <c r="BE85" s="10"/>
    </row>
    <row r="86" spans="1:57" x14ac:dyDescent="0.2">
      <c r="A86" s="50" t="s">
        <v>43</v>
      </c>
      <c r="B86" s="80">
        <f>B74</f>
        <v>2400</v>
      </c>
      <c r="C86" s="80">
        <v>0</v>
      </c>
      <c r="D86" s="80">
        <v>0</v>
      </c>
      <c r="E86" s="80">
        <v>0</v>
      </c>
      <c r="F86" s="80">
        <f>SUM(B86:E86)</f>
        <v>2400</v>
      </c>
      <c r="G86" s="80">
        <v>0</v>
      </c>
      <c r="H86" s="80">
        <v>0</v>
      </c>
      <c r="I86" s="80">
        <v>0</v>
      </c>
      <c r="J86" s="80">
        <v>0</v>
      </c>
      <c r="K86" s="80">
        <f>SUM(G86:J86)</f>
        <v>0</v>
      </c>
      <c r="L86" s="80">
        <v>0</v>
      </c>
      <c r="M86" s="80">
        <v>0</v>
      </c>
      <c r="N86" s="80">
        <v>0</v>
      </c>
      <c r="O86" s="80">
        <v>0</v>
      </c>
      <c r="P86" s="80">
        <f>SUM(L86:O86)</f>
        <v>0</v>
      </c>
      <c r="Q86" s="80">
        <v>0</v>
      </c>
      <c r="R86" s="80">
        <v>0</v>
      </c>
      <c r="S86" s="80">
        <v>0</v>
      </c>
      <c r="T86" s="162">
        <f>+U86-SUM(Q86:S86)</f>
        <v>0</v>
      </c>
      <c r="U86" s="162">
        <v>0</v>
      </c>
      <c r="V86" s="162">
        <v>0</v>
      </c>
      <c r="W86" s="162">
        <v>580</v>
      </c>
      <c r="X86" s="162">
        <v>481</v>
      </c>
      <c r="Y86" s="162">
        <f>+Z86-SUM(V86:X86)</f>
        <v>0</v>
      </c>
      <c r="Z86" s="162">
        <v>1061</v>
      </c>
      <c r="AA86" s="162">
        <v>0</v>
      </c>
      <c r="AB86" s="162">
        <v>0</v>
      </c>
      <c r="AC86" s="228"/>
      <c r="AF86" s="244"/>
      <c r="AI86" s="137"/>
      <c r="AO86" s="10"/>
      <c r="AP86" s="10"/>
      <c r="AQ86" s="10"/>
      <c r="AR86" s="10"/>
      <c r="AS86" s="10"/>
      <c r="AT86" s="10"/>
      <c r="AU86" s="10"/>
      <c r="AV86" s="10"/>
      <c r="AW86" s="10"/>
      <c r="AX86" s="10"/>
      <c r="AY86" s="10"/>
      <c r="AZ86" s="10"/>
      <c r="BA86" s="10"/>
      <c r="BB86" s="10"/>
      <c r="BC86" s="10"/>
      <c r="BD86" s="10"/>
      <c r="BE86" s="10"/>
    </row>
    <row r="87" spans="1:57" s="259" customFormat="1" x14ac:dyDescent="0.2">
      <c r="A87" s="50" t="s">
        <v>53</v>
      </c>
      <c r="B87" s="162">
        <v>-4836</v>
      </c>
      <c r="C87" s="162">
        <v>0</v>
      </c>
      <c r="D87" s="162">
        <v>0</v>
      </c>
      <c r="E87" s="137">
        <f>+F87-SUM(B87:D87)</f>
        <v>-2974</v>
      </c>
      <c r="F87" s="162">
        <v>-7810</v>
      </c>
      <c r="G87" s="162">
        <v>0</v>
      </c>
      <c r="H87" s="162">
        <v>0</v>
      </c>
      <c r="I87" s="162">
        <v>0</v>
      </c>
      <c r="J87" s="137">
        <f>+K87-SUM(G87:I87)</f>
        <v>0</v>
      </c>
      <c r="K87" s="162">
        <v>0</v>
      </c>
      <c r="L87" s="162">
        <v>0</v>
      </c>
      <c r="M87" s="162">
        <v>0</v>
      </c>
      <c r="N87" s="162">
        <v>0</v>
      </c>
      <c r="O87" s="162">
        <v>0</v>
      </c>
      <c r="P87" s="162">
        <v>0</v>
      </c>
      <c r="Q87" s="162">
        <v>0</v>
      </c>
      <c r="R87" s="162">
        <v>0</v>
      </c>
      <c r="S87" s="162">
        <v>0</v>
      </c>
      <c r="T87" s="162">
        <v>0</v>
      </c>
      <c r="U87" s="162">
        <v>0</v>
      </c>
      <c r="V87" s="162">
        <v>0</v>
      </c>
      <c r="W87" s="162">
        <v>0</v>
      </c>
      <c r="X87" s="162">
        <v>0</v>
      </c>
      <c r="Y87" s="162">
        <v>0</v>
      </c>
      <c r="Z87" s="162">
        <v>0</v>
      </c>
      <c r="AA87" s="162">
        <v>0</v>
      </c>
      <c r="AB87" s="162">
        <v>0</v>
      </c>
      <c r="AC87" s="228"/>
      <c r="AD87" s="258"/>
      <c r="AF87" s="244"/>
      <c r="AI87" s="137"/>
      <c r="AO87" s="260"/>
      <c r="AP87" s="260"/>
      <c r="AQ87" s="260"/>
      <c r="AR87" s="260"/>
      <c r="AS87" s="260"/>
      <c r="AT87" s="260"/>
      <c r="AU87" s="260"/>
      <c r="AV87" s="260"/>
      <c r="AW87" s="260"/>
      <c r="AX87" s="260"/>
      <c r="AY87" s="260"/>
      <c r="AZ87" s="260"/>
      <c r="BA87" s="260"/>
      <c r="BB87" s="260"/>
      <c r="BC87" s="260"/>
      <c r="BD87" s="260"/>
      <c r="BE87" s="260"/>
    </row>
    <row r="88" spans="1:57" x14ac:dyDescent="0.2">
      <c r="A88" s="50" t="s">
        <v>54</v>
      </c>
      <c r="B88" s="162">
        <f>B62</f>
        <v>363</v>
      </c>
      <c r="C88" s="162">
        <f>C62</f>
        <v>841</v>
      </c>
      <c r="D88" s="162">
        <f>D62</f>
        <v>855</v>
      </c>
      <c r="E88" s="137">
        <f>+F88-SUM(B88:D88)</f>
        <v>-1014</v>
      </c>
      <c r="F88" s="162">
        <v>1045</v>
      </c>
      <c r="G88" s="162">
        <v>0</v>
      </c>
      <c r="H88" s="162">
        <v>0</v>
      </c>
      <c r="I88" s="162">
        <v>-761</v>
      </c>
      <c r="J88" s="137">
        <f>+K88-SUM(G88:I88)</f>
        <v>0</v>
      </c>
      <c r="K88" s="162">
        <v>-761</v>
      </c>
      <c r="L88" s="162">
        <v>0</v>
      </c>
      <c r="M88" s="162">
        <v>0</v>
      </c>
      <c r="N88" s="162">
        <v>0</v>
      </c>
      <c r="O88" s="162">
        <f>+P88-SUM(L88:N88)</f>
        <v>0</v>
      </c>
      <c r="P88" s="80">
        <v>0</v>
      </c>
      <c r="Q88" s="162">
        <v>0</v>
      </c>
      <c r="R88" s="162">
        <v>0</v>
      </c>
      <c r="S88" s="162">
        <v>0</v>
      </c>
      <c r="T88" s="162">
        <f>+U88-SUM(Q88:S88)</f>
        <v>761</v>
      </c>
      <c r="U88" s="162">
        <v>761</v>
      </c>
      <c r="V88" s="162">
        <v>134</v>
      </c>
      <c r="W88" s="162">
        <v>0</v>
      </c>
      <c r="X88" s="162">
        <v>0</v>
      </c>
      <c r="Y88" s="162">
        <f>+Z88-SUM(V88:X88)</f>
        <v>0</v>
      </c>
      <c r="Z88" s="162">
        <f>Z62</f>
        <v>134</v>
      </c>
      <c r="AA88" s="162">
        <v>0</v>
      </c>
      <c r="AB88" s="162">
        <v>0</v>
      </c>
      <c r="AC88" s="228"/>
      <c r="AF88" s="244"/>
      <c r="AI88" s="137"/>
      <c r="AO88" s="10"/>
      <c r="AP88" s="10"/>
      <c r="AQ88" s="10"/>
      <c r="AR88" s="10"/>
      <c r="AS88" s="10"/>
      <c r="AT88" s="10"/>
      <c r="AU88" s="10"/>
      <c r="AV88" s="10"/>
      <c r="AW88" s="10"/>
      <c r="AX88" s="10"/>
      <c r="AY88" s="10"/>
      <c r="AZ88" s="10"/>
      <c r="BA88" s="10"/>
      <c r="BB88" s="10"/>
      <c r="BC88" s="10"/>
      <c r="BD88" s="10"/>
      <c r="BE88" s="10"/>
    </row>
    <row r="89" spans="1:57" x14ac:dyDescent="0.2">
      <c r="A89" s="50" t="s">
        <v>55</v>
      </c>
      <c r="B89" s="162">
        <v>0</v>
      </c>
      <c r="C89" s="162">
        <v>0</v>
      </c>
      <c r="D89" s="162">
        <v>0</v>
      </c>
      <c r="E89" s="137">
        <f>+F89-SUM(B89:D89)</f>
        <v>600</v>
      </c>
      <c r="F89" s="162">
        <v>600</v>
      </c>
      <c r="G89" s="162">
        <v>600</v>
      </c>
      <c r="H89" s="162">
        <v>618</v>
      </c>
      <c r="I89" s="162">
        <v>618</v>
      </c>
      <c r="J89" s="137">
        <f>+K89-SUM(G89:I89)</f>
        <v>636</v>
      </c>
      <c r="K89" s="162">
        <v>2472</v>
      </c>
      <c r="L89" s="137">
        <v>635</v>
      </c>
      <c r="M89" s="137">
        <v>654</v>
      </c>
      <c r="N89" s="137">
        <v>654</v>
      </c>
      <c r="O89" s="137">
        <f>+P89-SUM(L89:N89)</f>
        <v>673</v>
      </c>
      <c r="P89" s="137">
        <v>2616</v>
      </c>
      <c r="Q89" s="137">
        <v>673</v>
      </c>
      <c r="R89" s="137">
        <v>691</v>
      </c>
      <c r="S89" s="137">
        <v>431</v>
      </c>
      <c r="T89" s="162">
        <f>+U89-SUM(Q89:S89)</f>
        <v>0</v>
      </c>
      <c r="U89" s="137">
        <v>1795</v>
      </c>
      <c r="V89" s="137">
        <v>0</v>
      </c>
      <c r="W89" s="26">
        <v>0</v>
      </c>
      <c r="X89" s="26">
        <v>0</v>
      </c>
      <c r="Y89" s="162">
        <f>+Z89-SUM(V89:X89)</f>
        <v>0</v>
      </c>
      <c r="Z89" s="26">
        <v>0</v>
      </c>
      <c r="AA89" s="26">
        <v>0</v>
      </c>
      <c r="AB89" s="26">
        <v>0</v>
      </c>
      <c r="AC89" s="69"/>
      <c r="AF89" s="244"/>
      <c r="AI89" s="137"/>
      <c r="AO89" s="10"/>
      <c r="AP89" s="10"/>
      <c r="AQ89" s="10"/>
      <c r="AR89" s="10"/>
      <c r="AS89" s="10"/>
      <c r="AT89" s="10"/>
      <c r="AU89" s="10"/>
      <c r="AV89" s="10"/>
      <c r="AW89" s="10"/>
      <c r="AX89" s="10"/>
      <c r="AY89" s="10"/>
      <c r="AZ89" s="10"/>
      <c r="BA89" s="10"/>
      <c r="BB89" s="10"/>
      <c r="BC89" s="10"/>
      <c r="BD89" s="10"/>
      <c r="BE89" s="10"/>
    </row>
    <row r="90" spans="1:57" ht="29" x14ac:dyDescent="0.2">
      <c r="A90" s="261" t="s">
        <v>46</v>
      </c>
      <c r="B90" s="179">
        <v>0</v>
      </c>
      <c r="C90" s="179">
        <v>0</v>
      </c>
      <c r="D90" s="179">
        <v>0</v>
      </c>
      <c r="E90" s="179">
        <f>E77</f>
        <v>20056</v>
      </c>
      <c r="F90" s="179">
        <f>F77</f>
        <v>20056</v>
      </c>
      <c r="G90" s="179">
        <f>G77</f>
        <v>1227</v>
      </c>
      <c r="H90" s="179">
        <v>5580</v>
      </c>
      <c r="I90" s="179">
        <f t="shared" ref="I90:Q90" si="135">I77</f>
        <v>489</v>
      </c>
      <c r="J90" s="179">
        <f t="shared" si="135"/>
        <v>1375</v>
      </c>
      <c r="K90" s="179">
        <f t="shared" si="135"/>
        <v>8671</v>
      </c>
      <c r="L90" s="162">
        <f t="shared" si="135"/>
        <v>0</v>
      </c>
      <c r="M90" s="162">
        <f t="shared" si="135"/>
        <v>0</v>
      </c>
      <c r="N90" s="162">
        <f t="shared" si="135"/>
        <v>0</v>
      </c>
      <c r="O90" s="162">
        <f t="shared" si="135"/>
        <v>0</v>
      </c>
      <c r="P90" s="162">
        <f t="shared" si="135"/>
        <v>0</v>
      </c>
      <c r="Q90" s="162">
        <f t="shared" si="135"/>
        <v>0</v>
      </c>
      <c r="R90" s="162">
        <v>0</v>
      </c>
      <c r="S90" s="162">
        <v>0</v>
      </c>
      <c r="T90" s="162">
        <f t="shared" ref="T90:V90" si="136">T77</f>
        <v>0</v>
      </c>
      <c r="U90" s="162">
        <f t="shared" si="136"/>
        <v>0</v>
      </c>
      <c r="V90" s="162">
        <f t="shared" si="136"/>
        <v>0</v>
      </c>
      <c r="W90" s="162">
        <f t="shared" ref="W90:AA90" si="137">W77</f>
        <v>0</v>
      </c>
      <c r="X90" s="162">
        <f t="shared" si="137"/>
        <v>0</v>
      </c>
      <c r="Y90" s="162">
        <f t="shared" si="137"/>
        <v>0</v>
      </c>
      <c r="Z90" s="162">
        <f t="shared" si="137"/>
        <v>0</v>
      </c>
      <c r="AA90" s="162">
        <f t="shared" si="137"/>
        <v>0</v>
      </c>
      <c r="AB90" s="162">
        <f t="shared" ref="AB90" si="138">AB77</f>
        <v>0</v>
      </c>
      <c r="AC90" s="228"/>
      <c r="AF90" s="244"/>
      <c r="AI90" s="137"/>
      <c r="AO90" s="10"/>
      <c r="AP90" s="10"/>
      <c r="AQ90" s="10"/>
      <c r="AR90" s="10"/>
      <c r="AS90" s="10"/>
      <c r="AT90" s="10"/>
      <c r="AU90" s="10"/>
      <c r="AV90" s="10"/>
      <c r="AW90" s="10"/>
      <c r="AX90" s="10"/>
      <c r="AY90" s="10"/>
      <c r="AZ90" s="10"/>
      <c r="BA90" s="10"/>
      <c r="BB90" s="10"/>
      <c r="BC90" s="10"/>
      <c r="BD90" s="10"/>
      <c r="BE90" s="10"/>
    </row>
    <row r="91" spans="1:57" s="259" customFormat="1" x14ac:dyDescent="0.2">
      <c r="A91" s="50" t="s">
        <v>45</v>
      </c>
      <c r="B91" s="162">
        <v>0</v>
      </c>
      <c r="C91" s="162">
        <v>0</v>
      </c>
      <c r="D91" s="162">
        <v>0</v>
      </c>
      <c r="E91" s="162">
        <v>0</v>
      </c>
      <c r="F91" s="162">
        <v>0</v>
      </c>
      <c r="G91" s="162">
        <v>0</v>
      </c>
      <c r="H91" s="162">
        <v>0</v>
      </c>
      <c r="I91" s="162">
        <v>0</v>
      </c>
      <c r="J91" s="162">
        <v>0</v>
      </c>
      <c r="K91" s="162">
        <v>0</v>
      </c>
      <c r="L91" s="162">
        <v>0</v>
      </c>
      <c r="M91" s="162">
        <v>-556</v>
      </c>
      <c r="N91" s="162">
        <v>0</v>
      </c>
      <c r="O91" s="162">
        <f>+P91-SUM(L91:N91)</f>
        <v>0</v>
      </c>
      <c r="P91" s="162">
        <v>-556</v>
      </c>
      <c r="Q91" s="162">
        <v>0</v>
      </c>
      <c r="R91" s="162">
        <v>0</v>
      </c>
      <c r="S91" s="162">
        <v>0</v>
      </c>
      <c r="T91" s="162">
        <f>+U91-SUM(Q91:S91)</f>
        <v>551</v>
      </c>
      <c r="U91" s="162">
        <v>551</v>
      </c>
      <c r="V91" s="162">
        <v>0</v>
      </c>
      <c r="W91" s="162">
        <v>0</v>
      </c>
      <c r="X91" s="162">
        <v>0</v>
      </c>
      <c r="Y91" s="162">
        <f>+Z91-SUM(V91:X91)</f>
        <v>-560</v>
      </c>
      <c r="Z91" s="162">
        <v>-560</v>
      </c>
      <c r="AA91" s="162">
        <v>-89</v>
      </c>
      <c r="AB91" s="162">
        <v>578</v>
      </c>
      <c r="AC91" s="228"/>
      <c r="AD91" s="258"/>
      <c r="AF91" s="244"/>
      <c r="AI91" s="137"/>
      <c r="AO91" s="260"/>
      <c r="AP91" s="260"/>
      <c r="AQ91" s="260"/>
      <c r="AR91" s="260"/>
      <c r="AS91" s="260"/>
      <c r="AT91" s="260"/>
      <c r="AU91" s="260"/>
      <c r="AV91" s="260"/>
      <c r="AW91" s="260"/>
      <c r="AX91" s="260"/>
      <c r="AY91" s="260"/>
      <c r="AZ91" s="260"/>
      <c r="BA91" s="260"/>
      <c r="BB91" s="260"/>
      <c r="BC91" s="260"/>
      <c r="BD91" s="260"/>
      <c r="BE91" s="260"/>
    </row>
    <row r="92" spans="1:57" ht="13" x14ac:dyDescent="0.15">
      <c r="A92" s="50" t="s">
        <v>56</v>
      </c>
      <c r="B92" s="24">
        <v>-5913.4848000000002</v>
      </c>
      <c r="C92" s="24">
        <v>-1891</v>
      </c>
      <c r="D92" s="24">
        <v>-1460</v>
      </c>
      <c r="E92" s="137">
        <f>+F92-SUM(B92:D92)</f>
        <v>-2836.5151999999998</v>
      </c>
      <c r="F92" s="24">
        <v>-12101</v>
      </c>
      <c r="G92" s="24">
        <v>-2481</v>
      </c>
      <c r="H92" s="24">
        <v>-1571</v>
      </c>
      <c r="I92" s="24">
        <v>-1790</v>
      </c>
      <c r="J92" s="137">
        <f>+K92-SUM(G92:I92)</f>
        <v>-2144</v>
      </c>
      <c r="K92" s="24">
        <v>-7986</v>
      </c>
      <c r="L92" s="137">
        <v>-2733</v>
      </c>
      <c r="M92" s="137">
        <v>-1662</v>
      </c>
      <c r="N92" s="137">
        <v>-1836</v>
      </c>
      <c r="O92" s="137">
        <f>+P92-SUM(L92:N92)</f>
        <v>-2099</v>
      </c>
      <c r="P92" s="137">
        <v>-8330</v>
      </c>
      <c r="Q92" s="137">
        <v>-2358</v>
      </c>
      <c r="R92" s="137">
        <v>-2074</v>
      </c>
      <c r="S92" s="137">
        <v>-2697</v>
      </c>
      <c r="T92" s="162">
        <f>+U92-SUM(Q92:S92)</f>
        <v>-2406</v>
      </c>
      <c r="U92" s="137">
        <v>-9535</v>
      </c>
      <c r="V92" s="137">
        <v>-2806</v>
      </c>
      <c r="W92" s="26">
        <v>-3216</v>
      </c>
      <c r="X92" s="26">
        <v>-2833</v>
      </c>
      <c r="Y92" s="162">
        <f>+Z92-SUM(V92:X92)</f>
        <v>-930</v>
      </c>
      <c r="Z92" s="137">
        <v>-9785</v>
      </c>
      <c r="AA92" s="137">
        <v>-9830</v>
      </c>
      <c r="AB92" s="137">
        <v>-2789</v>
      </c>
      <c r="AC92" s="219"/>
      <c r="AD92" s="250"/>
      <c r="AF92" s="244"/>
      <c r="AI92" s="137"/>
      <c r="AO92" s="10"/>
      <c r="AP92" s="10"/>
      <c r="AQ92" s="10"/>
      <c r="AR92" s="10"/>
      <c r="AS92" s="10"/>
      <c r="AT92" s="10"/>
      <c r="AU92" s="10"/>
      <c r="AV92" s="10"/>
      <c r="AW92" s="10"/>
      <c r="AX92" s="10"/>
      <c r="AY92" s="10"/>
      <c r="AZ92" s="10"/>
      <c r="BA92" s="10"/>
      <c r="BB92" s="10"/>
      <c r="BC92" s="10"/>
      <c r="BD92" s="10"/>
      <c r="BE92" s="10"/>
    </row>
    <row r="93" spans="1:57" ht="13" x14ac:dyDescent="0.15">
      <c r="A93" s="50" t="s">
        <v>57</v>
      </c>
      <c r="B93" s="24">
        <v>-725.53359999999998</v>
      </c>
      <c r="C93" s="24">
        <v>-679</v>
      </c>
      <c r="D93" s="24">
        <v>-1435</v>
      </c>
      <c r="E93" s="137">
        <f>+F93-SUM(B93:D93)</f>
        <v>-1511.4664000000002</v>
      </c>
      <c r="F93" s="24">
        <v>-4351</v>
      </c>
      <c r="G93" s="24">
        <v>-1193</v>
      </c>
      <c r="H93" s="24">
        <v>-1198</v>
      </c>
      <c r="I93" s="24">
        <v>-1188</v>
      </c>
      <c r="J93" s="137">
        <f>+K93-SUM(G93:I93)</f>
        <v>-1042</v>
      </c>
      <c r="K93" s="24">
        <v>-4621</v>
      </c>
      <c r="L93" s="137">
        <v>-897.048</v>
      </c>
      <c r="M93" s="137">
        <v>-880.15879999999993</v>
      </c>
      <c r="N93" s="137">
        <v>-798.30714506593904</v>
      </c>
      <c r="O93" s="137">
        <f>+ROUND(P93-SUM(L93:N93),0)</f>
        <v>-798</v>
      </c>
      <c r="P93" s="137">
        <v>-3374</v>
      </c>
      <c r="Q93" s="137">
        <v>-757.9736190000001</v>
      </c>
      <c r="R93" s="137">
        <v>-765.89167199999997</v>
      </c>
      <c r="S93" s="137">
        <v>-699</v>
      </c>
      <c r="T93" s="162">
        <f>+ROUND(U93-SUM(Q93:S93),0)</f>
        <v>-770</v>
      </c>
      <c r="U93" s="137">
        <v>-2993</v>
      </c>
      <c r="V93" s="137">
        <v>-1052</v>
      </c>
      <c r="W93" s="26">
        <v>-971</v>
      </c>
      <c r="X93" s="26">
        <v>-994</v>
      </c>
      <c r="Y93" s="162">
        <f>+ROUND(Z93-SUM(V93:X93),0)</f>
        <v>-1134</v>
      </c>
      <c r="Z93" s="137">
        <v>-4151</v>
      </c>
      <c r="AA93" s="162">
        <v>-1023</v>
      </c>
      <c r="AB93" s="162">
        <v>-1036</v>
      </c>
      <c r="AC93" s="219"/>
      <c r="AD93" s="250"/>
      <c r="AF93" s="244"/>
      <c r="AI93" s="137"/>
      <c r="AO93" s="10"/>
      <c r="AP93" s="10"/>
      <c r="AQ93" s="10"/>
      <c r="AR93" s="10"/>
      <c r="AS93" s="10"/>
      <c r="AT93" s="10"/>
      <c r="AU93" s="10"/>
      <c r="AV93" s="10"/>
      <c r="AW93" s="10"/>
      <c r="AX93" s="10"/>
      <c r="AY93" s="10"/>
      <c r="AZ93" s="10"/>
      <c r="BA93" s="10"/>
      <c r="BB93" s="10"/>
      <c r="BC93" s="10"/>
      <c r="BD93" s="10"/>
      <c r="BE93" s="10"/>
    </row>
    <row r="94" spans="1:57" x14ac:dyDescent="0.2">
      <c r="A94" s="50" t="s">
        <v>58</v>
      </c>
      <c r="B94" s="80">
        <v>0</v>
      </c>
      <c r="C94" s="80">
        <v>0</v>
      </c>
      <c r="D94" s="80">
        <v>0</v>
      </c>
      <c r="E94" s="80">
        <v>0</v>
      </c>
      <c r="F94" s="80">
        <v>0</v>
      </c>
      <c r="G94" s="80">
        <v>0</v>
      </c>
      <c r="H94" s="80">
        <v>0</v>
      </c>
      <c r="I94" s="80">
        <v>0</v>
      </c>
      <c r="J94" s="80">
        <v>0</v>
      </c>
      <c r="K94" s="80">
        <v>0</v>
      </c>
      <c r="L94" s="80">
        <v>0</v>
      </c>
      <c r="M94" s="80">
        <v>0</v>
      </c>
      <c r="N94" s="80">
        <v>0</v>
      </c>
      <c r="O94" s="80">
        <v>0</v>
      </c>
      <c r="P94" s="80">
        <v>0</v>
      </c>
      <c r="Q94" s="162">
        <v>0</v>
      </c>
      <c r="R94" s="162">
        <v>0</v>
      </c>
      <c r="S94" s="162">
        <v>0</v>
      </c>
      <c r="T94" s="162">
        <v>0</v>
      </c>
      <c r="U94" s="162">
        <v>0</v>
      </c>
      <c r="V94" s="162">
        <v>0</v>
      </c>
      <c r="W94" s="162">
        <v>1000</v>
      </c>
      <c r="X94" s="26">
        <v>0</v>
      </c>
      <c r="Y94" s="162">
        <f>+ROUND(Z94-SUM(V94:X94),0)</f>
        <v>7500</v>
      </c>
      <c r="Z94" s="162">
        <v>8500</v>
      </c>
      <c r="AA94" s="162">
        <v>0</v>
      </c>
      <c r="AB94" s="162">
        <v>0</v>
      </c>
      <c r="AC94" s="228"/>
      <c r="AF94" s="244"/>
      <c r="AI94" s="137"/>
      <c r="AO94" s="10"/>
      <c r="AP94" s="10"/>
      <c r="AQ94" s="10"/>
      <c r="AR94" s="10"/>
      <c r="AS94" s="10"/>
      <c r="AT94" s="10"/>
      <c r="AU94" s="10"/>
      <c r="AV94" s="10"/>
      <c r="AW94" s="10"/>
      <c r="AX94" s="10"/>
      <c r="AY94" s="10"/>
      <c r="AZ94" s="10"/>
      <c r="BA94" s="10"/>
      <c r="BB94" s="10"/>
      <c r="BC94" s="10"/>
      <c r="BD94" s="10"/>
      <c r="BE94" s="10"/>
    </row>
    <row r="95" spans="1:57" x14ac:dyDescent="0.2">
      <c r="A95" s="50" t="s">
        <v>59</v>
      </c>
      <c r="B95" s="80">
        <f>-B86*25.5%</f>
        <v>-612</v>
      </c>
      <c r="C95" s="80">
        <v>0</v>
      </c>
      <c r="D95" s="80">
        <v>0</v>
      </c>
      <c r="E95" s="80">
        <v>0</v>
      </c>
      <c r="F95" s="80">
        <f>SUM(B95:E95)</f>
        <v>-612</v>
      </c>
      <c r="G95" s="80">
        <v>0</v>
      </c>
      <c r="H95" s="80">
        <v>0</v>
      </c>
      <c r="I95" s="80">
        <v>0</v>
      </c>
      <c r="J95" s="80">
        <v>0</v>
      </c>
      <c r="K95" s="80">
        <f>SUM(G95:J95)</f>
        <v>0</v>
      </c>
      <c r="L95" s="80">
        <v>0</v>
      </c>
      <c r="M95" s="80">
        <v>0</v>
      </c>
      <c r="N95" s="80">
        <v>0</v>
      </c>
      <c r="O95" s="80">
        <v>0</v>
      </c>
      <c r="P95" s="80">
        <v>0</v>
      </c>
      <c r="Q95" s="162">
        <v>0</v>
      </c>
      <c r="R95" s="162">
        <v>0</v>
      </c>
      <c r="S95" s="162">
        <v>0</v>
      </c>
      <c r="T95" s="162">
        <v>0</v>
      </c>
      <c r="U95" s="162">
        <v>0</v>
      </c>
      <c r="V95" s="162">
        <v>0</v>
      </c>
      <c r="W95" s="162">
        <v>-92</v>
      </c>
      <c r="X95" s="26">
        <v>-78</v>
      </c>
      <c r="Y95" s="162">
        <v>0</v>
      </c>
      <c r="Z95" s="162">
        <v>-170</v>
      </c>
      <c r="AA95" s="162">
        <v>0</v>
      </c>
      <c r="AB95" s="162">
        <v>0</v>
      </c>
      <c r="AC95" s="228"/>
      <c r="AF95" s="244"/>
      <c r="AI95" s="137"/>
      <c r="AO95" s="10"/>
      <c r="AP95" s="10"/>
      <c r="AQ95" s="10"/>
      <c r="AR95" s="10"/>
      <c r="AS95" s="10"/>
      <c r="AT95" s="10"/>
      <c r="AU95" s="10"/>
      <c r="AV95" s="10"/>
      <c r="AW95" s="10"/>
      <c r="AX95" s="10"/>
      <c r="AY95" s="10"/>
      <c r="AZ95" s="10"/>
      <c r="BA95" s="10"/>
      <c r="BB95" s="10"/>
      <c r="BC95" s="10"/>
      <c r="BD95" s="10"/>
      <c r="BE95" s="10"/>
    </row>
    <row r="96" spans="1:57" x14ac:dyDescent="0.2">
      <c r="A96" s="50" t="s">
        <v>60</v>
      </c>
      <c r="B96" s="162">
        <v>-38</v>
      </c>
      <c r="C96" s="162">
        <v>-12</v>
      </c>
      <c r="D96" s="162">
        <v>-218</v>
      </c>
      <c r="E96" s="137">
        <f>+F96-SUM(B96:D96)</f>
        <v>253</v>
      </c>
      <c r="F96" s="80">
        <v>-15</v>
      </c>
      <c r="G96" s="80">
        <v>0</v>
      </c>
      <c r="H96" s="80">
        <v>0</v>
      </c>
      <c r="I96" s="80">
        <v>186</v>
      </c>
      <c r="J96" s="137">
        <f>+K96-SUM(G96:I96)</f>
        <v>0</v>
      </c>
      <c r="K96" s="80">
        <v>186</v>
      </c>
      <c r="L96" s="80">
        <v>0</v>
      </c>
      <c r="M96" s="80">
        <v>137</v>
      </c>
      <c r="N96" s="80">
        <v>0</v>
      </c>
      <c r="O96" s="80">
        <f>+P96-SUM(L96:N96)</f>
        <v>0</v>
      </c>
      <c r="P96" s="80">
        <v>137</v>
      </c>
      <c r="Q96" s="162">
        <v>0</v>
      </c>
      <c r="R96" s="162">
        <v>0</v>
      </c>
      <c r="S96" s="162">
        <v>0</v>
      </c>
      <c r="T96" s="162">
        <f>+U96-SUM(S96:S96)</f>
        <v>-136</v>
      </c>
      <c r="U96" s="162">
        <v>-136</v>
      </c>
      <c r="V96" s="162">
        <v>0</v>
      </c>
      <c r="W96" s="162">
        <v>0</v>
      </c>
      <c r="X96" s="162">
        <v>0</v>
      </c>
      <c r="Y96" s="162">
        <f t="shared" ref="Y96:Y101" si="139">+Z96-SUM(V96:X96)</f>
        <v>141</v>
      </c>
      <c r="Z96" s="162">
        <v>141</v>
      </c>
      <c r="AA96" s="162">
        <v>22</v>
      </c>
      <c r="AB96" s="162">
        <v>-145</v>
      </c>
      <c r="AC96" s="228"/>
      <c r="AF96" s="244"/>
      <c r="AI96" s="137"/>
      <c r="AO96" s="10"/>
      <c r="AP96" s="10"/>
      <c r="AQ96" s="10"/>
      <c r="AR96" s="10"/>
      <c r="AS96" s="10"/>
      <c r="AT96" s="10"/>
      <c r="AU96" s="10"/>
      <c r="AV96" s="10"/>
      <c r="AW96" s="10"/>
      <c r="AX96" s="10"/>
      <c r="AY96" s="10"/>
      <c r="AZ96" s="10"/>
      <c r="BA96" s="10"/>
      <c r="BB96" s="10"/>
      <c r="BC96" s="10"/>
      <c r="BD96" s="10"/>
      <c r="BE96" s="10"/>
    </row>
    <row r="97" spans="1:57" x14ac:dyDescent="0.2">
      <c r="A97" s="50" t="s">
        <v>61</v>
      </c>
      <c r="B97" s="162">
        <v>0</v>
      </c>
      <c r="C97" s="162">
        <v>0</v>
      </c>
      <c r="D97" s="162">
        <v>0</v>
      </c>
      <c r="E97" s="137">
        <f>+F97-SUM(B97:D97)</f>
        <v>-150</v>
      </c>
      <c r="F97" s="80">
        <v>-150</v>
      </c>
      <c r="G97" s="80">
        <v>-147</v>
      </c>
      <c r="H97" s="80">
        <v>-150</v>
      </c>
      <c r="I97" s="80">
        <v>-150</v>
      </c>
      <c r="J97" s="137">
        <f>+K97-SUM(G97:I97)</f>
        <v>-159</v>
      </c>
      <c r="K97" s="80">
        <v>-606</v>
      </c>
      <c r="L97" s="137">
        <v>-156</v>
      </c>
      <c r="M97" s="137">
        <v>-162</v>
      </c>
      <c r="N97" s="137">
        <v>-162</v>
      </c>
      <c r="O97" s="137">
        <f>+P97-SUM(L97:N97)</f>
        <v>-168</v>
      </c>
      <c r="P97" s="137">
        <v>-648</v>
      </c>
      <c r="Q97" s="137">
        <v>-162</v>
      </c>
      <c r="R97" s="137">
        <v>-165</v>
      </c>
      <c r="S97" s="137">
        <v>-103</v>
      </c>
      <c r="T97" s="162">
        <f>+U97-SUM(Q97:S97)</f>
        <v>-12</v>
      </c>
      <c r="U97" s="137">
        <v>-442</v>
      </c>
      <c r="V97" s="162">
        <v>0</v>
      </c>
      <c r="W97" s="162">
        <v>0</v>
      </c>
      <c r="X97" s="162">
        <v>0</v>
      </c>
      <c r="Y97" s="162">
        <f t="shared" si="139"/>
        <v>0</v>
      </c>
      <c r="Z97" s="162">
        <v>0</v>
      </c>
      <c r="AA97" s="162">
        <v>0</v>
      </c>
      <c r="AB97" s="162">
        <v>0</v>
      </c>
      <c r="AC97" s="69"/>
      <c r="AF97" s="244"/>
      <c r="AI97" s="137"/>
      <c r="AO97" s="10"/>
      <c r="AP97" s="10"/>
      <c r="AQ97" s="10"/>
      <c r="AR97" s="10"/>
      <c r="AS97" s="10"/>
      <c r="AT97" s="10"/>
      <c r="AU97" s="10"/>
      <c r="AV97" s="10"/>
      <c r="AW97" s="10"/>
      <c r="AX97" s="10"/>
      <c r="AY97" s="10"/>
      <c r="AZ97" s="10"/>
      <c r="BA97" s="10"/>
      <c r="BB97" s="10"/>
      <c r="BC97" s="10"/>
      <c r="BD97" s="10"/>
      <c r="BE97" s="10"/>
    </row>
    <row r="98" spans="1:57" x14ac:dyDescent="0.2">
      <c r="A98" s="50" t="s">
        <v>62</v>
      </c>
      <c r="B98" s="162">
        <v>0</v>
      </c>
      <c r="C98" s="162">
        <v>0</v>
      </c>
      <c r="D98" s="162">
        <v>0</v>
      </c>
      <c r="E98" s="137">
        <f>+F98-SUM(B98:D98)</f>
        <v>0</v>
      </c>
      <c r="F98" s="80">
        <v>0</v>
      </c>
      <c r="G98" s="80">
        <v>0</v>
      </c>
      <c r="H98" s="80">
        <v>-1471</v>
      </c>
      <c r="I98" s="80">
        <v>0</v>
      </c>
      <c r="J98" s="137">
        <f>+K98-SUM(G98:I98)</f>
        <v>-1663</v>
      </c>
      <c r="K98" s="80">
        <v>-3134</v>
      </c>
      <c r="L98" s="80">
        <v>0</v>
      </c>
      <c r="M98" s="80">
        <v>1320.2116463969007</v>
      </c>
      <c r="N98" s="80">
        <v>0</v>
      </c>
      <c r="O98" s="80">
        <f>+P98-SUM(L98:N98)</f>
        <v>-1340.2116463969007</v>
      </c>
      <c r="P98" s="80">
        <v>-20</v>
      </c>
      <c r="Q98" s="80">
        <v>0</v>
      </c>
      <c r="R98" s="80">
        <v>0</v>
      </c>
      <c r="S98" s="80">
        <v>-2400</v>
      </c>
      <c r="T98" s="162">
        <f>+U98-SUM(Q98:S98)</f>
        <v>2157</v>
      </c>
      <c r="U98" s="162">
        <v>-243</v>
      </c>
      <c r="V98" s="162">
        <v>0</v>
      </c>
      <c r="W98" s="162">
        <v>0</v>
      </c>
      <c r="X98" s="162">
        <v>0</v>
      </c>
      <c r="Y98" s="162">
        <f t="shared" si="139"/>
        <v>-1079</v>
      </c>
      <c r="Z98" s="162">
        <v>-1079</v>
      </c>
      <c r="AA98" s="162">
        <v>0</v>
      </c>
      <c r="AB98" s="162">
        <v>0</v>
      </c>
      <c r="AC98" s="223"/>
      <c r="AF98" s="244"/>
      <c r="AI98" s="137"/>
      <c r="AO98" s="10"/>
      <c r="AP98" s="10"/>
      <c r="AQ98" s="10"/>
      <c r="AR98" s="10"/>
      <c r="AS98" s="10"/>
      <c r="AT98" s="10"/>
      <c r="AU98" s="10"/>
      <c r="AV98" s="10"/>
      <c r="AW98" s="10"/>
      <c r="AX98" s="10"/>
      <c r="AY98" s="10"/>
      <c r="AZ98" s="10"/>
      <c r="BA98" s="10"/>
      <c r="BB98" s="10"/>
      <c r="BC98" s="10"/>
      <c r="BD98" s="10"/>
      <c r="BE98" s="10"/>
    </row>
    <row r="99" spans="1:57" ht="30" customHeight="1" x14ac:dyDescent="0.2">
      <c r="A99" s="261" t="s">
        <v>63</v>
      </c>
      <c r="B99" s="179">
        <v>0</v>
      </c>
      <c r="C99" s="179">
        <v>0</v>
      </c>
      <c r="D99" s="179">
        <v>0</v>
      </c>
      <c r="E99" s="181">
        <f>+F99-SUM(B99:D99)</f>
        <v>-3072</v>
      </c>
      <c r="F99" s="178">
        <v>-3072</v>
      </c>
      <c r="G99" s="178">
        <f>-G90*24.5%</f>
        <v>-300.61500000000001</v>
      </c>
      <c r="H99" s="178">
        <v>-1367</v>
      </c>
      <c r="I99" s="178">
        <v>-120</v>
      </c>
      <c r="J99" s="181">
        <f>+K99-SUM(G99:I99)</f>
        <v>-352.38499999999999</v>
      </c>
      <c r="K99" s="178">
        <v>-2140</v>
      </c>
      <c r="L99" s="137">
        <f t="shared" ref="L99:Q99" si="140">-L90*24.5%</f>
        <v>0</v>
      </c>
      <c r="M99" s="137">
        <f t="shared" si="140"/>
        <v>0</v>
      </c>
      <c r="N99" s="137">
        <f t="shared" si="140"/>
        <v>0</v>
      </c>
      <c r="O99" s="137">
        <f t="shared" si="140"/>
        <v>0</v>
      </c>
      <c r="P99" s="137">
        <f t="shared" si="140"/>
        <v>0</v>
      </c>
      <c r="Q99" s="137">
        <f t="shared" si="140"/>
        <v>0</v>
      </c>
      <c r="R99" s="137">
        <v>0</v>
      </c>
      <c r="S99" s="137">
        <v>0</v>
      </c>
      <c r="T99" s="230">
        <f>-T90*24.5%</f>
        <v>0</v>
      </c>
      <c r="U99" s="137">
        <f>-U90*24.5%</f>
        <v>0</v>
      </c>
      <c r="V99" s="137">
        <v>0</v>
      </c>
      <c r="W99" s="162">
        <v>0</v>
      </c>
      <c r="X99" s="162">
        <v>0</v>
      </c>
      <c r="Y99" s="162">
        <f t="shared" si="139"/>
        <v>0</v>
      </c>
      <c r="Z99" s="162">
        <v>0</v>
      </c>
      <c r="AA99" s="162">
        <v>0</v>
      </c>
      <c r="AB99" s="162">
        <v>0</v>
      </c>
      <c r="AF99" s="244"/>
      <c r="AI99" s="137"/>
      <c r="AO99" s="10"/>
      <c r="AP99" s="10"/>
      <c r="AQ99" s="10"/>
      <c r="AR99" s="10"/>
      <c r="AS99" s="10"/>
      <c r="AT99" s="10"/>
      <c r="AU99" s="10"/>
      <c r="AV99" s="10"/>
      <c r="AW99" s="10"/>
      <c r="AX99" s="10"/>
      <c r="AY99" s="10"/>
      <c r="AZ99" s="10"/>
      <c r="BA99" s="10"/>
      <c r="BB99" s="10"/>
      <c r="BC99" s="10"/>
      <c r="BD99" s="10"/>
      <c r="BE99" s="10"/>
    </row>
    <row r="100" spans="1:57" x14ac:dyDescent="0.2">
      <c r="A100" s="50" t="s">
        <v>64</v>
      </c>
      <c r="B100" s="162">
        <v>0</v>
      </c>
      <c r="C100" s="162">
        <v>0</v>
      </c>
      <c r="D100" s="162">
        <v>0</v>
      </c>
      <c r="E100" s="137">
        <v>0</v>
      </c>
      <c r="F100" s="80">
        <v>0</v>
      </c>
      <c r="G100" s="80">
        <v>0</v>
      </c>
      <c r="H100" s="80">
        <v>0</v>
      </c>
      <c r="I100" s="80">
        <v>0</v>
      </c>
      <c r="J100" s="80">
        <v>0</v>
      </c>
      <c r="K100" s="80">
        <v>0</v>
      </c>
      <c r="L100" s="80">
        <v>0</v>
      </c>
      <c r="M100" s="80">
        <v>0</v>
      </c>
      <c r="N100" s="80">
        <v>0</v>
      </c>
      <c r="O100" s="80">
        <v>0</v>
      </c>
      <c r="P100" s="80">
        <v>0</v>
      </c>
      <c r="Q100" s="80">
        <v>0</v>
      </c>
      <c r="R100" s="80">
        <v>0</v>
      </c>
      <c r="S100" s="80">
        <f>-S38</f>
        <v>12845</v>
      </c>
      <c r="T100" s="229">
        <f>+U100-SUM(Q100:S100)</f>
        <v>0</v>
      </c>
      <c r="U100" s="162">
        <f>-U38</f>
        <v>12845</v>
      </c>
      <c r="V100" s="162">
        <f>-V38</f>
        <v>0</v>
      </c>
      <c r="W100" s="162">
        <f>-W38</f>
        <v>0</v>
      </c>
      <c r="X100" s="162">
        <f>-X38</f>
        <v>0</v>
      </c>
      <c r="Y100" s="229">
        <f t="shared" si="139"/>
        <v>0</v>
      </c>
      <c r="Z100" s="162">
        <v>0</v>
      </c>
      <c r="AA100" s="162">
        <v>0</v>
      </c>
      <c r="AB100" s="162">
        <v>0</v>
      </c>
      <c r="AC100" s="223"/>
      <c r="AF100" s="244"/>
      <c r="AI100" s="137"/>
      <c r="AO100" s="10"/>
      <c r="AP100" s="10"/>
      <c r="AQ100" s="10"/>
      <c r="AR100" s="10"/>
      <c r="AS100" s="10"/>
      <c r="AT100" s="10"/>
      <c r="AU100" s="10"/>
      <c r="AV100" s="10"/>
      <c r="AW100" s="10"/>
      <c r="AX100" s="10"/>
      <c r="AY100" s="10"/>
      <c r="AZ100" s="10"/>
      <c r="BA100" s="10"/>
      <c r="BB100" s="10"/>
      <c r="BC100" s="10"/>
      <c r="BD100" s="10"/>
      <c r="BE100" s="10"/>
    </row>
    <row r="101" spans="1:57" x14ac:dyDescent="0.2">
      <c r="A101" s="50" t="s">
        <v>65</v>
      </c>
      <c r="B101" s="162">
        <v>0</v>
      </c>
      <c r="C101" s="162">
        <v>0</v>
      </c>
      <c r="D101" s="162">
        <v>0</v>
      </c>
      <c r="E101" s="137">
        <v>0</v>
      </c>
      <c r="F101" s="80">
        <v>0</v>
      </c>
      <c r="G101" s="80">
        <v>0</v>
      </c>
      <c r="H101" s="80">
        <v>0</v>
      </c>
      <c r="I101" s="80">
        <v>0</v>
      </c>
      <c r="J101" s="80">
        <v>0</v>
      </c>
      <c r="K101" s="80">
        <v>0</v>
      </c>
      <c r="L101" s="80">
        <v>0</v>
      </c>
      <c r="M101" s="80">
        <v>0</v>
      </c>
      <c r="N101" s="80">
        <v>0</v>
      </c>
      <c r="O101" s="80">
        <v>0</v>
      </c>
      <c r="P101" s="80">
        <v>0</v>
      </c>
      <c r="Q101" s="80">
        <v>0</v>
      </c>
      <c r="R101" s="80">
        <v>0</v>
      </c>
      <c r="S101" s="80">
        <v>-3094</v>
      </c>
      <c r="T101" s="162">
        <f>+U101-SUM(Q101:S101)</f>
        <v>-97</v>
      </c>
      <c r="U101" s="162">
        <v>-3191</v>
      </c>
      <c r="V101" s="162">
        <v>0</v>
      </c>
      <c r="W101" s="162">
        <v>0</v>
      </c>
      <c r="X101" s="162">
        <v>0</v>
      </c>
      <c r="Y101" s="162">
        <f t="shared" si="139"/>
        <v>0</v>
      </c>
      <c r="Z101" s="162">
        <v>0</v>
      </c>
      <c r="AA101" s="162">
        <v>0</v>
      </c>
      <c r="AB101" s="162">
        <v>0</v>
      </c>
      <c r="AC101" s="229"/>
      <c r="AF101" s="244"/>
      <c r="AI101" s="137"/>
      <c r="AO101" s="10"/>
      <c r="AP101" s="10"/>
      <c r="AQ101" s="10"/>
      <c r="AR101" s="10"/>
      <c r="AS101" s="10"/>
      <c r="AT101" s="10"/>
      <c r="AU101" s="10"/>
      <c r="AV101" s="10"/>
      <c r="AW101" s="10"/>
      <c r="AX101" s="10"/>
      <c r="AY101" s="10"/>
      <c r="AZ101" s="10"/>
      <c r="BA101" s="10"/>
      <c r="BB101" s="10"/>
      <c r="BC101" s="10"/>
      <c r="BD101" s="10"/>
      <c r="BE101" s="10"/>
    </row>
    <row r="102" spans="1:57" ht="13.5" customHeight="1" x14ac:dyDescent="0.15">
      <c r="A102" s="46" t="s">
        <v>66</v>
      </c>
      <c r="B102" s="81">
        <f t="shared" ref="B102:AB102" si="141">SUM(B83:B101)</f>
        <v>22816.981600000003</v>
      </c>
      <c r="C102" s="81">
        <f t="shared" si="141"/>
        <v>23375</v>
      </c>
      <c r="D102" s="81">
        <f t="shared" si="141"/>
        <v>25053</v>
      </c>
      <c r="E102" s="81">
        <f t="shared" si="141"/>
        <v>25749.018399999997</v>
      </c>
      <c r="F102" s="81">
        <f t="shared" si="141"/>
        <v>96994</v>
      </c>
      <c r="G102" s="81">
        <f t="shared" si="141"/>
        <v>24884.384999999998</v>
      </c>
      <c r="H102" s="81">
        <f t="shared" si="141"/>
        <v>25714</v>
      </c>
      <c r="I102" s="81">
        <f t="shared" si="141"/>
        <v>29257</v>
      </c>
      <c r="J102" s="81">
        <f t="shared" si="141"/>
        <v>27512.615000000002</v>
      </c>
      <c r="K102" s="81">
        <f t="shared" si="141"/>
        <v>107368</v>
      </c>
      <c r="L102" s="81">
        <f t="shared" si="141"/>
        <v>28191.952000000001</v>
      </c>
      <c r="M102" s="81">
        <f t="shared" si="141"/>
        <v>18436.052846396899</v>
      </c>
      <c r="N102" s="81">
        <f t="shared" si="141"/>
        <v>36034.692854934059</v>
      </c>
      <c r="O102" s="81">
        <f t="shared" si="141"/>
        <v>39285.7883536031</v>
      </c>
      <c r="P102" s="81">
        <f t="shared" si="141"/>
        <v>121948</v>
      </c>
      <c r="Q102" s="81">
        <f t="shared" si="141"/>
        <v>40519.026381000003</v>
      </c>
      <c r="R102" s="81">
        <f t="shared" si="141"/>
        <v>39174.108328000002</v>
      </c>
      <c r="S102" s="81">
        <f t="shared" si="141"/>
        <v>44706</v>
      </c>
      <c r="T102" s="81">
        <f t="shared" si="141"/>
        <v>41170</v>
      </c>
      <c r="U102" s="81">
        <f t="shared" si="141"/>
        <v>165569</v>
      </c>
      <c r="V102" s="81">
        <f t="shared" si="141"/>
        <v>48164</v>
      </c>
      <c r="W102" s="81">
        <f t="shared" si="141"/>
        <v>50633</v>
      </c>
      <c r="X102" s="81">
        <f t="shared" si="141"/>
        <v>52100</v>
      </c>
      <c r="Y102" s="81">
        <f t="shared" si="141"/>
        <v>52637</v>
      </c>
      <c r="Z102" s="81">
        <f t="shared" si="141"/>
        <v>203534</v>
      </c>
      <c r="AA102" s="81">
        <f t="shared" si="141"/>
        <v>58967</v>
      </c>
      <c r="AB102" s="81">
        <f t="shared" si="141"/>
        <v>61391</v>
      </c>
      <c r="AC102" s="219"/>
      <c r="AD102" s="250"/>
      <c r="AE102" s="137"/>
      <c r="AF102" s="244"/>
      <c r="AO102" s="10"/>
      <c r="AP102" s="10"/>
      <c r="AQ102" s="10"/>
      <c r="AR102" s="10"/>
      <c r="AS102" s="10"/>
      <c r="AT102" s="10"/>
      <c r="AU102" s="10"/>
      <c r="AV102" s="10"/>
      <c r="AW102" s="10"/>
      <c r="AX102" s="10"/>
      <c r="AY102" s="10"/>
      <c r="AZ102" s="10"/>
      <c r="BA102" s="10"/>
      <c r="BB102" s="10"/>
      <c r="BC102" s="10"/>
      <c r="BD102" s="10"/>
      <c r="BE102" s="10"/>
    </row>
    <row r="103" spans="1:57" x14ac:dyDescent="0.2">
      <c r="A103" s="84" t="s">
        <v>67</v>
      </c>
      <c r="B103" s="79">
        <f t="shared" ref="B103:AB103" si="142">IF(B102/B8&lt;0, "NM",B102/B8)</f>
        <v>0.11024134355688908</v>
      </c>
      <c r="C103" s="79">
        <f t="shared" si="142"/>
        <v>0.11125019037465733</v>
      </c>
      <c r="D103" s="79">
        <f t="shared" si="142"/>
        <v>0.10839635866461293</v>
      </c>
      <c r="E103" s="79">
        <f t="shared" si="142"/>
        <v>0.10961553662575615</v>
      </c>
      <c r="F103" s="79">
        <f t="shared" si="142"/>
        <v>0.10983204848309161</v>
      </c>
      <c r="G103" s="79">
        <f t="shared" si="142"/>
        <v>0.10386973907744194</v>
      </c>
      <c r="H103" s="79">
        <f t="shared" si="142"/>
        <v>0.10559773971393255</v>
      </c>
      <c r="I103" s="79">
        <f t="shared" si="142"/>
        <v>0.11637999618126273</v>
      </c>
      <c r="J103" s="79">
        <f t="shared" si="142"/>
        <v>0.10710632143635741</v>
      </c>
      <c r="K103" s="79">
        <f t="shared" si="142"/>
        <v>0.10830527383980972</v>
      </c>
      <c r="L103" s="79">
        <f t="shared" si="142"/>
        <v>0.11460608967844221</v>
      </c>
      <c r="M103" s="79">
        <f t="shared" si="142"/>
        <v>8.286872045774947E-2</v>
      </c>
      <c r="N103" s="79">
        <f t="shared" si="142"/>
        <v>0.14951038036550821</v>
      </c>
      <c r="O103" s="79">
        <f t="shared" si="142"/>
        <v>0.15780403672019658</v>
      </c>
      <c r="P103" s="79">
        <f t="shared" si="142"/>
        <v>0.12723672156872565</v>
      </c>
      <c r="Q103" s="79">
        <f t="shared" si="142"/>
        <v>0.15499885768222943</v>
      </c>
      <c r="R103" s="79">
        <f t="shared" si="142"/>
        <v>0.14241815842131286</v>
      </c>
      <c r="S103" s="79">
        <f t="shared" si="142"/>
        <v>0.15398605011624902</v>
      </c>
      <c r="T103" s="79">
        <f t="shared" si="142"/>
        <v>0.1393283675534453</v>
      </c>
      <c r="U103" s="79">
        <f t="shared" si="142"/>
        <v>0.14752742822061618</v>
      </c>
      <c r="V103" s="79">
        <f t="shared" si="142"/>
        <v>0.14630264149109379</v>
      </c>
      <c r="W103" s="79">
        <f t="shared" si="142"/>
        <v>0.14600815497920885</v>
      </c>
      <c r="X103" s="79">
        <f t="shared" si="142"/>
        <v>0.14418114243491784</v>
      </c>
      <c r="Y103" s="79">
        <f t="shared" si="142"/>
        <v>0.14047659079324157</v>
      </c>
      <c r="Z103" s="79">
        <f t="shared" si="142"/>
        <v>0.14414140069289624</v>
      </c>
      <c r="AA103" s="79">
        <f t="shared" si="142"/>
        <v>0.14718090669249181</v>
      </c>
      <c r="AB103" s="79">
        <f t="shared" si="142"/>
        <v>0.15158421317741411</v>
      </c>
      <c r="AC103" s="222"/>
      <c r="AF103" s="235"/>
      <c r="AO103" s="10"/>
      <c r="AP103" s="10"/>
      <c r="AQ103" s="10"/>
      <c r="AR103" s="10"/>
      <c r="AS103" s="10"/>
      <c r="AT103" s="10"/>
      <c r="AU103" s="10"/>
      <c r="AV103" s="10"/>
      <c r="AW103" s="10"/>
      <c r="AX103" s="10"/>
      <c r="AY103" s="10"/>
      <c r="AZ103" s="10"/>
      <c r="BA103" s="10"/>
      <c r="BB103" s="10"/>
      <c r="BC103" s="10"/>
      <c r="BD103" s="10"/>
      <c r="BE103" s="10"/>
    </row>
    <row r="104" spans="1:57" x14ac:dyDescent="0.2">
      <c r="A104" s="84"/>
      <c r="AE104" s="78"/>
      <c r="AF104" s="235"/>
      <c r="AO104" s="10"/>
      <c r="AP104" s="10"/>
      <c r="AQ104" s="10"/>
      <c r="AR104" s="10"/>
      <c r="AS104" s="10"/>
      <c r="AT104" s="10"/>
      <c r="AU104" s="10"/>
      <c r="AV104" s="10"/>
      <c r="AW104" s="10"/>
      <c r="AX104" s="10"/>
      <c r="AY104" s="10"/>
      <c r="AZ104" s="10"/>
      <c r="BA104" s="10"/>
      <c r="BB104" s="10"/>
      <c r="BC104" s="10"/>
      <c r="BD104" s="10"/>
      <c r="BE104" s="10"/>
    </row>
    <row r="105" spans="1:57" ht="13" x14ac:dyDescent="0.15">
      <c r="A105" s="85" t="s">
        <v>68</v>
      </c>
      <c r="B105" s="160">
        <f t="shared" ref="B105:Z105" si="143">ROUND(B102/B54,2)</f>
        <v>0.65</v>
      </c>
      <c r="C105" s="160">
        <f t="shared" si="143"/>
        <v>0.67</v>
      </c>
      <c r="D105" s="160">
        <f t="shared" si="143"/>
        <v>0.71</v>
      </c>
      <c r="E105" s="160">
        <f t="shared" si="143"/>
        <v>0.74</v>
      </c>
      <c r="F105" s="83">
        <f t="shared" si="143"/>
        <v>2.77</v>
      </c>
      <c r="G105" s="83">
        <f t="shared" si="143"/>
        <v>0.71</v>
      </c>
      <c r="H105" s="83">
        <f t="shared" si="143"/>
        <v>0.74</v>
      </c>
      <c r="I105" s="83">
        <f t="shared" si="143"/>
        <v>0.84</v>
      </c>
      <c r="J105" s="83">
        <f t="shared" si="143"/>
        <v>0.79</v>
      </c>
      <c r="K105" s="83">
        <f t="shared" si="143"/>
        <v>3.09</v>
      </c>
      <c r="L105" s="83">
        <f t="shared" si="143"/>
        <v>0.81</v>
      </c>
      <c r="M105" s="83">
        <f t="shared" si="143"/>
        <v>0.53</v>
      </c>
      <c r="N105" s="83">
        <f t="shared" si="143"/>
        <v>1.04</v>
      </c>
      <c r="O105" s="83">
        <f t="shared" si="143"/>
        <v>1.1399999999999999</v>
      </c>
      <c r="P105" s="83">
        <f t="shared" si="143"/>
        <v>3.53</v>
      </c>
      <c r="Q105" s="83">
        <f t="shared" si="143"/>
        <v>1.18</v>
      </c>
      <c r="R105" s="83">
        <f t="shared" si="143"/>
        <v>1.1399999999999999</v>
      </c>
      <c r="S105" s="83">
        <f t="shared" si="143"/>
        <v>1.3</v>
      </c>
      <c r="T105" s="83">
        <f t="shared" si="143"/>
        <v>1.21</v>
      </c>
      <c r="U105" s="83">
        <f t="shared" si="143"/>
        <v>4.83</v>
      </c>
      <c r="V105" s="83">
        <f t="shared" si="143"/>
        <v>1.42</v>
      </c>
      <c r="W105" s="83">
        <f t="shared" si="143"/>
        <v>1.5</v>
      </c>
      <c r="X105" s="83">
        <f t="shared" si="143"/>
        <v>1.54</v>
      </c>
      <c r="Y105" s="83">
        <f t="shared" si="143"/>
        <v>1.56</v>
      </c>
      <c r="Z105" s="83">
        <f t="shared" si="143"/>
        <v>6.02</v>
      </c>
      <c r="AA105" s="83">
        <f t="shared" ref="AA105:AB105" si="144">ROUND(AA102/AA54,2)</f>
        <v>1.74</v>
      </c>
      <c r="AB105" s="83">
        <f t="shared" si="144"/>
        <v>1.82</v>
      </c>
      <c r="AC105" s="219"/>
      <c r="AD105" s="250"/>
      <c r="AF105" s="235"/>
      <c r="AO105" s="10"/>
      <c r="AP105" s="10"/>
      <c r="AQ105" s="10"/>
      <c r="AR105" s="10"/>
      <c r="AS105" s="10"/>
      <c r="AT105" s="10"/>
      <c r="AU105" s="10"/>
      <c r="AV105" s="10"/>
      <c r="AW105" s="10"/>
      <c r="AX105" s="10"/>
      <c r="AY105" s="10"/>
      <c r="AZ105" s="10"/>
      <c r="BA105" s="10"/>
      <c r="BB105" s="10"/>
      <c r="BC105" s="10"/>
      <c r="BD105" s="10"/>
      <c r="BE105" s="10"/>
    </row>
    <row r="106" spans="1:57" x14ac:dyDescent="0.2">
      <c r="A106" s="90" t="s">
        <v>12</v>
      </c>
      <c r="B106" s="70">
        <v>-2.9850746268656692E-2</v>
      </c>
      <c r="C106" s="70">
        <f>C105/B105-1</f>
        <v>3.0769230769230882E-2</v>
      </c>
      <c r="D106" s="70">
        <f>D105/C105-1</f>
        <v>5.9701492537313383E-2</v>
      </c>
      <c r="E106" s="70">
        <f>E105/D105-1</f>
        <v>4.2253521126760507E-2</v>
      </c>
      <c r="F106" s="70" t="s">
        <v>13</v>
      </c>
      <c r="G106" s="114">
        <f>G105/E105-1</f>
        <v>-4.0540540540540571E-2</v>
      </c>
      <c r="H106" s="114">
        <f>H105/G105-1</f>
        <v>4.2253521126760507E-2</v>
      </c>
      <c r="I106" s="114">
        <f>I105/H105-1</f>
        <v>0.13513513513513509</v>
      </c>
      <c r="J106" s="114">
        <f>J105/I105-1</f>
        <v>-5.9523809523809423E-2</v>
      </c>
      <c r="K106" s="70" t="s">
        <v>13</v>
      </c>
      <c r="L106" s="114">
        <f>L105/J105-1</f>
        <v>2.5316455696202445E-2</v>
      </c>
      <c r="M106" s="114">
        <f>M105/L105-1</f>
        <v>-0.34567901234567899</v>
      </c>
      <c r="N106" s="114">
        <f>N105/M105-1</f>
        <v>0.96226415094339623</v>
      </c>
      <c r="O106" s="114">
        <f>O105/N105-1</f>
        <v>9.6153846153846034E-2</v>
      </c>
      <c r="P106" s="203" t="s">
        <v>13</v>
      </c>
      <c r="Q106" s="114">
        <f>Q105/O105-1</f>
        <v>3.5087719298245723E-2</v>
      </c>
      <c r="R106" s="114">
        <f>R105/Q105-1</f>
        <v>-3.3898305084745783E-2</v>
      </c>
      <c r="S106" s="114">
        <f>S105/R105-1</f>
        <v>0.14035087719298267</v>
      </c>
      <c r="T106" s="114">
        <f>T105/S105-1</f>
        <v>-6.9230769230769318E-2</v>
      </c>
      <c r="U106" s="203" t="s">
        <v>13</v>
      </c>
      <c r="V106" s="114">
        <f>V105/T105-1</f>
        <v>0.17355371900826433</v>
      </c>
      <c r="W106" s="114">
        <f>W105/V105-1</f>
        <v>5.6338028169014231E-2</v>
      </c>
      <c r="X106" s="114">
        <f>X105/W105-1</f>
        <v>2.6666666666666616E-2</v>
      </c>
      <c r="Y106" s="114">
        <f>Y105/X105-1</f>
        <v>1.2987012987013102E-2</v>
      </c>
      <c r="Z106" s="203" t="s">
        <v>13</v>
      </c>
      <c r="AA106" s="114">
        <f>AA105/Y105-1</f>
        <v>0.11538461538461542</v>
      </c>
      <c r="AB106" s="114">
        <f>AB105/AA105-1</f>
        <v>4.5977011494252817E-2</v>
      </c>
      <c r="AC106" s="220"/>
      <c r="AF106" s="243"/>
    </row>
    <row r="107" spans="1:57" x14ac:dyDescent="0.2">
      <c r="A107" s="89" t="s">
        <v>14</v>
      </c>
      <c r="B107" s="30">
        <v>8.3333333333333481E-2</v>
      </c>
      <c r="C107" s="30">
        <v>-4.2857142857142705E-2</v>
      </c>
      <c r="D107" s="30">
        <v>2.898550724637694E-2</v>
      </c>
      <c r="E107" s="30">
        <v>0.10447761194029836</v>
      </c>
      <c r="F107" s="29">
        <v>4.1353383458646586E-2</v>
      </c>
      <c r="G107" s="29">
        <f t="shared" ref="G107:I107" si="145">G105/B105-1</f>
        <v>9.2307692307692202E-2</v>
      </c>
      <c r="H107" s="29">
        <f t="shared" si="145"/>
        <v>0.10447761194029836</v>
      </c>
      <c r="I107" s="29">
        <f t="shared" si="145"/>
        <v>0.18309859154929575</v>
      </c>
      <c r="J107" s="29">
        <f t="shared" ref="J107:S107" si="146">J105/E105-1</f>
        <v>6.7567567567567544E-2</v>
      </c>
      <c r="K107" s="29">
        <f t="shared" si="146"/>
        <v>0.11552346570397098</v>
      </c>
      <c r="L107" s="29">
        <f t="shared" si="146"/>
        <v>0.14084507042253525</v>
      </c>
      <c r="M107" s="29">
        <f t="shared" si="146"/>
        <v>-0.28378378378378377</v>
      </c>
      <c r="N107" s="29">
        <f t="shared" si="146"/>
        <v>0.23809523809523814</v>
      </c>
      <c r="O107" s="29">
        <f t="shared" si="146"/>
        <v>0.44303797468354422</v>
      </c>
      <c r="P107" s="29">
        <f t="shared" si="146"/>
        <v>0.14239482200647258</v>
      </c>
      <c r="Q107" s="29">
        <f t="shared" si="146"/>
        <v>0.45679012345678993</v>
      </c>
      <c r="R107" s="29">
        <f t="shared" si="146"/>
        <v>1.1509433962264146</v>
      </c>
      <c r="S107" s="29">
        <f t="shared" si="146"/>
        <v>0.25</v>
      </c>
      <c r="T107" s="29">
        <f t="shared" ref="T107" si="147">T105/O105-1</f>
        <v>6.1403508771929793E-2</v>
      </c>
      <c r="U107" s="29">
        <f t="shared" ref="U107:V107" si="148">U105/P105-1</f>
        <v>0.36827195467422102</v>
      </c>
      <c r="V107" s="29">
        <f t="shared" si="148"/>
        <v>0.20338983050847448</v>
      </c>
      <c r="W107" s="29">
        <f>W105/R105-1</f>
        <v>0.31578947368421062</v>
      </c>
      <c r="X107" s="29">
        <f>X105/S105-1</f>
        <v>0.18461538461538463</v>
      </c>
      <c r="Y107" s="29">
        <f t="shared" ref="Y107" si="149">Y105/T105-1</f>
        <v>0.28925619834710758</v>
      </c>
      <c r="Z107" s="29">
        <f>Z105/U105-1</f>
        <v>0.24637681159420288</v>
      </c>
      <c r="AA107" s="29">
        <f t="shared" ref="AA107:AB107" si="150">AA105/V105-1</f>
        <v>0.22535211267605648</v>
      </c>
      <c r="AB107" s="29">
        <f t="shared" si="150"/>
        <v>0.21333333333333337</v>
      </c>
      <c r="AC107" s="220"/>
      <c r="AF107" s="243"/>
    </row>
    <row r="108" spans="1:57" x14ac:dyDescent="0.2">
      <c r="A108" s="89"/>
    </row>
    <row r="109" spans="1:57" ht="11.25" customHeight="1" x14ac:dyDescent="0.2">
      <c r="A109" s="106" t="s">
        <v>69</v>
      </c>
      <c r="J109" s="188"/>
    </row>
  </sheetData>
  <customSheetViews>
    <customSheetView guid="{168DC811-186D-42DC-8A72-3741D1063270}" scale="80" showGridLines="0">
      <pane xSplit="1" ySplit="5" topLeftCell="G6" activePane="bottomRight" state="frozen"/>
      <selection pane="bottomRight" activeCell="Q8" sqref="Q8"/>
      <colBreaks count="1" manualBreakCount="1">
        <brk id="8" max="1048575" man="1"/>
      </colBreaks>
      <pageMargins left="0" right="0" top="0" bottom="0" header="0" footer="0"/>
      <pageSetup scale="62" orientation="landscape" horizontalDpi="300" verticalDpi="300" r:id="rId1"/>
    </customSheetView>
  </customSheetViews>
  <mergeCells count="1">
    <mergeCell ref="AF3:AF6"/>
  </mergeCells>
  <phoneticPr fontId="0" type="noConversion"/>
  <pageMargins left="0.25" right="0" top="0.25" bottom="0" header="0.3" footer="0.3"/>
  <pageSetup paperSize="9" scale="39" orientation="landscape" r:id="rId2"/>
  <colBreaks count="1" manualBreakCount="1">
    <brk id="28" max="116" man="1"/>
  </colBreaks>
  <ignoredErrors>
    <ignoredError sqref="E8 E12 E17 E20 E23 E36:E37 E42:E43 E59:E60 E87 F61 E64 E26 E99 E89 E93 E97 E98 E94:F95" formulaRange="1"/>
    <ignoredError sqref="E90:F90 J64 J88" formula="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E65"/>
  <sheetViews>
    <sheetView showGridLines="0" view="pageBreakPreview" zoomScale="90" zoomScaleNormal="90" zoomScaleSheetLayoutView="90" workbookViewId="0">
      <pane xSplit="2" ySplit="4" topLeftCell="L5" activePane="bottomRight" state="frozen"/>
      <selection pane="topRight" activeCell="AB10" sqref="AB10"/>
      <selection pane="bottomLeft" activeCell="AB10" sqref="AB10"/>
      <selection pane="bottomRight" activeCell="X3" sqref="X3"/>
    </sheetView>
  </sheetViews>
  <sheetFormatPr baseColWidth="10" defaultColWidth="9.1640625" defaultRowHeight="13" outlineLevelCol="1" x14ac:dyDescent="0.15"/>
  <cols>
    <col min="1" max="1" width="45.1640625" style="20" customWidth="1"/>
    <col min="2" max="2" width="2.1640625" style="2" customWidth="1"/>
    <col min="3" max="3" width="11.5" style="2" hidden="1" customWidth="1" outlineLevel="1"/>
    <col min="4" max="4" width="12.33203125" style="2" hidden="1" customWidth="1" outlineLevel="1"/>
    <col min="5" max="5" width="12" style="2" hidden="1" customWidth="1" outlineLevel="1"/>
    <col min="6" max="6" width="12" style="2" customWidth="1" collapsed="1"/>
    <col min="7" max="9" width="12" style="2" hidden="1" customWidth="1" outlineLevel="1"/>
    <col min="10" max="10" width="12" style="2" bestFit="1" customWidth="1" collapsed="1"/>
    <col min="11" max="13" width="11.5" style="2" customWidth="1"/>
    <col min="14" max="14" width="11.5" style="2" bestFit="1" customWidth="1"/>
    <col min="15" max="16" width="11.5" style="2" customWidth="1"/>
    <col min="17" max="17" width="11.5" style="2" bestFit="1" customWidth="1"/>
    <col min="18" max="19" width="14.5" style="2" customWidth="1"/>
    <col min="20" max="24" width="11.5" style="2" bestFit="1" customWidth="1"/>
    <col min="25" max="25" width="15.6640625" style="2" customWidth="1"/>
    <col min="26" max="26" width="9.1640625" style="2" customWidth="1"/>
    <col min="27" max="16384" width="9.1640625" style="2"/>
  </cols>
  <sheetData>
    <row r="1" spans="1:28" x14ac:dyDescent="0.15">
      <c r="A1" s="8"/>
      <c r="C1" s="77"/>
      <c r="D1" s="77"/>
      <c r="E1" s="77"/>
      <c r="F1" s="77"/>
      <c r="G1" s="77"/>
      <c r="H1" s="77"/>
      <c r="I1" s="77"/>
      <c r="J1" s="77"/>
      <c r="K1" s="77"/>
      <c r="AA1" s="238"/>
      <c r="AB1" s="238"/>
    </row>
    <row r="2" spans="1:28" ht="45" customHeight="1" x14ac:dyDescent="0.15"/>
    <row r="3" spans="1:28" ht="14" x14ac:dyDescent="0.15">
      <c r="A3" s="15" t="s">
        <v>1</v>
      </c>
      <c r="C3" s="3">
        <v>2018</v>
      </c>
      <c r="D3" s="3">
        <v>2018</v>
      </c>
      <c r="E3" s="3">
        <v>2018</v>
      </c>
      <c r="F3" s="3">
        <v>2018</v>
      </c>
      <c r="G3" s="3">
        <v>2019</v>
      </c>
      <c r="H3" s="3">
        <v>2019</v>
      </c>
      <c r="I3" s="3">
        <v>2019</v>
      </c>
      <c r="J3" s="3">
        <v>2019</v>
      </c>
      <c r="K3" s="3">
        <v>2020</v>
      </c>
      <c r="L3" s="3">
        <v>2020</v>
      </c>
      <c r="M3" s="3">
        <v>2020</v>
      </c>
      <c r="N3" s="3">
        <v>2020</v>
      </c>
      <c r="O3" s="3">
        <v>2021</v>
      </c>
      <c r="P3" s="3">
        <v>2021</v>
      </c>
      <c r="Q3" s="3">
        <v>2021</v>
      </c>
      <c r="R3" s="3">
        <v>2021</v>
      </c>
      <c r="S3" s="3">
        <v>2022</v>
      </c>
      <c r="T3" s="3">
        <v>2022</v>
      </c>
      <c r="U3" s="3">
        <v>2022</v>
      </c>
      <c r="V3" s="3">
        <v>2022</v>
      </c>
      <c r="W3" s="3">
        <v>2023</v>
      </c>
      <c r="X3" s="3">
        <v>2023</v>
      </c>
    </row>
    <row r="4" spans="1:28" s="1" customFormat="1" x14ac:dyDescent="0.15">
      <c r="A4" s="22" t="s">
        <v>70</v>
      </c>
      <c r="C4" s="63" t="s">
        <v>6</v>
      </c>
      <c r="D4" s="63" t="s">
        <v>7</v>
      </c>
      <c r="E4" s="63" t="s">
        <v>8</v>
      </c>
      <c r="F4" s="63" t="s">
        <v>9</v>
      </c>
      <c r="G4" s="63" t="s">
        <v>6</v>
      </c>
      <c r="H4" s="63" t="s">
        <v>7</v>
      </c>
      <c r="I4" s="63" t="s">
        <v>8</v>
      </c>
      <c r="J4" s="63" t="s">
        <v>9</v>
      </c>
      <c r="K4" s="63" t="s">
        <v>6</v>
      </c>
      <c r="L4" s="63" t="s">
        <v>7</v>
      </c>
      <c r="M4" s="63" t="s">
        <v>8</v>
      </c>
      <c r="N4" s="63" t="s">
        <v>9</v>
      </c>
      <c r="O4" s="63" t="s">
        <v>6</v>
      </c>
      <c r="P4" s="63" t="s">
        <v>7</v>
      </c>
      <c r="Q4" s="63" t="s">
        <v>8</v>
      </c>
      <c r="R4" s="63" t="s">
        <v>9</v>
      </c>
      <c r="S4" s="63" t="s">
        <v>6</v>
      </c>
      <c r="T4" s="63" t="s">
        <v>7</v>
      </c>
      <c r="U4" s="63" t="s">
        <v>8</v>
      </c>
      <c r="V4" s="63" t="s">
        <v>9</v>
      </c>
      <c r="W4" s="63" t="s">
        <v>6</v>
      </c>
      <c r="X4" s="63" t="s">
        <v>7</v>
      </c>
      <c r="Y4" s="267"/>
    </row>
    <row r="5" spans="1:28" s="3" customFormat="1" x14ac:dyDescent="0.15">
      <c r="A5" s="15"/>
    </row>
    <row r="6" spans="1:28" ht="14" x14ac:dyDescent="0.15">
      <c r="A6" s="41" t="s">
        <v>71</v>
      </c>
    </row>
    <row r="7" spans="1:28" ht="14" x14ac:dyDescent="0.15">
      <c r="A7" s="54" t="s">
        <v>72</v>
      </c>
      <c r="B7" s="91"/>
    </row>
    <row r="8" spans="1:28" ht="14" x14ac:dyDescent="0.15">
      <c r="A8" s="55" t="s">
        <v>73</v>
      </c>
      <c r="B8" s="97"/>
      <c r="C8" s="98">
        <v>69955</v>
      </c>
      <c r="D8" s="98">
        <v>84091</v>
      </c>
      <c r="E8" s="98">
        <v>97636</v>
      </c>
      <c r="F8" s="98">
        <v>95881</v>
      </c>
      <c r="G8" s="98">
        <v>86688</v>
      </c>
      <c r="H8" s="98">
        <v>84842</v>
      </c>
      <c r="I8" s="98">
        <v>101432</v>
      </c>
      <c r="J8" s="98">
        <v>119165</v>
      </c>
      <c r="K8" s="77">
        <v>224874</v>
      </c>
      <c r="L8" s="77">
        <v>163619</v>
      </c>
      <c r="M8" s="77">
        <v>206423</v>
      </c>
      <c r="N8" s="77">
        <v>218530</v>
      </c>
      <c r="O8" s="77">
        <v>177121</v>
      </c>
      <c r="P8" s="77">
        <v>150211</v>
      </c>
      <c r="Q8" s="77">
        <v>114581</v>
      </c>
      <c r="R8" s="77">
        <v>135337</v>
      </c>
      <c r="S8" s="77">
        <v>106540</v>
      </c>
      <c r="T8" s="77">
        <v>106304</v>
      </c>
      <c r="U8" s="77">
        <v>89262</v>
      </c>
      <c r="V8" s="77">
        <v>118669</v>
      </c>
      <c r="W8" s="77">
        <v>87298</v>
      </c>
      <c r="X8" s="77">
        <v>93960</v>
      </c>
      <c r="Y8" s="77"/>
    </row>
    <row r="9" spans="1:28" ht="14" x14ac:dyDescent="0.15">
      <c r="A9" s="55" t="s">
        <v>74</v>
      </c>
      <c r="B9" s="97"/>
      <c r="C9" s="113">
        <v>169461</v>
      </c>
      <c r="D9" s="113">
        <v>149045</v>
      </c>
      <c r="E9" s="113">
        <v>144878</v>
      </c>
      <c r="F9" s="113">
        <v>184489</v>
      </c>
      <c r="G9" s="113">
        <v>216056</v>
      </c>
      <c r="H9" s="113">
        <v>168204</v>
      </c>
      <c r="I9" s="113">
        <v>179340</v>
      </c>
      <c r="J9" s="113">
        <v>202238</v>
      </c>
      <c r="K9" s="187">
        <v>142539</v>
      </c>
      <c r="L9" s="187">
        <v>171962</v>
      </c>
      <c r="M9" s="187">
        <v>156175</v>
      </c>
      <c r="N9" s="187">
        <v>184286</v>
      </c>
      <c r="O9" s="187">
        <v>198721</v>
      </c>
      <c r="P9" s="187">
        <v>144533</v>
      </c>
      <c r="Q9" s="187">
        <v>169739</v>
      </c>
      <c r="R9" s="187">
        <v>178538</v>
      </c>
      <c r="S9" s="187">
        <v>162694</v>
      </c>
      <c r="T9" s="187">
        <v>158941</v>
      </c>
      <c r="U9" s="187">
        <v>172889</v>
      </c>
      <c r="V9" s="187">
        <v>179027</v>
      </c>
      <c r="W9" s="187">
        <v>116479</v>
      </c>
      <c r="X9" s="187">
        <v>156098</v>
      </c>
      <c r="Y9" s="187"/>
    </row>
    <row r="10" spans="1:28" ht="14" x14ac:dyDescent="0.15">
      <c r="A10" s="55" t="s">
        <v>75</v>
      </c>
      <c r="B10" s="97"/>
      <c r="C10" s="113">
        <v>2727</v>
      </c>
      <c r="D10" s="113">
        <v>2256</v>
      </c>
      <c r="E10" s="113">
        <v>4679</v>
      </c>
      <c r="F10" s="113">
        <v>5608</v>
      </c>
      <c r="G10" s="113">
        <v>5364</v>
      </c>
      <c r="H10" s="113">
        <v>4098</v>
      </c>
      <c r="I10" s="113">
        <v>5412</v>
      </c>
      <c r="J10" s="113">
        <v>5453</v>
      </c>
      <c r="K10" s="187">
        <v>6369</v>
      </c>
      <c r="L10" s="187">
        <v>4858</v>
      </c>
      <c r="M10" s="187">
        <v>7312</v>
      </c>
      <c r="N10" s="187">
        <v>4690</v>
      </c>
      <c r="O10" s="187">
        <v>5295</v>
      </c>
      <c r="P10" s="187">
        <v>5065</v>
      </c>
      <c r="Q10" s="187">
        <v>6810</v>
      </c>
      <c r="R10" s="187">
        <v>6174</v>
      </c>
      <c r="S10" s="187">
        <v>6274</v>
      </c>
      <c r="T10" s="187">
        <v>6840</v>
      </c>
      <c r="U10" s="187">
        <v>7013</v>
      </c>
      <c r="V10" s="187">
        <v>4897</v>
      </c>
      <c r="W10" s="187">
        <v>5598</v>
      </c>
      <c r="X10" s="187">
        <v>4628</v>
      </c>
      <c r="Y10" s="187"/>
    </row>
    <row r="11" spans="1:28" ht="14" x14ac:dyDescent="0.15">
      <c r="A11" s="55" t="s">
        <v>76</v>
      </c>
      <c r="B11" s="97"/>
      <c r="C11" s="113">
        <v>137150</v>
      </c>
      <c r="D11" s="113">
        <v>147099</v>
      </c>
      <c r="E11" s="113">
        <v>164307</v>
      </c>
      <c r="F11" s="113">
        <v>164752</v>
      </c>
      <c r="G11" s="113">
        <v>176889</v>
      </c>
      <c r="H11" s="113">
        <v>180680</v>
      </c>
      <c r="I11" s="113">
        <v>179702</v>
      </c>
      <c r="J11" s="113">
        <v>171864</v>
      </c>
      <c r="K11" s="187">
        <v>187137</v>
      </c>
      <c r="L11" s="187">
        <v>157505</v>
      </c>
      <c r="M11" s="187">
        <v>154983</v>
      </c>
      <c r="N11" s="187">
        <v>147635</v>
      </c>
      <c r="O11" s="187">
        <v>159296</v>
      </c>
      <c r="P11" s="187">
        <v>182111</v>
      </c>
      <c r="Q11" s="187">
        <v>192170</v>
      </c>
      <c r="R11" s="187">
        <v>194232</v>
      </c>
      <c r="S11" s="187">
        <v>239279</v>
      </c>
      <c r="T11" s="187">
        <v>237453</v>
      </c>
      <c r="U11" s="187">
        <v>256911</v>
      </c>
      <c r="V11" s="187">
        <v>259222</v>
      </c>
      <c r="W11" s="187">
        <v>290512</v>
      </c>
      <c r="X11" s="187">
        <v>288305</v>
      </c>
      <c r="Y11" s="187"/>
    </row>
    <row r="12" spans="1:28" ht="14" x14ac:dyDescent="0.15">
      <c r="A12" s="55" t="s">
        <v>77</v>
      </c>
      <c r="B12" s="97"/>
      <c r="C12" s="113">
        <f>38878+17802</f>
        <v>56680</v>
      </c>
      <c r="D12" s="113">
        <v>44243</v>
      </c>
      <c r="E12" s="113">
        <v>42327</v>
      </c>
      <c r="F12" s="113">
        <v>49205</v>
      </c>
      <c r="G12" s="113">
        <v>51061</v>
      </c>
      <c r="H12" s="113">
        <v>51251</v>
      </c>
      <c r="I12" s="113">
        <f>37338+3002</f>
        <v>40340</v>
      </c>
      <c r="J12" s="113">
        <v>42538</v>
      </c>
      <c r="K12" s="187">
        <v>43973</v>
      </c>
      <c r="L12" s="187">
        <v>38596</v>
      </c>
      <c r="M12" s="187">
        <v>40170</v>
      </c>
      <c r="N12" s="187">
        <v>54137</v>
      </c>
      <c r="O12" s="187">
        <v>56117</v>
      </c>
      <c r="P12" s="187">
        <v>59242</v>
      </c>
      <c r="Q12" s="187">
        <v>61875</v>
      </c>
      <c r="R12" s="187">
        <v>63863</v>
      </c>
      <c r="S12" s="187">
        <v>57831</v>
      </c>
      <c r="T12" s="187">
        <v>51476</v>
      </c>
      <c r="U12" s="187">
        <v>54509</v>
      </c>
      <c r="V12" s="187">
        <v>50979</v>
      </c>
      <c r="W12" s="187">
        <v>66340</v>
      </c>
      <c r="X12" s="187">
        <v>70186</v>
      </c>
      <c r="Y12" s="187"/>
    </row>
    <row r="13" spans="1:28" ht="14" x14ac:dyDescent="0.15">
      <c r="A13" s="42" t="s">
        <v>78</v>
      </c>
      <c r="B13" s="105"/>
      <c r="C13" s="104">
        <f t="shared" ref="C13:M13" si="0">SUM(C8:C12)</f>
        <v>435973</v>
      </c>
      <c r="D13" s="104">
        <f t="shared" si="0"/>
        <v>426734</v>
      </c>
      <c r="E13" s="104">
        <f t="shared" si="0"/>
        <v>453827</v>
      </c>
      <c r="F13" s="104">
        <f t="shared" si="0"/>
        <v>499935</v>
      </c>
      <c r="G13" s="104">
        <f t="shared" si="0"/>
        <v>536058</v>
      </c>
      <c r="H13" s="104">
        <f t="shared" si="0"/>
        <v>489075</v>
      </c>
      <c r="I13" s="104">
        <f t="shared" si="0"/>
        <v>506226</v>
      </c>
      <c r="J13" s="104">
        <f t="shared" si="0"/>
        <v>541258</v>
      </c>
      <c r="K13" s="104">
        <f t="shared" si="0"/>
        <v>604892</v>
      </c>
      <c r="L13" s="104">
        <f t="shared" si="0"/>
        <v>536540</v>
      </c>
      <c r="M13" s="104">
        <f t="shared" si="0"/>
        <v>565063</v>
      </c>
      <c r="N13" s="104">
        <f>ROUND(SUM(N8:N12),0)</f>
        <v>609278</v>
      </c>
      <c r="O13" s="104">
        <f t="shared" ref="O13:W13" si="1">SUM(O8:O12)</f>
        <v>596550</v>
      </c>
      <c r="P13" s="104">
        <f t="shared" si="1"/>
        <v>541162</v>
      </c>
      <c r="Q13" s="104">
        <f t="shared" si="1"/>
        <v>545175</v>
      </c>
      <c r="R13" s="104">
        <f t="shared" si="1"/>
        <v>578144</v>
      </c>
      <c r="S13" s="104">
        <f t="shared" si="1"/>
        <v>572618</v>
      </c>
      <c r="T13" s="104">
        <f t="shared" si="1"/>
        <v>561014</v>
      </c>
      <c r="U13" s="104">
        <f t="shared" si="1"/>
        <v>580584</v>
      </c>
      <c r="V13" s="257">
        <f t="shared" si="1"/>
        <v>612794</v>
      </c>
      <c r="W13" s="257">
        <f t="shared" si="1"/>
        <v>566227</v>
      </c>
      <c r="X13" s="257">
        <f t="shared" ref="X13" si="2">SUM(X8:X12)</f>
        <v>613177</v>
      </c>
      <c r="Y13" s="187"/>
    </row>
    <row r="14" spans="1:28" ht="14" x14ac:dyDescent="0.15">
      <c r="A14" s="16" t="s">
        <v>79</v>
      </c>
      <c r="B14" s="91"/>
      <c r="Y14" s="77"/>
    </row>
    <row r="15" spans="1:28" ht="14" x14ac:dyDescent="0.15">
      <c r="A15" s="56" t="s">
        <v>80</v>
      </c>
      <c r="B15" s="97"/>
      <c r="C15" s="113">
        <v>67748</v>
      </c>
      <c r="D15" s="113">
        <v>66112</v>
      </c>
      <c r="E15" s="113">
        <v>67675</v>
      </c>
      <c r="F15" s="113">
        <v>73510</v>
      </c>
      <c r="G15" s="113">
        <v>73447</v>
      </c>
      <c r="H15" s="113">
        <v>78083</v>
      </c>
      <c r="I15" s="113">
        <v>78471</v>
      </c>
      <c r="J15" s="113">
        <v>79142</v>
      </c>
      <c r="K15" s="187">
        <v>90513</v>
      </c>
      <c r="L15" s="187">
        <v>91848</v>
      </c>
      <c r="M15" s="187">
        <v>94103</v>
      </c>
      <c r="N15" s="187">
        <v>92875</v>
      </c>
      <c r="O15" s="187">
        <v>90153</v>
      </c>
      <c r="P15" s="187">
        <v>86511</v>
      </c>
      <c r="Q15" s="187">
        <v>83905</v>
      </c>
      <c r="R15" s="187">
        <v>86008</v>
      </c>
      <c r="S15" s="187">
        <v>85610</v>
      </c>
      <c r="T15" s="187">
        <v>82649</v>
      </c>
      <c r="U15" s="187">
        <v>79933</v>
      </c>
      <c r="V15" s="187">
        <v>82828</v>
      </c>
      <c r="W15" s="187">
        <v>86652</v>
      </c>
      <c r="X15" s="187">
        <v>93688</v>
      </c>
      <c r="Y15" s="187"/>
    </row>
    <row r="16" spans="1:28" ht="14" x14ac:dyDescent="0.15">
      <c r="A16" s="56" t="s">
        <v>81</v>
      </c>
      <c r="B16" s="97"/>
      <c r="C16" s="113">
        <v>0</v>
      </c>
      <c r="D16" s="113">
        <v>0</v>
      </c>
      <c r="E16" s="113">
        <v>0</v>
      </c>
      <c r="F16" s="113">
        <v>0</v>
      </c>
      <c r="G16" s="113">
        <v>89835</v>
      </c>
      <c r="H16" s="113">
        <v>93162</v>
      </c>
      <c r="I16" s="113">
        <v>88753</v>
      </c>
      <c r="J16" s="113">
        <v>86396</v>
      </c>
      <c r="K16" s="187">
        <v>99940</v>
      </c>
      <c r="L16" s="187">
        <v>96789</v>
      </c>
      <c r="M16" s="187">
        <v>95873</v>
      </c>
      <c r="N16" s="187">
        <v>91918</v>
      </c>
      <c r="O16" s="187">
        <v>88777</v>
      </c>
      <c r="P16" s="187">
        <v>83280</v>
      </c>
      <c r="Q16" s="187">
        <v>81324</v>
      </c>
      <c r="R16" s="187">
        <v>76692</v>
      </c>
      <c r="S16" s="187">
        <v>75147</v>
      </c>
      <c r="T16" s="187">
        <v>67962</v>
      </c>
      <c r="U16" s="187">
        <v>61966</v>
      </c>
      <c r="V16" s="187">
        <v>55347</v>
      </c>
      <c r="W16" s="187">
        <v>52782</v>
      </c>
      <c r="X16" s="187">
        <v>58423</v>
      </c>
      <c r="Y16" s="187"/>
    </row>
    <row r="17" spans="1:42" ht="14" x14ac:dyDescent="0.15">
      <c r="A17" s="56" t="s">
        <v>75</v>
      </c>
      <c r="B17" s="97"/>
      <c r="C17" s="163">
        <v>3783</v>
      </c>
      <c r="D17" s="113">
        <v>3645</v>
      </c>
      <c r="E17" s="113">
        <v>3499</v>
      </c>
      <c r="F17" s="113">
        <v>2642</v>
      </c>
      <c r="G17" s="113">
        <v>2575</v>
      </c>
      <c r="H17" s="113">
        <v>2507</v>
      </c>
      <c r="I17" s="113">
        <v>2441</v>
      </c>
      <c r="J17" s="113">
        <v>2426</v>
      </c>
      <c r="K17" s="187">
        <v>2291</v>
      </c>
      <c r="L17" s="187">
        <v>2298</v>
      </c>
      <c r="M17" s="187">
        <v>2277</v>
      </c>
      <c r="N17" s="187">
        <v>2299</v>
      </c>
      <c r="O17" s="187">
        <v>2298</v>
      </c>
      <c r="P17" s="187">
        <v>2260</v>
      </c>
      <c r="Q17" s="187">
        <v>2302</v>
      </c>
      <c r="R17" s="187">
        <v>2299</v>
      </c>
      <c r="S17" s="187">
        <v>2255</v>
      </c>
      <c r="T17" s="187">
        <v>2056</v>
      </c>
      <c r="U17" s="187">
        <v>1996</v>
      </c>
      <c r="V17" s="187">
        <v>2055</v>
      </c>
      <c r="W17" s="187">
        <v>2069</v>
      </c>
      <c r="X17" s="187">
        <v>2072</v>
      </c>
      <c r="Y17" s="187"/>
    </row>
    <row r="18" spans="1:42" ht="14" x14ac:dyDescent="0.15">
      <c r="A18" s="56" t="s">
        <v>82</v>
      </c>
      <c r="B18" s="97"/>
      <c r="C18" s="113">
        <v>6518</v>
      </c>
      <c r="D18" s="113">
        <v>12702</v>
      </c>
      <c r="E18" s="113">
        <v>12201</v>
      </c>
      <c r="F18" s="113">
        <v>6602</v>
      </c>
      <c r="G18" s="113">
        <v>4570</v>
      </c>
      <c r="H18" s="113">
        <v>4200</v>
      </c>
      <c r="I18" s="113">
        <v>6190</v>
      </c>
      <c r="J18" s="113">
        <v>11855</v>
      </c>
      <c r="K18" s="187">
        <v>16640</v>
      </c>
      <c r="L18" s="187">
        <v>17070</v>
      </c>
      <c r="M18" s="187">
        <v>13230</v>
      </c>
      <c r="N18" s="187">
        <v>7749</v>
      </c>
      <c r="O18" s="187">
        <v>10657</v>
      </c>
      <c r="P18" s="187">
        <v>24132</v>
      </c>
      <c r="Q18" s="187">
        <v>26747</v>
      </c>
      <c r="R18" s="187">
        <v>21404</v>
      </c>
      <c r="S18" s="187">
        <v>22447</v>
      </c>
      <c r="T18" s="187">
        <v>40924</v>
      </c>
      <c r="U18" s="187">
        <v>54898</v>
      </c>
      <c r="V18" s="187">
        <v>55791</v>
      </c>
      <c r="W18" s="187">
        <v>62252</v>
      </c>
      <c r="X18" s="187">
        <v>68612</v>
      </c>
      <c r="Y18" s="187"/>
    </row>
    <row r="19" spans="1:42" ht="14" x14ac:dyDescent="0.15">
      <c r="A19" s="57" t="s">
        <v>83</v>
      </c>
      <c r="B19" s="103"/>
      <c r="C19" s="113">
        <v>45104</v>
      </c>
      <c r="D19" s="113">
        <v>41170</v>
      </c>
      <c r="E19" s="113">
        <v>114799</v>
      </c>
      <c r="F19" s="113">
        <v>95495</v>
      </c>
      <c r="G19" s="113">
        <v>90008</v>
      </c>
      <c r="H19" s="113">
        <v>84402</v>
      </c>
      <c r="I19" s="113">
        <v>78845</v>
      </c>
      <c r="J19" s="113">
        <v>73982</v>
      </c>
      <c r="K19" s="187">
        <v>69734</v>
      </c>
      <c r="L19" s="187">
        <v>66296</v>
      </c>
      <c r="M19" s="187">
        <v>62941</v>
      </c>
      <c r="N19" s="187">
        <v>59594</v>
      </c>
      <c r="O19" s="187">
        <v>56243</v>
      </c>
      <c r="P19" s="187">
        <v>52853</v>
      </c>
      <c r="Q19" s="187">
        <v>49807</v>
      </c>
      <c r="R19" s="187">
        <v>81082</v>
      </c>
      <c r="S19" s="187">
        <v>76578</v>
      </c>
      <c r="T19" s="187">
        <v>73298</v>
      </c>
      <c r="U19" s="187">
        <v>69008</v>
      </c>
      <c r="V19" s="187">
        <v>64819</v>
      </c>
      <c r="W19" s="187">
        <v>60681</v>
      </c>
      <c r="X19" s="187">
        <v>56487</v>
      </c>
      <c r="Y19" s="187"/>
    </row>
    <row r="20" spans="1:42" ht="14" x14ac:dyDescent="0.15">
      <c r="A20" s="56" t="s">
        <v>84</v>
      </c>
      <c r="B20" s="97"/>
      <c r="C20" s="113">
        <v>202337</v>
      </c>
      <c r="D20" s="113">
        <v>200981</v>
      </c>
      <c r="E20" s="113">
        <v>357533</v>
      </c>
      <c r="F20" s="113">
        <v>349984</v>
      </c>
      <c r="G20" s="113">
        <v>350239</v>
      </c>
      <c r="H20" s="113">
        <v>350220</v>
      </c>
      <c r="I20" s="113">
        <v>349530</v>
      </c>
      <c r="J20" s="113">
        <v>349529</v>
      </c>
      <c r="K20" s="187">
        <v>348076</v>
      </c>
      <c r="L20" s="187">
        <v>348110</v>
      </c>
      <c r="M20" s="187">
        <v>348723</v>
      </c>
      <c r="N20" s="187">
        <v>349088</v>
      </c>
      <c r="O20" s="187">
        <v>349098</v>
      </c>
      <c r="P20" s="187">
        <v>348747</v>
      </c>
      <c r="Q20" s="187">
        <v>348699</v>
      </c>
      <c r="R20" s="187">
        <v>403902</v>
      </c>
      <c r="S20" s="187">
        <v>404561</v>
      </c>
      <c r="T20" s="187">
        <v>406575</v>
      </c>
      <c r="U20" s="187">
        <v>405781</v>
      </c>
      <c r="V20" s="187">
        <v>405637</v>
      </c>
      <c r="W20" s="187">
        <v>405824</v>
      </c>
      <c r="X20" s="187">
        <v>405903</v>
      </c>
      <c r="Y20" s="187"/>
    </row>
    <row r="21" spans="1:42" ht="14" x14ac:dyDescent="0.15">
      <c r="A21" s="17" t="s">
        <v>85</v>
      </c>
      <c r="B21" s="97"/>
      <c r="C21" s="113">
        <v>2944</v>
      </c>
      <c r="D21" s="113">
        <v>2886</v>
      </c>
      <c r="E21" s="113">
        <v>2824</v>
      </c>
      <c r="F21" s="113">
        <v>2753</v>
      </c>
      <c r="G21" s="113">
        <v>2686</v>
      </c>
      <c r="H21" s="113">
        <v>2624</v>
      </c>
      <c r="I21" s="113">
        <v>2555</v>
      </c>
      <c r="J21" s="113">
        <v>2484</v>
      </c>
      <c r="K21" s="187">
        <v>3128</v>
      </c>
      <c r="L21" s="187">
        <v>3063</v>
      </c>
      <c r="M21" s="187">
        <v>2991</v>
      </c>
      <c r="N21" s="187">
        <v>2957</v>
      </c>
      <c r="O21" s="187">
        <v>2921</v>
      </c>
      <c r="P21" s="187">
        <v>2929</v>
      </c>
      <c r="Q21" s="187">
        <v>2957</v>
      </c>
      <c r="R21" s="187">
        <v>3004</v>
      </c>
      <c r="S21" s="187">
        <v>3118</v>
      </c>
      <c r="T21" s="187">
        <v>3261</v>
      </c>
      <c r="U21" s="187">
        <v>3369</v>
      </c>
      <c r="V21" s="187">
        <v>3438</v>
      </c>
      <c r="W21" s="187">
        <v>3504</v>
      </c>
      <c r="X21" s="187">
        <v>3570</v>
      </c>
      <c r="Y21" s="187"/>
    </row>
    <row r="22" spans="1:42" ht="14" x14ac:dyDescent="0.15">
      <c r="A22" s="17" t="s">
        <v>86</v>
      </c>
      <c r="C22" s="146">
        <v>0</v>
      </c>
      <c r="D22" s="146">
        <v>0</v>
      </c>
      <c r="E22" s="146">
        <v>0</v>
      </c>
      <c r="F22" s="146">
        <v>0</v>
      </c>
      <c r="G22" s="146">
        <v>0</v>
      </c>
      <c r="H22" s="146">
        <v>0</v>
      </c>
      <c r="I22" s="146">
        <v>0</v>
      </c>
      <c r="J22" s="146">
        <v>0</v>
      </c>
      <c r="K22" s="146">
        <v>0</v>
      </c>
      <c r="L22" s="146">
        <v>0</v>
      </c>
      <c r="M22" s="146">
        <v>0</v>
      </c>
      <c r="N22" s="146">
        <v>0</v>
      </c>
      <c r="O22" s="146">
        <v>0</v>
      </c>
      <c r="P22" s="146">
        <v>0</v>
      </c>
      <c r="Q22" s="146">
        <v>0</v>
      </c>
      <c r="R22" s="2">
        <v>186</v>
      </c>
      <c r="S22" s="113">
        <v>184</v>
      </c>
      <c r="T22" s="113">
        <v>22997</v>
      </c>
      <c r="U22" s="113">
        <v>31355</v>
      </c>
      <c r="V22" s="227">
        <v>31341</v>
      </c>
      <c r="W22" s="187">
        <v>32055</v>
      </c>
      <c r="X22" s="187">
        <v>12515</v>
      </c>
      <c r="Y22" s="187"/>
    </row>
    <row r="23" spans="1:42" ht="14" x14ac:dyDescent="0.15">
      <c r="A23" s="56" t="s">
        <v>87</v>
      </c>
      <c r="B23" s="97"/>
      <c r="C23" s="113">
        <v>33863</v>
      </c>
      <c r="D23" s="113">
        <v>36033</v>
      </c>
      <c r="E23" s="113">
        <v>32779</v>
      </c>
      <c r="F23" s="113">
        <v>31015</v>
      </c>
      <c r="G23" s="113">
        <v>33164</v>
      </c>
      <c r="H23" s="113">
        <v>33194</v>
      </c>
      <c r="I23" s="113">
        <v>32967</v>
      </c>
      <c r="J23" s="113">
        <v>36016</v>
      </c>
      <c r="K23" s="187">
        <v>32045</v>
      </c>
      <c r="L23" s="187">
        <v>31599</v>
      </c>
      <c r="M23" s="187">
        <v>34280</v>
      </c>
      <c r="N23" s="187">
        <v>32099</v>
      </c>
      <c r="O23" s="187">
        <v>29669</v>
      </c>
      <c r="P23" s="187">
        <v>27472</v>
      </c>
      <c r="Q23" s="187">
        <v>27154</v>
      </c>
      <c r="R23" s="187">
        <v>30183</v>
      </c>
      <c r="S23" s="187">
        <v>32031</v>
      </c>
      <c r="T23" s="187">
        <v>30198</v>
      </c>
      <c r="U23" s="187">
        <v>29838</v>
      </c>
      <c r="V23" s="187">
        <v>32069</v>
      </c>
      <c r="W23" s="187">
        <v>36525</v>
      </c>
      <c r="X23" s="187">
        <v>48255</v>
      </c>
      <c r="Y23" s="187"/>
      <c r="Z23" s="164"/>
    </row>
    <row r="24" spans="1:42" s="1" customFormat="1" ht="14" x14ac:dyDescent="0.15">
      <c r="A24" s="38" t="s">
        <v>88</v>
      </c>
      <c r="B24" s="102"/>
      <c r="C24" s="92">
        <f t="shared" ref="C24:X24" si="3">SUM(C13:C23)</f>
        <v>798270</v>
      </c>
      <c r="D24" s="92">
        <f t="shared" si="3"/>
        <v>790263</v>
      </c>
      <c r="E24" s="92">
        <f t="shared" si="3"/>
        <v>1045137</v>
      </c>
      <c r="F24" s="92">
        <f t="shared" si="3"/>
        <v>1061936</v>
      </c>
      <c r="G24" s="92">
        <f t="shared" si="3"/>
        <v>1182582</v>
      </c>
      <c r="H24" s="92">
        <f t="shared" si="3"/>
        <v>1137467</v>
      </c>
      <c r="I24" s="92">
        <f t="shared" si="3"/>
        <v>1145978</v>
      </c>
      <c r="J24" s="92">
        <f t="shared" si="3"/>
        <v>1183088</v>
      </c>
      <c r="K24" s="92">
        <f t="shared" si="3"/>
        <v>1267259</v>
      </c>
      <c r="L24" s="92">
        <f t="shared" si="3"/>
        <v>1193613</v>
      </c>
      <c r="M24" s="92">
        <f t="shared" si="3"/>
        <v>1219481</v>
      </c>
      <c r="N24" s="92">
        <f t="shared" si="3"/>
        <v>1247857</v>
      </c>
      <c r="O24" s="92">
        <f t="shared" si="3"/>
        <v>1226366</v>
      </c>
      <c r="P24" s="92">
        <f t="shared" si="3"/>
        <v>1169346</v>
      </c>
      <c r="Q24" s="92">
        <f t="shared" si="3"/>
        <v>1168070</v>
      </c>
      <c r="R24" s="92">
        <f t="shared" si="3"/>
        <v>1282904</v>
      </c>
      <c r="S24" s="92">
        <f t="shared" si="3"/>
        <v>1274549</v>
      </c>
      <c r="T24" s="92">
        <f t="shared" si="3"/>
        <v>1290934</v>
      </c>
      <c r="U24" s="92">
        <f t="shared" si="3"/>
        <v>1318728</v>
      </c>
      <c r="V24" s="92">
        <f t="shared" si="3"/>
        <v>1346119</v>
      </c>
      <c r="W24" s="92">
        <f t="shared" si="3"/>
        <v>1308571</v>
      </c>
      <c r="X24" s="92">
        <f t="shared" si="3"/>
        <v>1362702</v>
      </c>
      <c r="Y24" s="187"/>
      <c r="AD24" s="2"/>
      <c r="AE24" s="2"/>
      <c r="AF24" s="2"/>
      <c r="AG24" s="2"/>
      <c r="AH24" s="2"/>
      <c r="AI24" s="2"/>
      <c r="AJ24" s="2"/>
      <c r="AK24" s="2"/>
      <c r="AL24" s="2"/>
      <c r="AM24" s="2"/>
      <c r="AN24" s="2"/>
      <c r="AO24" s="2"/>
      <c r="AP24" s="2"/>
    </row>
    <row r="25" spans="1:42" ht="14" x14ac:dyDescent="0.15">
      <c r="A25" s="19" t="s">
        <v>79</v>
      </c>
      <c r="B25" s="91"/>
      <c r="Y25" s="77"/>
    </row>
    <row r="26" spans="1:42" ht="14" x14ac:dyDescent="0.15">
      <c r="A26" s="41" t="s">
        <v>89</v>
      </c>
      <c r="B26" s="101"/>
      <c r="Y26" s="77"/>
    </row>
    <row r="27" spans="1:42" ht="14" x14ac:dyDescent="0.15">
      <c r="A27" s="54" t="s">
        <v>90</v>
      </c>
      <c r="B27" s="91"/>
      <c r="Y27" s="77"/>
    </row>
    <row r="28" spans="1:42" s="1" customFormat="1" ht="14" x14ac:dyDescent="0.15">
      <c r="A28" s="55" t="s">
        <v>91</v>
      </c>
      <c r="B28" s="100"/>
      <c r="C28" s="113">
        <v>4114</v>
      </c>
      <c r="D28" s="113">
        <v>5428</v>
      </c>
      <c r="E28" s="113">
        <v>4310</v>
      </c>
      <c r="F28" s="113">
        <v>5653</v>
      </c>
      <c r="G28" s="113">
        <v>4560</v>
      </c>
      <c r="H28" s="113">
        <v>3269</v>
      </c>
      <c r="I28" s="113">
        <v>3658</v>
      </c>
      <c r="J28" s="113">
        <v>6564</v>
      </c>
      <c r="K28" s="187">
        <v>8048</v>
      </c>
      <c r="L28" s="187">
        <v>9048</v>
      </c>
      <c r="M28" s="187">
        <v>6213</v>
      </c>
      <c r="N28" s="187">
        <v>6992</v>
      </c>
      <c r="O28" s="187">
        <v>8304</v>
      </c>
      <c r="P28" s="187">
        <v>3877</v>
      </c>
      <c r="Q28" s="187">
        <v>2881</v>
      </c>
      <c r="R28" s="187">
        <v>5647</v>
      </c>
      <c r="S28" s="187">
        <v>4796</v>
      </c>
      <c r="T28" s="187">
        <v>4377</v>
      </c>
      <c r="U28" s="187">
        <v>3487</v>
      </c>
      <c r="V28" s="187">
        <v>7789</v>
      </c>
      <c r="W28" s="187">
        <v>3384</v>
      </c>
      <c r="X28" s="187">
        <v>3019</v>
      </c>
      <c r="Y28" s="187"/>
      <c r="Z28" s="240"/>
      <c r="AD28" s="2"/>
      <c r="AE28" s="2"/>
      <c r="AF28" s="2"/>
      <c r="AG28" s="2"/>
      <c r="AH28" s="2"/>
      <c r="AI28" s="2"/>
      <c r="AJ28" s="2"/>
      <c r="AK28" s="2"/>
      <c r="AL28" s="2"/>
      <c r="AM28" s="2"/>
      <c r="AN28" s="2"/>
      <c r="AO28" s="2"/>
      <c r="AP28" s="2"/>
    </row>
    <row r="29" spans="1:42" s="1" customFormat="1" ht="14" x14ac:dyDescent="0.15">
      <c r="A29" s="55" t="s">
        <v>92</v>
      </c>
      <c r="B29" s="100"/>
      <c r="C29" s="113">
        <v>318</v>
      </c>
      <c r="D29" s="113">
        <v>10318</v>
      </c>
      <c r="E29" s="113">
        <v>12318</v>
      </c>
      <c r="F29" s="113">
        <v>21423</v>
      </c>
      <c r="G29" s="113">
        <v>20876</v>
      </c>
      <c r="H29" s="113">
        <v>20885</v>
      </c>
      <c r="I29" s="113">
        <v>20876</v>
      </c>
      <c r="J29" s="113">
        <v>40867</v>
      </c>
      <c r="K29" s="187">
        <v>100666</v>
      </c>
      <c r="L29" s="187">
        <v>20657</v>
      </c>
      <c r="M29" s="187">
        <v>10474</v>
      </c>
      <c r="N29" s="187">
        <v>25000</v>
      </c>
      <c r="O29" s="187">
        <v>25000</v>
      </c>
      <c r="P29" s="187">
        <v>15000</v>
      </c>
      <c r="Q29" s="187">
        <v>15000</v>
      </c>
      <c r="R29" s="187">
        <v>260016</v>
      </c>
      <c r="S29" s="187">
        <v>35000</v>
      </c>
      <c r="T29" s="187">
        <v>35000</v>
      </c>
      <c r="U29" s="187">
        <v>35000</v>
      </c>
      <c r="V29" s="187">
        <v>30000</v>
      </c>
      <c r="W29" s="187">
        <v>40000</v>
      </c>
      <c r="X29" s="187">
        <v>30000</v>
      </c>
      <c r="Y29" s="187"/>
      <c r="AD29" s="2"/>
      <c r="AE29" s="2"/>
      <c r="AF29" s="2"/>
      <c r="AG29" s="2"/>
      <c r="AH29" s="2"/>
      <c r="AI29" s="2"/>
      <c r="AJ29" s="2"/>
      <c r="AK29" s="2"/>
      <c r="AL29" s="2"/>
      <c r="AM29" s="2"/>
      <c r="AN29" s="2"/>
      <c r="AO29" s="2"/>
      <c r="AP29" s="2"/>
    </row>
    <row r="30" spans="1:42" ht="14" x14ac:dyDescent="0.15">
      <c r="A30" s="55" t="s">
        <v>93</v>
      </c>
      <c r="B30" s="99"/>
      <c r="C30" s="113">
        <v>11504</v>
      </c>
      <c r="D30" s="113">
        <v>10448</v>
      </c>
      <c r="E30" s="113">
        <v>7600</v>
      </c>
      <c r="F30" s="113">
        <v>7722</v>
      </c>
      <c r="G30" s="113">
        <v>11132</v>
      </c>
      <c r="H30" s="113">
        <v>11790</v>
      </c>
      <c r="I30" s="113">
        <v>9585</v>
      </c>
      <c r="J30" s="113">
        <v>13436</v>
      </c>
      <c r="K30" s="187">
        <v>16038</v>
      </c>
      <c r="L30" s="187">
        <v>16752</v>
      </c>
      <c r="M30" s="187">
        <v>13562</v>
      </c>
      <c r="N30" s="187">
        <v>32649</v>
      </c>
      <c r="O30" s="187">
        <v>14764</v>
      </c>
      <c r="P30" s="187">
        <v>12017</v>
      </c>
      <c r="Q30" s="187">
        <v>11866</v>
      </c>
      <c r="R30" s="187">
        <v>20000</v>
      </c>
      <c r="S30" s="187">
        <v>22571</v>
      </c>
      <c r="T30" s="187">
        <v>22013</v>
      </c>
      <c r="U30" s="187">
        <v>19279</v>
      </c>
      <c r="V30" s="187">
        <v>18782</v>
      </c>
      <c r="W30" s="187">
        <v>21525</v>
      </c>
      <c r="X30" s="187">
        <v>20755</v>
      </c>
      <c r="Y30" s="187"/>
    </row>
    <row r="31" spans="1:42" ht="14" x14ac:dyDescent="0.15">
      <c r="A31" s="55" t="s">
        <v>94</v>
      </c>
      <c r="B31" s="99"/>
      <c r="C31" s="113">
        <v>27615</v>
      </c>
      <c r="D31" s="113">
        <v>33338</v>
      </c>
      <c r="E31" s="113">
        <v>46638</v>
      </c>
      <c r="F31" s="113">
        <v>54893</v>
      </c>
      <c r="G31" s="113">
        <v>31954</v>
      </c>
      <c r="H31" s="113">
        <v>42967</v>
      </c>
      <c r="I31" s="113">
        <v>59568</v>
      </c>
      <c r="J31" s="113">
        <v>68885</v>
      </c>
      <c r="K31" s="187">
        <v>28937</v>
      </c>
      <c r="L31" s="187">
        <v>42376</v>
      </c>
      <c r="M31" s="187">
        <v>57402</v>
      </c>
      <c r="N31" s="187">
        <v>67645</v>
      </c>
      <c r="O31" s="187">
        <v>43492</v>
      </c>
      <c r="P31" s="187">
        <v>70496</v>
      </c>
      <c r="Q31" s="187">
        <v>95833</v>
      </c>
      <c r="R31" s="187">
        <v>114285</v>
      </c>
      <c r="S31" s="187">
        <v>52276</v>
      </c>
      <c r="T31" s="187">
        <v>75698</v>
      </c>
      <c r="U31" s="187">
        <v>92252</v>
      </c>
      <c r="V31" s="187">
        <v>108100</v>
      </c>
      <c r="W31" s="187">
        <v>49955</v>
      </c>
      <c r="X31" s="187">
        <v>82044</v>
      </c>
      <c r="Y31" s="187"/>
    </row>
    <row r="32" spans="1:42" ht="14" x14ac:dyDescent="0.15">
      <c r="A32" s="55" t="s">
        <v>95</v>
      </c>
      <c r="B32" s="99"/>
      <c r="C32" s="113">
        <v>61394</v>
      </c>
      <c r="D32" s="113">
        <v>60105</v>
      </c>
      <c r="E32" s="113">
        <v>67305</v>
      </c>
      <c r="F32" s="113">
        <v>64392</v>
      </c>
      <c r="G32" s="113">
        <v>66110</v>
      </c>
      <c r="H32" s="113">
        <v>65286</v>
      </c>
      <c r="I32" s="113">
        <v>70124</v>
      </c>
      <c r="J32" s="113">
        <v>74017</v>
      </c>
      <c r="K32" s="187">
        <v>84747</v>
      </c>
      <c r="L32" s="187">
        <v>74772</v>
      </c>
      <c r="M32" s="187">
        <v>73043</v>
      </c>
      <c r="N32" s="187">
        <v>66410</v>
      </c>
      <c r="O32" s="187">
        <v>73241</v>
      </c>
      <c r="P32" s="187">
        <v>76424</v>
      </c>
      <c r="Q32" s="187">
        <v>67926</v>
      </c>
      <c r="R32" s="187">
        <v>76350</v>
      </c>
      <c r="S32" s="187">
        <v>86911</v>
      </c>
      <c r="T32" s="187">
        <v>89030</v>
      </c>
      <c r="U32" s="187">
        <v>96800</v>
      </c>
      <c r="V32" s="187">
        <v>95352</v>
      </c>
      <c r="W32" s="187">
        <v>133400</v>
      </c>
      <c r="X32" s="187">
        <v>104480</v>
      </c>
      <c r="Y32" s="187"/>
      <c r="Z32" s="240"/>
    </row>
    <row r="33" spans="1:25" ht="14" x14ac:dyDescent="0.15">
      <c r="A33" s="55" t="s">
        <v>96</v>
      </c>
      <c r="B33" s="99"/>
      <c r="C33" s="113">
        <v>0</v>
      </c>
      <c r="D33" s="113">
        <v>0</v>
      </c>
      <c r="E33" s="113">
        <v>0</v>
      </c>
      <c r="F33" s="113">
        <v>0</v>
      </c>
      <c r="G33" s="113">
        <v>22306</v>
      </c>
      <c r="H33" s="113">
        <v>23439</v>
      </c>
      <c r="I33" s="113">
        <v>23516</v>
      </c>
      <c r="J33" s="113">
        <v>24148</v>
      </c>
      <c r="K33" s="187">
        <v>18236</v>
      </c>
      <c r="L33" s="187">
        <v>18199</v>
      </c>
      <c r="M33" s="187">
        <v>19048</v>
      </c>
      <c r="N33" s="187">
        <v>18894</v>
      </c>
      <c r="O33" s="187">
        <v>18476</v>
      </c>
      <c r="P33" s="187">
        <v>18039</v>
      </c>
      <c r="Q33" s="187">
        <v>18340</v>
      </c>
      <c r="R33" s="187">
        <v>18487</v>
      </c>
      <c r="S33" s="187">
        <v>19308</v>
      </c>
      <c r="T33" s="187">
        <v>18548</v>
      </c>
      <c r="U33" s="187">
        <v>16740</v>
      </c>
      <c r="V33" s="187">
        <v>14978</v>
      </c>
      <c r="W33" s="187">
        <v>14095</v>
      </c>
      <c r="X33" s="187">
        <v>14482</v>
      </c>
      <c r="Y33" s="187"/>
    </row>
    <row r="34" spans="1:25" ht="14" x14ac:dyDescent="0.15">
      <c r="A34" s="55" t="s">
        <v>97</v>
      </c>
      <c r="B34" s="99"/>
      <c r="C34" s="113">
        <v>0</v>
      </c>
      <c r="D34" s="113">
        <v>0</v>
      </c>
      <c r="E34" s="113">
        <v>0</v>
      </c>
      <c r="F34" s="113">
        <v>1012</v>
      </c>
      <c r="G34" s="113">
        <v>595</v>
      </c>
      <c r="H34" s="113">
        <v>604</v>
      </c>
      <c r="I34" s="113">
        <v>575</v>
      </c>
      <c r="J34" s="113">
        <v>1432</v>
      </c>
      <c r="K34" s="187">
        <v>1692</v>
      </c>
      <c r="L34" s="187">
        <v>2359</v>
      </c>
      <c r="M34" s="187">
        <v>5157</v>
      </c>
      <c r="N34" s="187">
        <v>3488</v>
      </c>
      <c r="O34" s="187">
        <v>14443</v>
      </c>
      <c r="P34" s="187">
        <v>11256</v>
      </c>
      <c r="Q34" s="187">
        <v>11080</v>
      </c>
      <c r="R34" s="187">
        <v>901</v>
      </c>
      <c r="S34" s="187">
        <v>1259</v>
      </c>
      <c r="T34" s="187">
        <v>21348</v>
      </c>
      <c r="U34" s="187">
        <v>23410</v>
      </c>
      <c r="V34" s="187">
        <v>2945</v>
      </c>
      <c r="W34" s="187">
        <v>18545</v>
      </c>
      <c r="X34" s="187">
        <v>4283</v>
      </c>
      <c r="Y34" s="187"/>
    </row>
    <row r="35" spans="1:25" ht="14" x14ac:dyDescent="0.15">
      <c r="A35" s="42" t="s">
        <v>98</v>
      </c>
      <c r="B35" s="105"/>
      <c r="C35" s="104">
        <f t="shared" ref="C35:F35" si="4">SUM(C28:C34)</f>
        <v>104945</v>
      </c>
      <c r="D35" s="104">
        <f t="shared" si="4"/>
        <v>119637</v>
      </c>
      <c r="E35" s="104">
        <f t="shared" si="4"/>
        <v>138171</v>
      </c>
      <c r="F35" s="104">
        <f t="shared" si="4"/>
        <v>155095</v>
      </c>
      <c r="G35" s="104">
        <f t="shared" ref="G35:M35" si="5">SUM(G28:G34)</f>
        <v>157533</v>
      </c>
      <c r="H35" s="104">
        <f t="shared" si="5"/>
        <v>168240</v>
      </c>
      <c r="I35" s="104">
        <f t="shared" si="5"/>
        <v>187902</v>
      </c>
      <c r="J35" s="104">
        <f t="shared" si="5"/>
        <v>229349</v>
      </c>
      <c r="K35" s="104">
        <f t="shared" si="5"/>
        <v>258364</v>
      </c>
      <c r="L35" s="104">
        <f t="shared" si="5"/>
        <v>184163</v>
      </c>
      <c r="M35" s="104">
        <f t="shared" si="5"/>
        <v>184899</v>
      </c>
      <c r="N35" s="104">
        <f>ROUND(SUM(N28:N34),0)</f>
        <v>221078</v>
      </c>
      <c r="O35" s="104">
        <f t="shared" ref="O35:P35" si="6">SUM(O28:O34)</f>
        <v>197720</v>
      </c>
      <c r="P35" s="104">
        <f t="shared" si="6"/>
        <v>207109</v>
      </c>
      <c r="Q35" s="104">
        <f t="shared" ref="Q35:R35" si="7">SUM(Q28:Q34)</f>
        <v>222926</v>
      </c>
      <c r="R35" s="104">
        <f t="shared" si="7"/>
        <v>495686</v>
      </c>
      <c r="S35" s="104">
        <f t="shared" ref="S35:V35" si="8">SUM(S28:S34)</f>
        <v>222121</v>
      </c>
      <c r="T35" s="104">
        <f t="shared" si="8"/>
        <v>266014</v>
      </c>
      <c r="U35" s="104">
        <f t="shared" si="8"/>
        <v>286968</v>
      </c>
      <c r="V35" s="257">
        <f t="shared" si="8"/>
        <v>277946</v>
      </c>
      <c r="W35" s="257">
        <f t="shared" ref="W35:X35" si="9">SUM(W28:W34)</f>
        <v>280904</v>
      </c>
      <c r="X35" s="257">
        <f t="shared" si="9"/>
        <v>259063</v>
      </c>
      <c r="Y35" s="187"/>
    </row>
    <row r="36" spans="1:25" ht="14" x14ac:dyDescent="0.15">
      <c r="A36" s="59" t="s">
        <v>79</v>
      </c>
      <c r="B36" s="99"/>
      <c r="Y36" s="77"/>
    </row>
    <row r="37" spans="1:25" ht="14" x14ac:dyDescent="0.15">
      <c r="A37" s="57" t="s">
        <v>99</v>
      </c>
      <c r="B37" s="99"/>
      <c r="C37" s="113">
        <v>67355</v>
      </c>
      <c r="D37" s="113">
        <v>57326</v>
      </c>
      <c r="E37" s="113">
        <v>288309</v>
      </c>
      <c r="F37" s="113">
        <v>263241</v>
      </c>
      <c r="G37" s="113">
        <v>299765</v>
      </c>
      <c r="H37" s="113">
        <v>231409</v>
      </c>
      <c r="I37" s="113">
        <v>223916</v>
      </c>
      <c r="J37" s="113">
        <v>194131</v>
      </c>
      <c r="K37" s="113">
        <v>234820</v>
      </c>
      <c r="L37" s="113">
        <v>215527</v>
      </c>
      <c r="M37" s="113">
        <v>216235</v>
      </c>
      <c r="N37" s="113">
        <v>201961</v>
      </c>
      <c r="O37" s="113">
        <v>202687</v>
      </c>
      <c r="P37" s="113">
        <v>139432</v>
      </c>
      <c r="Q37" s="113">
        <v>170000</v>
      </c>
      <c r="R37" s="113">
        <v>0</v>
      </c>
      <c r="S37" s="113">
        <v>260000</v>
      </c>
      <c r="T37" s="113">
        <v>250000</v>
      </c>
      <c r="U37" s="113">
        <v>235000</v>
      </c>
      <c r="V37" s="113">
        <v>220000</v>
      </c>
      <c r="W37" s="113">
        <v>160000</v>
      </c>
      <c r="X37" s="113">
        <v>190000</v>
      </c>
      <c r="Y37" s="187"/>
    </row>
    <row r="38" spans="1:25" ht="14" x14ac:dyDescent="0.15">
      <c r="A38" s="55" t="s">
        <v>100</v>
      </c>
      <c r="B38" s="97"/>
      <c r="C38" s="145">
        <v>0</v>
      </c>
      <c r="D38" s="145">
        <v>0</v>
      </c>
      <c r="E38" s="113">
        <v>13352</v>
      </c>
      <c r="F38" s="113">
        <v>8445</v>
      </c>
      <c r="G38" s="113">
        <v>10103</v>
      </c>
      <c r="H38" s="113">
        <v>6366</v>
      </c>
      <c r="I38" s="113">
        <v>720</v>
      </c>
      <c r="J38" s="113">
        <v>966</v>
      </c>
      <c r="K38" s="187">
        <v>773</v>
      </c>
      <c r="L38" s="187">
        <v>705</v>
      </c>
      <c r="M38" s="187">
        <v>841</v>
      </c>
      <c r="N38" s="187">
        <v>847</v>
      </c>
      <c r="O38" s="187">
        <v>877</v>
      </c>
      <c r="P38" s="187">
        <v>902</v>
      </c>
      <c r="Q38" s="187">
        <v>901</v>
      </c>
      <c r="R38" s="187">
        <v>965</v>
      </c>
      <c r="S38" s="187">
        <v>928</v>
      </c>
      <c r="T38" s="187">
        <v>841</v>
      </c>
      <c r="U38" s="187">
        <v>759</v>
      </c>
      <c r="V38" s="187">
        <v>547</v>
      </c>
      <c r="W38" s="187">
        <v>493</v>
      </c>
      <c r="X38" s="187">
        <v>507</v>
      </c>
      <c r="Y38" s="187"/>
    </row>
    <row r="39" spans="1:25" ht="14" x14ac:dyDescent="0.15">
      <c r="A39" s="55" t="s">
        <v>101</v>
      </c>
      <c r="B39" s="97"/>
      <c r="C39" s="145">
        <v>0</v>
      </c>
      <c r="D39" s="145">
        <v>0</v>
      </c>
      <c r="E39" s="113">
        <v>0</v>
      </c>
      <c r="F39" s="113">
        <v>0</v>
      </c>
      <c r="G39" s="113">
        <v>77060</v>
      </c>
      <c r="H39" s="113">
        <v>80531</v>
      </c>
      <c r="I39" s="113">
        <v>76080</v>
      </c>
      <c r="J39" s="113">
        <v>74709</v>
      </c>
      <c r="K39" s="187">
        <v>93707</v>
      </c>
      <c r="L39" s="187">
        <v>90934</v>
      </c>
      <c r="M39" s="187">
        <v>89412</v>
      </c>
      <c r="N39" s="187">
        <v>84874</v>
      </c>
      <c r="O39" s="187">
        <v>81948</v>
      </c>
      <c r="P39" s="187">
        <v>76518</v>
      </c>
      <c r="Q39" s="187">
        <v>73939</v>
      </c>
      <c r="R39" s="187">
        <v>68506</v>
      </c>
      <c r="S39" s="187">
        <v>66173</v>
      </c>
      <c r="T39" s="187">
        <v>59224</v>
      </c>
      <c r="U39" s="187">
        <v>54174</v>
      </c>
      <c r="V39" s="187">
        <v>48155</v>
      </c>
      <c r="W39" s="187">
        <v>45655</v>
      </c>
      <c r="X39" s="187">
        <v>50575</v>
      </c>
      <c r="Y39" s="187"/>
    </row>
    <row r="40" spans="1:25" ht="14" x14ac:dyDescent="0.15">
      <c r="A40" s="226" t="s">
        <v>102</v>
      </c>
      <c r="B40" s="97"/>
      <c r="C40" s="113">
        <v>24265</v>
      </c>
      <c r="D40" s="113">
        <v>27821</v>
      </c>
      <c r="E40" s="113">
        <v>30857</v>
      </c>
      <c r="F40" s="113">
        <v>16836</v>
      </c>
      <c r="G40" s="113">
        <v>7286</v>
      </c>
      <c r="H40" s="113">
        <v>9568</v>
      </c>
      <c r="I40" s="113">
        <v>9677</v>
      </c>
      <c r="J40" s="113">
        <f>12142+1790</f>
        <v>13932</v>
      </c>
      <c r="K40" s="187">
        <f>21901+1790</f>
        <v>23691</v>
      </c>
      <c r="L40" s="187">
        <v>21356</v>
      </c>
      <c r="M40" s="187">
        <v>18166</v>
      </c>
      <c r="N40" s="187">
        <v>19925</v>
      </c>
      <c r="O40" s="187">
        <v>16909</v>
      </c>
      <c r="P40" s="187">
        <v>17371</v>
      </c>
      <c r="Q40" s="187">
        <v>15319</v>
      </c>
      <c r="R40" s="187">
        <v>24591</v>
      </c>
      <c r="S40" s="187">
        <v>24986</v>
      </c>
      <c r="T40" s="187">
        <v>29202</v>
      </c>
      <c r="U40" s="187">
        <v>37243</v>
      </c>
      <c r="V40" s="187">
        <v>41292</v>
      </c>
      <c r="W40" s="187">
        <v>26297</v>
      </c>
      <c r="X40" s="187">
        <v>28343</v>
      </c>
      <c r="Y40" s="187"/>
    </row>
    <row r="41" spans="1:25" ht="14" x14ac:dyDescent="0.15">
      <c r="A41" s="35" t="s">
        <v>103</v>
      </c>
      <c r="B41" s="36"/>
      <c r="C41" s="93">
        <f t="shared" ref="C41:M41" si="10">SUM(C35:C40)</f>
        <v>196565</v>
      </c>
      <c r="D41" s="93">
        <f t="shared" si="10"/>
        <v>204784</v>
      </c>
      <c r="E41" s="93">
        <f t="shared" si="10"/>
        <v>470689</v>
      </c>
      <c r="F41" s="93">
        <f t="shared" si="10"/>
        <v>443617</v>
      </c>
      <c r="G41" s="93">
        <f t="shared" si="10"/>
        <v>551747</v>
      </c>
      <c r="H41" s="93">
        <f t="shared" si="10"/>
        <v>496114</v>
      </c>
      <c r="I41" s="93">
        <f t="shared" si="10"/>
        <v>498295</v>
      </c>
      <c r="J41" s="93">
        <f t="shared" si="10"/>
        <v>513087</v>
      </c>
      <c r="K41" s="93">
        <f t="shared" si="10"/>
        <v>611355</v>
      </c>
      <c r="L41" s="93">
        <f t="shared" si="10"/>
        <v>512685</v>
      </c>
      <c r="M41" s="93">
        <f t="shared" si="10"/>
        <v>509553</v>
      </c>
      <c r="N41" s="93">
        <f>ROUND(SUM(N35:N40),0)</f>
        <v>528685</v>
      </c>
      <c r="O41" s="93">
        <f t="shared" ref="O41:V41" si="11">SUM(O35:O40)</f>
        <v>500141</v>
      </c>
      <c r="P41" s="93">
        <f t="shared" si="11"/>
        <v>441332</v>
      </c>
      <c r="Q41" s="93">
        <f t="shared" si="11"/>
        <v>483085</v>
      </c>
      <c r="R41" s="93">
        <f t="shared" si="11"/>
        <v>589748</v>
      </c>
      <c r="S41" s="93">
        <f t="shared" si="11"/>
        <v>574208</v>
      </c>
      <c r="T41" s="93">
        <f t="shared" si="11"/>
        <v>605281</v>
      </c>
      <c r="U41" s="93">
        <f t="shared" si="11"/>
        <v>614144</v>
      </c>
      <c r="V41" s="93">
        <f t="shared" si="11"/>
        <v>587940</v>
      </c>
      <c r="W41" s="93">
        <f t="shared" ref="W41:X41" si="12">SUM(W35:W40)</f>
        <v>513349</v>
      </c>
      <c r="X41" s="93">
        <f t="shared" si="12"/>
        <v>528488</v>
      </c>
      <c r="Y41" s="187"/>
    </row>
    <row r="42" spans="1:25" ht="14" x14ac:dyDescent="0.15">
      <c r="A42" s="16" t="s">
        <v>79</v>
      </c>
      <c r="Y42" s="77"/>
    </row>
    <row r="43" spans="1:25" ht="14" x14ac:dyDescent="0.15">
      <c r="A43" s="18" t="s">
        <v>104</v>
      </c>
      <c r="B43" s="1"/>
      <c r="Y43" s="77"/>
    </row>
    <row r="44" spans="1:25" x14ac:dyDescent="0.15">
      <c r="A44" s="18"/>
      <c r="B44" s="1"/>
      <c r="Y44" s="77"/>
    </row>
    <row r="45" spans="1:25" ht="14" x14ac:dyDescent="0.15">
      <c r="A45" s="17" t="s">
        <v>105</v>
      </c>
      <c r="C45" s="113">
        <v>38</v>
      </c>
      <c r="D45" s="113">
        <v>38</v>
      </c>
      <c r="E45" s="113">
        <v>38</v>
      </c>
      <c r="F45" s="113">
        <v>38</v>
      </c>
      <c r="G45" s="113">
        <v>38</v>
      </c>
      <c r="H45" s="113">
        <v>38</v>
      </c>
      <c r="I45" s="113">
        <v>38</v>
      </c>
      <c r="J45" s="113">
        <v>39</v>
      </c>
      <c r="K45" s="187">
        <v>39</v>
      </c>
      <c r="L45" s="187">
        <v>39</v>
      </c>
      <c r="M45" s="187">
        <v>39</v>
      </c>
      <c r="N45" s="187">
        <v>39</v>
      </c>
      <c r="O45" s="187">
        <v>39</v>
      </c>
      <c r="P45" s="187">
        <v>39</v>
      </c>
      <c r="Q45" s="187">
        <v>39</v>
      </c>
      <c r="R45" s="187">
        <v>40</v>
      </c>
      <c r="S45" s="187">
        <v>40</v>
      </c>
      <c r="T45" s="187">
        <v>40</v>
      </c>
      <c r="U45" s="187">
        <v>40</v>
      </c>
      <c r="V45" s="187">
        <v>40</v>
      </c>
      <c r="W45" s="187">
        <v>40</v>
      </c>
      <c r="X45" s="187">
        <v>40</v>
      </c>
      <c r="Y45" s="187"/>
    </row>
    <row r="46" spans="1:25" ht="14" x14ac:dyDescent="0.15">
      <c r="A46" s="17" t="s">
        <v>106</v>
      </c>
      <c r="C46" s="113">
        <v>327750</v>
      </c>
      <c r="D46" s="113">
        <v>334643</v>
      </c>
      <c r="E46" s="113">
        <v>344720</v>
      </c>
      <c r="F46" s="113">
        <v>364179</v>
      </c>
      <c r="G46" s="113">
        <v>371144</v>
      </c>
      <c r="H46" s="113">
        <v>378633</v>
      </c>
      <c r="I46" s="113">
        <v>386060</v>
      </c>
      <c r="J46" s="113">
        <v>391240</v>
      </c>
      <c r="K46" s="187">
        <v>396939</v>
      </c>
      <c r="L46" s="187">
        <v>404704</v>
      </c>
      <c r="M46" s="187">
        <v>413135</v>
      </c>
      <c r="N46" s="187">
        <v>420976</v>
      </c>
      <c r="O46" s="187">
        <v>428882</v>
      </c>
      <c r="P46" s="187">
        <v>439051</v>
      </c>
      <c r="Q46" s="187">
        <v>385917</v>
      </c>
      <c r="R46" s="187">
        <v>395742</v>
      </c>
      <c r="S46" s="187">
        <v>406966</v>
      </c>
      <c r="T46" s="187">
        <v>420306</v>
      </c>
      <c r="U46" s="187">
        <v>432492</v>
      </c>
      <c r="V46" s="187">
        <v>445108</v>
      </c>
      <c r="W46" s="187">
        <v>460527</v>
      </c>
      <c r="X46" s="187">
        <v>472124</v>
      </c>
      <c r="Y46" s="187"/>
    </row>
    <row r="47" spans="1:25" ht="14" x14ac:dyDescent="0.15">
      <c r="A47" s="56" t="s">
        <v>107</v>
      </c>
      <c r="B47" s="58"/>
      <c r="C47" s="113">
        <v>450676</v>
      </c>
      <c r="D47" s="113">
        <v>465138</v>
      </c>
      <c r="E47" s="113">
        <v>480387</v>
      </c>
      <c r="F47" s="113">
        <v>484244</v>
      </c>
      <c r="G47" s="113">
        <v>498939</v>
      </c>
      <c r="H47" s="113">
        <v>511503</v>
      </c>
      <c r="I47" s="113">
        <v>530547</v>
      </c>
      <c r="J47" s="113">
        <v>551903</v>
      </c>
      <c r="K47" s="187">
        <v>574314</v>
      </c>
      <c r="L47" s="187">
        <v>582743</v>
      </c>
      <c r="M47" s="187">
        <v>609161</v>
      </c>
      <c r="N47" s="187">
        <v>641379</v>
      </c>
      <c r="O47" s="187">
        <v>673310</v>
      </c>
      <c r="P47" s="187">
        <v>701331</v>
      </c>
      <c r="Q47" s="187">
        <v>727838</v>
      </c>
      <c r="R47" s="187">
        <v>756137</v>
      </c>
      <c r="S47" s="187">
        <v>792315</v>
      </c>
      <c r="T47" s="187">
        <v>828161</v>
      </c>
      <c r="U47" s="187">
        <v>867256</v>
      </c>
      <c r="V47" s="187">
        <v>899105</v>
      </c>
      <c r="W47" s="187">
        <v>950436</v>
      </c>
      <c r="X47" s="187">
        <v>999504</v>
      </c>
      <c r="Y47" s="187"/>
    </row>
    <row r="48" spans="1:25" ht="14" x14ac:dyDescent="0.15">
      <c r="A48" s="56" t="s">
        <v>108</v>
      </c>
      <c r="B48" s="58"/>
      <c r="C48" s="113">
        <v>-59670</v>
      </c>
      <c r="D48" s="113">
        <v>-87621</v>
      </c>
      <c r="E48" s="113">
        <v>-114330</v>
      </c>
      <c r="F48" s="113">
        <v>-83467</v>
      </c>
      <c r="G48" s="113">
        <v>-77212</v>
      </c>
      <c r="H48" s="113">
        <v>-74358</v>
      </c>
      <c r="I48" s="113">
        <v>-86153</v>
      </c>
      <c r="J48" s="113">
        <v>-84892</v>
      </c>
      <c r="K48" s="187">
        <v>-113104</v>
      </c>
      <c r="L48" s="187">
        <v>-104274</v>
      </c>
      <c r="M48" s="187">
        <v>-85217</v>
      </c>
      <c r="N48" s="187">
        <v>-74984</v>
      </c>
      <c r="O48" s="187">
        <v>-78753</v>
      </c>
      <c r="P48" s="187">
        <v>-86745</v>
      </c>
      <c r="Q48" s="187">
        <v>-92257</v>
      </c>
      <c r="R48" s="187">
        <v>-89474</v>
      </c>
      <c r="S48" s="187">
        <v>-98306</v>
      </c>
      <c r="T48" s="187">
        <v>-133374</v>
      </c>
      <c r="U48" s="187">
        <v>-154203</v>
      </c>
      <c r="V48" s="187">
        <v>-144143</v>
      </c>
      <c r="W48" s="187">
        <v>-131487</v>
      </c>
      <c r="X48" s="187">
        <v>-124147</v>
      </c>
      <c r="Y48" s="187"/>
    </row>
    <row r="49" spans="1:213" ht="14" x14ac:dyDescent="0.15">
      <c r="A49" s="17" t="s">
        <v>109</v>
      </c>
      <c r="C49" s="113">
        <v>-117320</v>
      </c>
      <c r="D49" s="113">
        <v>-126952</v>
      </c>
      <c r="E49" s="113">
        <v>-136609</v>
      </c>
      <c r="F49" s="113">
        <v>-146925</v>
      </c>
      <c r="G49" s="113">
        <v>-162333</v>
      </c>
      <c r="H49" s="113">
        <v>-174463</v>
      </c>
      <c r="I49" s="113">
        <v>-182809</v>
      </c>
      <c r="J49" s="113">
        <v>-188289</v>
      </c>
      <c r="K49" s="187">
        <v>-202284</v>
      </c>
      <c r="L49" s="187">
        <v>-202284</v>
      </c>
      <c r="M49" s="187">
        <v>-227190</v>
      </c>
      <c r="N49" s="187">
        <v>-268238</v>
      </c>
      <c r="O49" s="187">
        <v>-297253</v>
      </c>
      <c r="P49" s="187">
        <v>-325662</v>
      </c>
      <c r="Q49" s="187">
        <v>-336552</v>
      </c>
      <c r="R49" s="187">
        <v>-369289</v>
      </c>
      <c r="S49" s="187">
        <v>-400674</v>
      </c>
      <c r="T49" s="187">
        <v>-429480</v>
      </c>
      <c r="U49" s="187">
        <v>-441001</v>
      </c>
      <c r="V49" s="187">
        <v>-441931</v>
      </c>
      <c r="W49" s="187">
        <v>-484294</v>
      </c>
      <c r="X49" s="187">
        <v>-513307</v>
      </c>
      <c r="Y49" s="187"/>
    </row>
    <row r="50" spans="1:213" ht="14" x14ac:dyDescent="0.15">
      <c r="A50" s="94" t="s">
        <v>110</v>
      </c>
      <c r="B50" s="36"/>
      <c r="C50" s="93">
        <f t="shared" ref="C50:M50" si="13">SUM(C43:C49)</f>
        <v>601474</v>
      </c>
      <c r="D50" s="93">
        <f t="shared" si="13"/>
        <v>585246</v>
      </c>
      <c r="E50" s="93">
        <f t="shared" si="13"/>
        <v>574206</v>
      </c>
      <c r="F50" s="93">
        <f t="shared" si="13"/>
        <v>618069</v>
      </c>
      <c r="G50" s="93">
        <f t="shared" si="13"/>
        <v>630576</v>
      </c>
      <c r="H50" s="93">
        <f t="shared" si="13"/>
        <v>641353</v>
      </c>
      <c r="I50" s="93">
        <f t="shared" si="13"/>
        <v>647683</v>
      </c>
      <c r="J50" s="93">
        <f t="shared" si="13"/>
        <v>670001</v>
      </c>
      <c r="K50" s="93">
        <f t="shared" si="13"/>
        <v>655904</v>
      </c>
      <c r="L50" s="93">
        <f t="shared" si="13"/>
        <v>680928</v>
      </c>
      <c r="M50" s="93">
        <f t="shared" si="13"/>
        <v>709928</v>
      </c>
      <c r="N50" s="93">
        <f>ROUND(SUM(N43:N49),0)</f>
        <v>719172</v>
      </c>
      <c r="O50" s="93">
        <f t="shared" ref="O50:V50" si="14">SUM(O43:O49)</f>
        <v>726225</v>
      </c>
      <c r="P50" s="93">
        <f t="shared" si="14"/>
        <v>728014</v>
      </c>
      <c r="Q50" s="93">
        <f t="shared" si="14"/>
        <v>684985</v>
      </c>
      <c r="R50" s="93">
        <f t="shared" si="14"/>
        <v>693156</v>
      </c>
      <c r="S50" s="93">
        <f t="shared" si="14"/>
        <v>700341</v>
      </c>
      <c r="T50" s="93">
        <f t="shared" si="14"/>
        <v>685653</v>
      </c>
      <c r="U50" s="93">
        <f t="shared" si="14"/>
        <v>704584</v>
      </c>
      <c r="V50" s="93">
        <f t="shared" si="14"/>
        <v>758179</v>
      </c>
      <c r="W50" s="93">
        <f t="shared" ref="W50:X50" si="15">SUM(W43:W49)</f>
        <v>795222</v>
      </c>
      <c r="X50" s="93">
        <f t="shared" si="15"/>
        <v>834214</v>
      </c>
      <c r="Y50" s="187"/>
    </row>
    <row r="51" spans="1:213" ht="14" x14ac:dyDescent="0.15">
      <c r="A51" s="96" t="s">
        <v>111</v>
      </c>
      <c r="B51" s="1"/>
      <c r="C51" s="2">
        <v>231</v>
      </c>
      <c r="D51" s="2">
        <v>233</v>
      </c>
      <c r="E51" s="113">
        <v>242</v>
      </c>
      <c r="F51" s="113">
        <v>250</v>
      </c>
      <c r="G51" s="113">
        <v>259</v>
      </c>
      <c r="H51" s="187">
        <v>0</v>
      </c>
      <c r="I51" s="187">
        <v>0</v>
      </c>
      <c r="J51" s="187">
        <v>0</v>
      </c>
      <c r="K51" s="187">
        <v>0</v>
      </c>
      <c r="L51" s="187">
        <v>0</v>
      </c>
      <c r="M51" s="187">
        <v>0</v>
      </c>
      <c r="N51" s="187">
        <v>0</v>
      </c>
      <c r="O51" s="187">
        <v>0</v>
      </c>
      <c r="P51" s="187">
        <v>0</v>
      </c>
      <c r="Q51" s="187">
        <v>0</v>
      </c>
      <c r="R51" s="187">
        <v>0</v>
      </c>
      <c r="S51" s="187">
        <v>0</v>
      </c>
      <c r="T51" s="187">
        <v>0</v>
      </c>
      <c r="U51" s="187">
        <v>0</v>
      </c>
      <c r="V51" s="187">
        <v>0</v>
      </c>
      <c r="W51" s="187">
        <v>0</v>
      </c>
      <c r="X51" s="187">
        <v>0</v>
      </c>
      <c r="Y51" s="187"/>
    </row>
    <row r="52" spans="1:213" ht="14" x14ac:dyDescent="0.15">
      <c r="A52" s="94" t="s">
        <v>112</v>
      </c>
      <c r="B52" s="36"/>
      <c r="C52" s="93">
        <f t="shared" ref="C52:N52" si="16">SUM(C50:C51)</f>
        <v>601705</v>
      </c>
      <c r="D52" s="93">
        <f t="shared" si="16"/>
        <v>585479</v>
      </c>
      <c r="E52" s="93">
        <f t="shared" si="16"/>
        <v>574448</v>
      </c>
      <c r="F52" s="93">
        <f t="shared" si="16"/>
        <v>618319</v>
      </c>
      <c r="G52" s="93">
        <f t="shared" si="16"/>
        <v>630835</v>
      </c>
      <c r="H52" s="93">
        <f t="shared" si="16"/>
        <v>641353</v>
      </c>
      <c r="I52" s="93">
        <f t="shared" si="16"/>
        <v>647683</v>
      </c>
      <c r="J52" s="93">
        <f t="shared" si="16"/>
        <v>670001</v>
      </c>
      <c r="K52" s="93">
        <f t="shared" si="16"/>
        <v>655904</v>
      </c>
      <c r="L52" s="93">
        <f t="shared" si="16"/>
        <v>680928</v>
      </c>
      <c r="M52" s="93">
        <f t="shared" si="16"/>
        <v>709928</v>
      </c>
      <c r="N52" s="93">
        <f t="shared" si="16"/>
        <v>719172</v>
      </c>
      <c r="O52" s="93">
        <f t="shared" ref="O52:P52" si="17">SUM(O50:O51)</f>
        <v>726225</v>
      </c>
      <c r="P52" s="93">
        <f t="shared" si="17"/>
        <v>728014</v>
      </c>
      <c r="Q52" s="93">
        <f t="shared" ref="Q52:T52" si="18">SUM(Q50:Q51)</f>
        <v>684985</v>
      </c>
      <c r="R52" s="93">
        <f t="shared" si="18"/>
        <v>693156</v>
      </c>
      <c r="S52" s="93">
        <f t="shared" si="18"/>
        <v>700341</v>
      </c>
      <c r="T52" s="93">
        <f t="shared" si="18"/>
        <v>685653</v>
      </c>
      <c r="U52" s="93">
        <f t="shared" ref="U52:V52" si="19">SUM(U50:U51)</f>
        <v>704584</v>
      </c>
      <c r="V52" s="93">
        <f t="shared" si="19"/>
        <v>758179</v>
      </c>
      <c r="W52" s="93">
        <f t="shared" ref="W52:X52" si="20">SUM(W50:W51)</f>
        <v>795222</v>
      </c>
      <c r="X52" s="93">
        <f t="shared" si="20"/>
        <v>834214</v>
      </c>
      <c r="Y52" s="187"/>
    </row>
    <row r="53" spans="1:213" ht="14" x14ac:dyDescent="0.15">
      <c r="A53" s="19" t="s">
        <v>79</v>
      </c>
      <c r="Y53" s="77"/>
    </row>
    <row r="54" spans="1:213" s="40" customFormat="1" ht="14" x14ac:dyDescent="0.15">
      <c r="A54" s="38" t="s">
        <v>113</v>
      </c>
      <c r="B54" s="39"/>
      <c r="C54" s="92">
        <f t="shared" ref="C54:M54" si="21">C52+C41</f>
        <v>798270</v>
      </c>
      <c r="D54" s="92">
        <f t="shared" si="21"/>
        <v>790263</v>
      </c>
      <c r="E54" s="92">
        <f t="shared" si="21"/>
        <v>1045137</v>
      </c>
      <c r="F54" s="92">
        <f t="shared" si="21"/>
        <v>1061936</v>
      </c>
      <c r="G54" s="92">
        <f t="shared" si="21"/>
        <v>1182582</v>
      </c>
      <c r="H54" s="92">
        <f t="shared" si="21"/>
        <v>1137467</v>
      </c>
      <c r="I54" s="92">
        <f t="shared" si="21"/>
        <v>1145978</v>
      </c>
      <c r="J54" s="92">
        <f t="shared" si="21"/>
        <v>1183088</v>
      </c>
      <c r="K54" s="92">
        <f t="shared" si="21"/>
        <v>1267259</v>
      </c>
      <c r="L54" s="92">
        <f t="shared" si="21"/>
        <v>1193613</v>
      </c>
      <c r="M54" s="92">
        <f t="shared" si="21"/>
        <v>1219481</v>
      </c>
      <c r="N54" s="92">
        <f>ROUND(N52+N41,0)</f>
        <v>1247857</v>
      </c>
      <c r="O54" s="92">
        <f t="shared" ref="O54:V54" si="22">O52+O41</f>
        <v>1226366</v>
      </c>
      <c r="P54" s="92">
        <f t="shared" si="22"/>
        <v>1169346</v>
      </c>
      <c r="Q54" s="92">
        <f t="shared" si="22"/>
        <v>1168070</v>
      </c>
      <c r="R54" s="92">
        <f t="shared" si="22"/>
        <v>1282904</v>
      </c>
      <c r="S54" s="92">
        <f t="shared" si="22"/>
        <v>1274549</v>
      </c>
      <c r="T54" s="92">
        <f t="shared" si="22"/>
        <v>1290934</v>
      </c>
      <c r="U54" s="92">
        <f t="shared" si="22"/>
        <v>1318728</v>
      </c>
      <c r="V54" s="92">
        <f t="shared" si="22"/>
        <v>1346119</v>
      </c>
      <c r="W54" s="92">
        <f t="shared" ref="W54:X54" si="23">W52+W41</f>
        <v>1308571</v>
      </c>
      <c r="X54" s="92">
        <f t="shared" si="23"/>
        <v>1362702</v>
      </c>
      <c r="Y54" s="187"/>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row>
    <row r="55" spans="1:213" hidden="1" x14ac:dyDescent="0.15"/>
    <row r="56" spans="1:213" hidden="1" x14ac:dyDescent="0.15"/>
    <row r="57" spans="1:213" hidden="1" x14ac:dyDescent="0.15"/>
    <row r="58" spans="1:213" hidden="1" x14ac:dyDescent="0.15"/>
    <row r="60" spans="1:213" x14ac:dyDescent="0.15">
      <c r="C60" s="146"/>
      <c r="D60" s="146"/>
      <c r="E60" s="113"/>
      <c r="F60" s="113"/>
      <c r="G60" s="113"/>
      <c r="H60" s="113"/>
      <c r="I60" s="113"/>
      <c r="J60" s="113"/>
      <c r="K60" s="113"/>
      <c r="L60" s="113"/>
      <c r="M60" s="113"/>
      <c r="N60" s="113"/>
      <c r="O60" s="113"/>
      <c r="P60" s="113"/>
      <c r="Q60" s="113"/>
      <c r="R60" s="113"/>
      <c r="S60" s="113"/>
      <c r="T60" s="113"/>
      <c r="U60" s="113"/>
      <c r="V60" s="113"/>
      <c r="W60" s="113"/>
      <c r="X60" s="113"/>
    </row>
    <row r="62" spans="1:213" x14ac:dyDescent="0.15">
      <c r="A62" s="2"/>
    </row>
    <row r="63" spans="1:213" x14ac:dyDescent="0.15">
      <c r="A63" s="2"/>
    </row>
    <row r="64" spans="1:213" x14ac:dyDescent="0.15">
      <c r="A64" s="2"/>
    </row>
    <row r="65" spans="1:1" x14ac:dyDescent="0.15">
      <c r="A65" s="2"/>
    </row>
  </sheetData>
  <phoneticPr fontId="16" type="noConversion"/>
  <pageMargins left="0.7" right="0.7" top="0.33" bottom="0.38" header="0.3" footer="0.3"/>
  <pageSetup paperSize="9" scale="5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V72"/>
  <sheetViews>
    <sheetView showGridLines="0" view="pageBreakPreview" zoomScale="90" zoomScaleNormal="90" zoomScaleSheetLayoutView="90" workbookViewId="0">
      <pane xSplit="1" ySplit="5" topLeftCell="R6" activePane="bottomRight" state="frozen"/>
      <selection pane="topRight" activeCell="I106" sqref="I106"/>
      <selection pane="bottomLeft" activeCell="I106" sqref="I106"/>
      <selection pane="bottomRight" activeCell="AC4" sqref="AC4"/>
    </sheetView>
  </sheetViews>
  <sheetFormatPr baseColWidth="10" defaultColWidth="9.1640625" defaultRowHeight="13" outlineLevelCol="1" x14ac:dyDescent="0.15"/>
  <cols>
    <col min="1" max="1" width="72.5" style="2" customWidth="1"/>
    <col min="2" max="5" width="13" style="138" hidden="1" customWidth="1" outlineLevel="1"/>
    <col min="6" max="6" width="10.6640625" style="21" customWidth="1" collapsed="1"/>
    <col min="7" max="7" width="10.6640625" style="21" hidden="1" customWidth="1" outlineLevel="1"/>
    <col min="8" max="10" width="11.5" style="21" hidden="1" customWidth="1" outlineLevel="1"/>
    <col min="11" max="11" width="11" style="21" customWidth="1" collapsed="1"/>
    <col min="12" max="12" width="11" style="21" hidden="1" customWidth="1"/>
    <col min="13" max="23" width="11" style="21" customWidth="1"/>
    <col min="24" max="24" width="10" style="2" bestFit="1" customWidth="1"/>
    <col min="25" max="29" width="11.6640625" style="2" bestFit="1" customWidth="1"/>
    <col min="30" max="30" width="11.1640625" style="2" customWidth="1"/>
    <col min="31" max="31" width="11.6640625" style="2" customWidth="1"/>
    <col min="32" max="16384" width="9.1640625" style="2"/>
  </cols>
  <sheetData>
    <row r="1" spans="1:61" x14ac:dyDescent="0.15">
      <c r="A1" s="8"/>
      <c r="AD1" s="238"/>
      <c r="AE1" s="238"/>
      <c r="AF1" s="266"/>
    </row>
    <row r="2" spans="1:61" x14ac:dyDescent="0.15">
      <c r="A2" s="9"/>
    </row>
    <row r="3" spans="1:61" ht="28.5" customHeight="1" x14ac:dyDescent="0.15">
      <c r="B3" s="214"/>
    </row>
    <row r="4" spans="1:61" x14ac:dyDescent="0.15">
      <c r="A4" s="7" t="s">
        <v>114</v>
      </c>
      <c r="B4" s="3">
        <v>2018</v>
      </c>
      <c r="C4" s="3">
        <v>2018</v>
      </c>
      <c r="D4" s="3">
        <v>2018</v>
      </c>
      <c r="E4" s="3">
        <v>2018</v>
      </c>
      <c r="F4" s="4">
        <v>2018</v>
      </c>
      <c r="G4" s="4">
        <v>2019</v>
      </c>
      <c r="H4" s="4">
        <v>2019</v>
      </c>
      <c r="I4" s="4">
        <v>2019</v>
      </c>
      <c r="J4" s="4">
        <v>2019</v>
      </c>
      <c r="K4" s="4">
        <v>2019</v>
      </c>
      <c r="M4" s="4">
        <v>2020</v>
      </c>
      <c r="N4" s="4">
        <v>2020</v>
      </c>
      <c r="O4" s="4">
        <v>2020</v>
      </c>
      <c r="P4" s="4">
        <v>2020</v>
      </c>
      <c r="Q4" s="4">
        <v>2020</v>
      </c>
      <c r="R4" s="4">
        <v>2021</v>
      </c>
      <c r="S4" s="4">
        <v>2021</v>
      </c>
      <c r="T4" s="4">
        <v>2021</v>
      </c>
      <c r="U4" s="4">
        <v>2021</v>
      </c>
      <c r="V4" s="4">
        <v>2021</v>
      </c>
      <c r="W4" s="4">
        <v>2022</v>
      </c>
      <c r="X4" s="4">
        <v>2022</v>
      </c>
      <c r="Y4" s="4">
        <v>2022</v>
      </c>
      <c r="Z4" s="4">
        <v>2022</v>
      </c>
      <c r="AA4" s="4">
        <v>2022</v>
      </c>
      <c r="AB4" s="4">
        <v>2023</v>
      </c>
      <c r="AC4" s="4">
        <v>2023</v>
      </c>
    </row>
    <row r="5" spans="1:61" x14ac:dyDescent="0.15">
      <c r="A5" s="22" t="s">
        <v>70</v>
      </c>
      <c r="B5" s="3" t="s">
        <v>115</v>
      </c>
      <c r="C5" s="3" t="s">
        <v>116</v>
      </c>
      <c r="D5" s="3" t="s">
        <v>117</v>
      </c>
      <c r="E5" s="3" t="s">
        <v>118</v>
      </c>
      <c r="F5" s="4" t="s">
        <v>10</v>
      </c>
      <c r="G5" s="3" t="s">
        <v>115</v>
      </c>
      <c r="H5" s="3" t="s">
        <v>116</v>
      </c>
      <c r="I5" s="4" t="s">
        <v>117</v>
      </c>
      <c r="J5" s="4" t="s">
        <v>118</v>
      </c>
      <c r="K5" s="4" t="s">
        <v>10</v>
      </c>
      <c r="M5" s="3" t="s">
        <v>115</v>
      </c>
      <c r="N5" s="3" t="s">
        <v>116</v>
      </c>
      <c r="O5" s="3" t="s">
        <v>117</v>
      </c>
      <c r="P5" s="3" t="s">
        <v>118</v>
      </c>
      <c r="Q5" s="3" t="s">
        <v>10</v>
      </c>
      <c r="R5" s="3" t="s">
        <v>115</v>
      </c>
      <c r="S5" s="3" t="s">
        <v>116</v>
      </c>
      <c r="T5" s="3" t="s">
        <v>117</v>
      </c>
      <c r="U5" s="3" t="s">
        <v>118</v>
      </c>
      <c r="V5" s="3" t="s">
        <v>10</v>
      </c>
      <c r="W5" s="3" t="s">
        <v>6</v>
      </c>
      <c r="X5" s="3" t="s">
        <v>7</v>
      </c>
      <c r="Y5" s="3" t="s">
        <v>8</v>
      </c>
      <c r="Z5" s="3" t="s">
        <v>118</v>
      </c>
      <c r="AA5" s="3" t="s">
        <v>10</v>
      </c>
      <c r="AB5" s="3" t="s">
        <v>6</v>
      </c>
      <c r="AC5" s="3" t="s">
        <v>7</v>
      </c>
      <c r="AD5" s="251"/>
    </row>
    <row r="6" spans="1:61" s="1" customFormat="1" x14ac:dyDescent="0.15">
      <c r="B6" s="117"/>
      <c r="C6" s="117"/>
      <c r="D6" s="117"/>
      <c r="E6" s="117"/>
      <c r="F6" s="10"/>
      <c r="G6" s="10"/>
      <c r="H6" s="10"/>
      <c r="I6" s="10"/>
      <c r="J6" s="10"/>
      <c r="K6" s="10"/>
      <c r="M6" s="10"/>
      <c r="N6" s="10"/>
      <c r="O6" s="10"/>
      <c r="P6" s="10"/>
      <c r="Q6" s="10"/>
      <c r="R6" s="10"/>
      <c r="S6" s="10"/>
      <c r="T6" s="10"/>
      <c r="U6" s="10"/>
      <c r="V6" s="10"/>
      <c r="W6" s="10"/>
    </row>
    <row r="7" spans="1:61" x14ac:dyDescent="0.15">
      <c r="A7" s="10" t="s">
        <v>119</v>
      </c>
      <c r="AD7" s="77"/>
    </row>
    <row r="8" spans="1:61" x14ac:dyDescent="0.15">
      <c r="A8" s="11" t="s">
        <v>120</v>
      </c>
      <c r="B8" s="139">
        <v>23158</v>
      </c>
      <c r="C8" s="139">
        <v>14462</v>
      </c>
      <c r="D8" s="139">
        <v>15249</v>
      </c>
      <c r="E8" s="139">
        <f>+F8-SUM(B8:D8)</f>
        <v>3857</v>
      </c>
      <c r="F8" s="167">
        <v>56726</v>
      </c>
      <c r="G8" s="167">
        <v>14695</v>
      </c>
      <c r="H8" s="192">
        <v>12564</v>
      </c>
      <c r="I8" s="167">
        <v>19044</v>
      </c>
      <c r="J8" s="139">
        <f>+K8-SUM(G8:I8)</f>
        <v>21356</v>
      </c>
      <c r="K8" s="167">
        <v>67659</v>
      </c>
      <c r="L8" s="187">
        <f>SUM(G8:J8)-K8</f>
        <v>0</v>
      </c>
      <c r="M8" s="192">
        <v>22411</v>
      </c>
      <c r="N8" s="192">
        <v>8429</v>
      </c>
      <c r="O8" s="192">
        <v>26418</v>
      </c>
      <c r="P8" s="192">
        <f>+Q8-SUM(M8:O8)</f>
        <v>32218</v>
      </c>
      <c r="Q8" s="192">
        <v>89476</v>
      </c>
      <c r="R8" s="192">
        <v>31931</v>
      </c>
      <c r="S8" s="192">
        <v>28021</v>
      </c>
      <c r="T8" s="192">
        <v>26507</v>
      </c>
      <c r="U8" s="192">
        <f>+V8-SUM(R8:T8)</f>
        <v>28299</v>
      </c>
      <c r="V8" s="192">
        <v>114758</v>
      </c>
      <c r="W8" s="192">
        <v>36178</v>
      </c>
      <c r="X8" s="192">
        <v>35846</v>
      </c>
      <c r="Y8" s="192">
        <v>39095</v>
      </c>
      <c r="Z8" s="192">
        <f>+AA8-SUM(W8:Y8)</f>
        <v>31849</v>
      </c>
      <c r="AA8" s="192">
        <v>142968</v>
      </c>
      <c r="AB8" s="192">
        <v>51331</v>
      </c>
      <c r="AC8" s="192">
        <v>49068</v>
      </c>
      <c r="AD8" s="187"/>
      <c r="AG8" s="77"/>
    </row>
    <row r="9" spans="1:61" x14ac:dyDescent="0.15">
      <c r="A9" s="31" t="s">
        <v>121</v>
      </c>
      <c r="F9" s="165"/>
      <c r="G9" s="165"/>
      <c r="H9" s="53"/>
      <c r="I9" s="165"/>
      <c r="J9" s="165"/>
      <c r="K9" s="165"/>
      <c r="L9" s="2"/>
      <c r="M9" s="53"/>
      <c r="N9" s="53"/>
      <c r="O9" s="53"/>
      <c r="P9" s="53"/>
      <c r="Q9" s="53"/>
      <c r="R9" s="53"/>
      <c r="S9" s="53"/>
      <c r="T9" s="53"/>
      <c r="U9" s="53"/>
      <c r="V9" s="53"/>
      <c r="W9" s="53"/>
      <c r="X9" s="53"/>
      <c r="Y9" s="53"/>
      <c r="Z9" s="53"/>
      <c r="AA9" s="53"/>
      <c r="AB9" s="53"/>
      <c r="AC9" s="53"/>
      <c r="AD9" s="187"/>
      <c r="AG9" s="77"/>
    </row>
    <row r="10" spans="1:61" x14ac:dyDescent="0.15">
      <c r="A10" s="31" t="s">
        <v>22</v>
      </c>
      <c r="B10" s="149">
        <v>10655</v>
      </c>
      <c r="C10" s="149">
        <v>10625</v>
      </c>
      <c r="D10" s="149">
        <v>14065</v>
      </c>
      <c r="E10" s="149">
        <f t="shared" ref="E10:E27" si="0">+F10-SUM(B10:D10)</f>
        <v>13374</v>
      </c>
      <c r="F10" s="166">
        <v>48719</v>
      </c>
      <c r="G10" s="166">
        <v>13724</v>
      </c>
      <c r="H10" s="186">
        <v>12808</v>
      </c>
      <c r="I10" s="166">
        <v>13101</v>
      </c>
      <c r="J10" s="166">
        <f t="shared" ref="J10:J25" si="1">+K10-SUM(G10:I10)</f>
        <v>12560</v>
      </c>
      <c r="K10" s="166">
        <v>52193</v>
      </c>
      <c r="L10" s="187">
        <f t="shared" ref="L10:L28" si="2">SUM(G10:J10)-K10</f>
        <v>0</v>
      </c>
      <c r="M10" s="186">
        <v>12472</v>
      </c>
      <c r="N10" s="186">
        <v>12334</v>
      </c>
      <c r="O10" s="186">
        <v>12443</v>
      </c>
      <c r="P10" s="186">
        <f t="shared" ref="P10:P28" si="3">+Q10-SUM(M10:O10)</f>
        <v>13264</v>
      </c>
      <c r="Q10" s="186">
        <v>50513</v>
      </c>
      <c r="R10" s="186">
        <v>12266</v>
      </c>
      <c r="S10" s="186">
        <v>12468</v>
      </c>
      <c r="T10" s="186">
        <v>12425</v>
      </c>
      <c r="U10" s="186">
        <f t="shared" ref="U10:U11" si="4">+V10-SUM(R10:T10)</f>
        <v>12497</v>
      </c>
      <c r="V10" s="186">
        <v>49656</v>
      </c>
      <c r="W10" s="186">
        <v>13669</v>
      </c>
      <c r="X10" s="186">
        <v>14070</v>
      </c>
      <c r="Y10" s="186">
        <v>14254</v>
      </c>
      <c r="Z10" s="186">
        <f t="shared" ref="Z10:Z15" si="5">+AA10-SUM(W10:Y10)</f>
        <v>14109</v>
      </c>
      <c r="AA10" s="186">
        <v>56102</v>
      </c>
      <c r="AB10" s="186">
        <v>13408</v>
      </c>
      <c r="AC10" s="186">
        <v>13056</v>
      </c>
      <c r="AD10" s="187"/>
      <c r="AG10" s="77"/>
    </row>
    <row r="11" spans="1:61" s="21" customFormat="1" hidden="1" x14ac:dyDescent="0.15">
      <c r="A11" s="31" t="s">
        <v>122</v>
      </c>
      <c r="B11" s="80"/>
      <c r="C11" s="162"/>
      <c r="D11" s="162"/>
      <c r="E11" s="162"/>
      <c r="F11" s="24"/>
      <c r="G11" s="24"/>
      <c r="H11" s="26"/>
      <c r="I11" s="24"/>
      <c r="J11" s="24"/>
      <c r="K11" s="26"/>
      <c r="L11" s="187">
        <f t="shared" si="2"/>
        <v>0</v>
      </c>
      <c r="M11" s="26">
        <v>0</v>
      </c>
      <c r="N11" s="26">
        <v>0</v>
      </c>
      <c r="O11" s="26">
        <v>0</v>
      </c>
      <c r="P11" s="26">
        <f t="shared" si="3"/>
        <v>0</v>
      </c>
      <c r="Q11" s="26">
        <v>0</v>
      </c>
      <c r="R11" s="26">
        <v>0</v>
      </c>
      <c r="S11" s="26">
        <v>0</v>
      </c>
      <c r="T11" s="26">
        <v>0</v>
      </c>
      <c r="U11" s="186">
        <f t="shared" si="4"/>
        <v>0</v>
      </c>
      <c r="V11" s="26">
        <v>0</v>
      </c>
      <c r="W11" s="26">
        <v>0</v>
      </c>
      <c r="X11" s="26">
        <v>0</v>
      </c>
      <c r="Y11" s="26">
        <v>0</v>
      </c>
      <c r="Z11" s="186">
        <f t="shared" si="5"/>
        <v>0</v>
      </c>
      <c r="AA11" s="26"/>
      <c r="AB11" s="26"/>
      <c r="AC11" s="26"/>
      <c r="AD11" s="187"/>
      <c r="AE11" s="2"/>
      <c r="AG11" s="77"/>
      <c r="AO11" s="2"/>
      <c r="AP11" s="2"/>
      <c r="AQ11" s="2"/>
      <c r="AR11" s="2"/>
      <c r="AS11" s="2"/>
      <c r="AT11" s="2"/>
      <c r="AU11" s="2"/>
      <c r="AV11" s="2"/>
      <c r="AW11" s="2"/>
      <c r="AX11" s="2"/>
      <c r="AY11" s="2"/>
      <c r="AZ11" s="2"/>
      <c r="BA11" s="2"/>
      <c r="BB11" s="2"/>
      <c r="BC11" s="2"/>
      <c r="BD11" s="2"/>
      <c r="BE11" s="2"/>
      <c r="BF11" s="2"/>
      <c r="BG11" s="2"/>
      <c r="BH11" s="2"/>
      <c r="BI11" s="2"/>
    </row>
    <row r="12" spans="1:61" s="21" customFormat="1" x14ac:dyDescent="0.15">
      <c r="A12" s="31" t="s">
        <v>123</v>
      </c>
      <c r="B12" s="162">
        <v>0</v>
      </c>
      <c r="C12" s="162">
        <v>0</v>
      </c>
      <c r="D12" s="162">
        <v>0</v>
      </c>
      <c r="E12" s="162">
        <f t="shared" si="0"/>
        <v>600.47593517868052</v>
      </c>
      <c r="F12" s="24">
        <v>600.47593517868052</v>
      </c>
      <c r="G12" s="24">
        <v>600.47593517868052</v>
      </c>
      <c r="H12" s="26">
        <v>617.52406482131948</v>
      </c>
      <c r="I12" s="24">
        <v>618</v>
      </c>
      <c r="J12" s="24">
        <f t="shared" si="1"/>
        <v>636</v>
      </c>
      <c r="K12" s="26">
        <v>2472</v>
      </c>
      <c r="L12" s="187">
        <f t="shared" si="2"/>
        <v>0</v>
      </c>
      <c r="M12" s="26">
        <v>635</v>
      </c>
      <c r="N12" s="26">
        <v>654</v>
      </c>
      <c r="O12" s="26">
        <v>654</v>
      </c>
      <c r="P12" s="26">
        <f t="shared" si="3"/>
        <v>673</v>
      </c>
      <c r="Q12" s="26">
        <v>2616</v>
      </c>
      <c r="R12" s="26">
        <v>673</v>
      </c>
      <c r="S12" s="26">
        <v>691</v>
      </c>
      <c r="T12" s="186">
        <v>431</v>
      </c>
      <c r="U12" s="186">
        <f t="shared" ref="U12:U15" si="6">+V12-SUM(R12:T12)</f>
        <v>0</v>
      </c>
      <c r="V12" s="186">
        <v>1795</v>
      </c>
      <c r="W12" s="186">
        <v>0</v>
      </c>
      <c r="X12" s="186">
        <v>0</v>
      </c>
      <c r="Y12" s="186">
        <v>0</v>
      </c>
      <c r="Z12" s="186">
        <f t="shared" si="5"/>
        <v>0</v>
      </c>
      <c r="AA12" s="186">
        <v>0</v>
      </c>
      <c r="AB12" s="186">
        <v>0</v>
      </c>
      <c r="AC12" s="186">
        <v>0</v>
      </c>
      <c r="AD12" s="187"/>
      <c r="AE12" s="2"/>
      <c r="AG12" s="77"/>
      <c r="AO12" s="2"/>
      <c r="AP12" s="2"/>
      <c r="AQ12" s="2"/>
      <c r="AR12" s="2"/>
      <c r="AS12" s="2"/>
      <c r="AT12" s="2"/>
      <c r="AU12" s="2"/>
      <c r="AV12" s="2"/>
      <c r="AW12" s="2"/>
      <c r="AX12" s="2"/>
      <c r="AY12" s="2"/>
      <c r="AZ12" s="2"/>
      <c r="BA12" s="2"/>
      <c r="BB12" s="2"/>
      <c r="BC12" s="2"/>
      <c r="BD12" s="2"/>
      <c r="BE12" s="2"/>
      <c r="BF12" s="2"/>
      <c r="BG12" s="2"/>
      <c r="BH12" s="2"/>
      <c r="BI12" s="2"/>
    </row>
    <row r="13" spans="1:61" s="21" customFormat="1" x14ac:dyDescent="0.15">
      <c r="A13" s="31" t="s">
        <v>124</v>
      </c>
      <c r="B13" s="80">
        <v>5074</v>
      </c>
      <c r="C13" s="162">
        <v>6892</v>
      </c>
      <c r="D13" s="162">
        <v>5345</v>
      </c>
      <c r="E13" s="162">
        <f t="shared" si="0"/>
        <v>6590</v>
      </c>
      <c r="F13" s="166">
        <v>23901</v>
      </c>
      <c r="G13" s="166">
        <v>6956</v>
      </c>
      <c r="H13" s="186">
        <v>7155</v>
      </c>
      <c r="I13" s="166">
        <v>7427</v>
      </c>
      <c r="J13" s="166">
        <f t="shared" si="1"/>
        <v>4532</v>
      </c>
      <c r="K13" s="166">
        <v>26070</v>
      </c>
      <c r="L13" s="187">
        <f t="shared" si="2"/>
        <v>0</v>
      </c>
      <c r="M13" s="186">
        <v>4778</v>
      </c>
      <c r="N13" s="186">
        <v>7726</v>
      </c>
      <c r="O13" s="186">
        <v>8346</v>
      </c>
      <c r="P13" s="186">
        <f t="shared" si="3"/>
        <v>7385</v>
      </c>
      <c r="Q13" s="186">
        <v>28235</v>
      </c>
      <c r="R13" s="186">
        <v>7832</v>
      </c>
      <c r="S13" s="186">
        <v>10070</v>
      </c>
      <c r="T13" s="186">
        <v>10894</v>
      </c>
      <c r="U13" s="186">
        <f t="shared" si="6"/>
        <v>9825</v>
      </c>
      <c r="V13" s="186">
        <v>38621</v>
      </c>
      <c r="W13" s="186">
        <v>11224</v>
      </c>
      <c r="X13" s="186">
        <v>13340</v>
      </c>
      <c r="Y13" s="186">
        <v>12186</v>
      </c>
      <c r="Z13" s="186">
        <f t="shared" si="5"/>
        <v>12616</v>
      </c>
      <c r="AA13" s="186">
        <v>49366</v>
      </c>
      <c r="AB13" s="186">
        <v>14407</v>
      </c>
      <c r="AC13" s="186">
        <v>11511</v>
      </c>
      <c r="AD13" s="187"/>
      <c r="AE13" s="2"/>
      <c r="AG13" s="77"/>
      <c r="AO13" s="2"/>
      <c r="AP13" s="2"/>
      <c r="AQ13" s="2"/>
      <c r="AR13" s="2"/>
      <c r="AS13" s="2"/>
      <c r="AT13" s="2"/>
      <c r="AU13" s="2"/>
      <c r="AV13" s="2"/>
      <c r="AW13" s="2"/>
      <c r="AX13" s="2"/>
      <c r="AY13" s="2"/>
      <c r="AZ13" s="2"/>
      <c r="BA13" s="2"/>
      <c r="BB13" s="2"/>
      <c r="BC13" s="2"/>
      <c r="BD13" s="2"/>
      <c r="BE13" s="2"/>
      <c r="BF13" s="2"/>
      <c r="BG13" s="2"/>
      <c r="BH13" s="2"/>
      <c r="BI13" s="2"/>
    </row>
    <row r="14" spans="1:61" s="21" customFormat="1" x14ac:dyDescent="0.15">
      <c r="A14" s="31" t="s">
        <v>125</v>
      </c>
      <c r="B14" s="80"/>
      <c r="C14" s="162"/>
      <c r="D14" s="162"/>
      <c r="E14" s="162"/>
      <c r="F14" s="166">
        <v>0</v>
      </c>
      <c r="G14" s="166">
        <v>0</v>
      </c>
      <c r="H14" s="186">
        <v>0</v>
      </c>
      <c r="I14" s="166">
        <v>0</v>
      </c>
      <c r="J14" s="166">
        <v>0</v>
      </c>
      <c r="K14" s="166">
        <v>0</v>
      </c>
      <c r="L14" s="187">
        <v>0</v>
      </c>
      <c r="M14" s="186">
        <v>0</v>
      </c>
      <c r="N14" s="186">
        <v>0</v>
      </c>
      <c r="O14" s="186">
        <v>0</v>
      </c>
      <c r="P14" s="186">
        <v>0</v>
      </c>
      <c r="Q14" s="186">
        <v>0</v>
      </c>
      <c r="R14" s="186">
        <v>0</v>
      </c>
      <c r="S14" s="186">
        <v>0</v>
      </c>
      <c r="T14" s="186">
        <v>12845</v>
      </c>
      <c r="U14" s="186">
        <f t="shared" si="6"/>
        <v>0</v>
      </c>
      <c r="V14" s="186">
        <v>12845</v>
      </c>
      <c r="W14" s="186">
        <v>0</v>
      </c>
      <c r="X14" s="186">
        <v>0</v>
      </c>
      <c r="Y14" s="186">
        <v>0</v>
      </c>
      <c r="Z14" s="186">
        <f t="shared" si="5"/>
        <v>0</v>
      </c>
      <c r="AA14" s="186">
        <v>0</v>
      </c>
      <c r="AB14" s="186">
        <v>0</v>
      </c>
      <c r="AC14" s="186">
        <v>0</v>
      </c>
      <c r="AD14" s="187"/>
      <c r="AE14" s="2"/>
      <c r="AG14" s="77"/>
      <c r="AO14" s="2"/>
      <c r="AP14" s="2"/>
      <c r="AQ14" s="2"/>
      <c r="AR14" s="2"/>
      <c r="AS14" s="2"/>
      <c r="AT14" s="2"/>
      <c r="AU14" s="2"/>
      <c r="AV14" s="2"/>
      <c r="AW14" s="2"/>
      <c r="AX14" s="2"/>
      <c r="AY14" s="2"/>
      <c r="AZ14" s="2"/>
      <c r="BA14" s="2"/>
      <c r="BB14" s="2"/>
      <c r="BC14" s="2"/>
      <c r="BD14" s="2"/>
      <c r="BE14" s="2"/>
      <c r="BF14" s="2"/>
      <c r="BG14" s="2"/>
      <c r="BH14" s="2"/>
      <c r="BI14" s="2"/>
    </row>
    <row r="15" spans="1:61" s="21" customFormat="1" x14ac:dyDescent="0.15">
      <c r="A15" s="31" t="s">
        <v>126</v>
      </c>
      <c r="B15" s="147">
        <v>56</v>
      </c>
      <c r="C15" s="147">
        <v>58</v>
      </c>
      <c r="D15" s="147">
        <v>62</v>
      </c>
      <c r="E15" s="147">
        <f t="shared" si="0"/>
        <v>71</v>
      </c>
      <c r="F15" s="24">
        <v>247</v>
      </c>
      <c r="G15" s="24">
        <v>67</v>
      </c>
      <c r="H15" s="26">
        <v>62</v>
      </c>
      <c r="I15" s="24">
        <v>69</v>
      </c>
      <c r="J15" s="24">
        <f t="shared" si="1"/>
        <v>71</v>
      </c>
      <c r="K15" s="24">
        <v>269</v>
      </c>
      <c r="L15" s="187">
        <f t="shared" si="2"/>
        <v>0</v>
      </c>
      <c r="M15" s="26">
        <v>55</v>
      </c>
      <c r="N15" s="26">
        <v>66</v>
      </c>
      <c r="O15" s="26">
        <v>72</v>
      </c>
      <c r="P15" s="26">
        <f t="shared" si="3"/>
        <v>34</v>
      </c>
      <c r="Q15" s="26">
        <v>227</v>
      </c>
      <c r="R15" s="26">
        <v>36</v>
      </c>
      <c r="S15" s="26">
        <v>-8</v>
      </c>
      <c r="T15" s="26">
        <v>-28</v>
      </c>
      <c r="U15" s="26">
        <f t="shared" si="6"/>
        <v>-47</v>
      </c>
      <c r="V15" s="26">
        <v>-47</v>
      </c>
      <c r="W15" s="26">
        <v>-114</v>
      </c>
      <c r="X15" s="26">
        <v>-143</v>
      </c>
      <c r="Y15" s="26">
        <v>-109</v>
      </c>
      <c r="Z15" s="26">
        <f t="shared" si="5"/>
        <v>-68</v>
      </c>
      <c r="AA15" s="26">
        <v>-434</v>
      </c>
      <c r="AB15" s="26">
        <v>-66</v>
      </c>
      <c r="AC15" s="26">
        <v>-66</v>
      </c>
      <c r="AD15" s="187"/>
      <c r="AE15" s="2"/>
      <c r="AG15" s="77"/>
      <c r="AO15" s="2"/>
      <c r="AP15" s="2"/>
      <c r="AQ15" s="2"/>
      <c r="AR15" s="2"/>
      <c r="AS15" s="2"/>
      <c r="AT15" s="2"/>
      <c r="AU15" s="2"/>
      <c r="AV15" s="2"/>
      <c r="AW15" s="2"/>
      <c r="AX15" s="2"/>
      <c r="AY15" s="2"/>
      <c r="AZ15" s="2"/>
      <c r="BA15" s="2"/>
      <c r="BB15" s="2"/>
      <c r="BC15" s="2"/>
      <c r="BD15" s="2"/>
      <c r="BE15" s="2"/>
      <c r="BF15" s="2"/>
      <c r="BG15" s="2"/>
      <c r="BH15" s="2"/>
      <c r="BI15" s="2"/>
    </row>
    <row r="16" spans="1:61" s="21" customFormat="1" hidden="1" x14ac:dyDescent="0.15">
      <c r="A16" s="31" t="s">
        <v>127</v>
      </c>
      <c r="B16" s="147">
        <v>0</v>
      </c>
      <c r="C16" s="147">
        <v>0</v>
      </c>
      <c r="D16" s="147">
        <v>0</v>
      </c>
      <c r="E16" s="147">
        <f t="shared" si="0"/>
        <v>0</v>
      </c>
      <c r="F16" s="147">
        <v>0</v>
      </c>
      <c r="G16" s="147">
        <v>0</v>
      </c>
      <c r="H16" s="147">
        <v>0</v>
      </c>
      <c r="I16" s="147">
        <v>0</v>
      </c>
      <c r="J16" s="147">
        <v>0</v>
      </c>
      <c r="K16" s="147">
        <v>0</v>
      </c>
      <c r="L16" s="187">
        <f t="shared" si="2"/>
        <v>0</v>
      </c>
      <c r="M16" s="147">
        <v>0</v>
      </c>
      <c r="N16" s="147">
        <v>0</v>
      </c>
      <c r="O16" s="147">
        <v>0</v>
      </c>
      <c r="P16" s="147">
        <v>0</v>
      </c>
      <c r="Q16" s="147">
        <v>0</v>
      </c>
      <c r="R16" s="147">
        <v>0</v>
      </c>
      <c r="S16" s="147">
        <v>0</v>
      </c>
      <c r="T16" s="147">
        <v>0</v>
      </c>
      <c r="U16" s="147"/>
      <c r="V16" s="147"/>
      <c r="W16" s="147"/>
      <c r="X16" s="147"/>
      <c r="Y16" s="147"/>
      <c r="Z16" s="147"/>
      <c r="AA16" s="147"/>
      <c r="AB16" s="147"/>
      <c r="AC16" s="147"/>
      <c r="AD16" s="187"/>
      <c r="AE16" s="2"/>
      <c r="AG16" s="77"/>
      <c r="AO16" s="2"/>
      <c r="AP16" s="2"/>
      <c r="AQ16" s="2"/>
      <c r="AR16" s="2"/>
      <c r="AS16" s="2"/>
      <c r="AT16" s="2"/>
      <c r="AU16" s="2"/>
      <c r="AV16" s="2"/>
      <c r="AW16" s="2"/>
      <c r="AX16" s="2"/>
      <c r="AY16" s="2"/>
      <c r="AZ16" s="2"/>
      <c r="BA16" s="2"/>
      <c r="BB16" s="2"/>
      <c r="BC16" s="2"/>
      <c r="BD16" s="2"/>
      <c r="BE16" s="2"/>
      <c r="BF16" s="2"/>
      <c r="BG16" s="2"/>
      <c r="BH16" s="2"/>
      <c r="BI16" s="2"/>
    </row>
    <row r="17" spans="1:61" s="21" customFormat="1" hidden="1" x14ac:dyDescent="0.15">
      <c r="A17" s="31" t="s">
        <v>128</v>
      </c>
      <c r="B17" s="80"/>
      <c r="C17" s="162"/>
      <c r="D17" s="162"/>
      <c r="E17" s="162"/>
      <c r="F17" s="24"/>
      <c r="G17" s="24"/>
      <c r="H17" s="26"/>
      <c r="I17" s="24"/>
      <c r="J17" s="24"/>
      <c r="K17" s="26"/>
      <c r="L17" s="187">
        <f t="shared" si="2"/>
        <v>0</v>
      </c>
      <c r="M17" s="26">
        <v>0</v>
      </c>
      <c r="N17" s="26">
        <v>0</v>
      </c>
      <c r="O17" s="26">
        <v>0</v>
      </c>
      <c r="P17" s="26">
        <f t="shared" si="3"/>
        <v>0</v>
      </c>
      <c r="Q17" s="26">
        <v>0</v>
      </c>
      <c r="R17" s="26">
        <v>0</v>
      </c>
      <c r="S17" s="26">
        <v>0</v>
      </c>
      <c r="T17" s="26">
        <v>0</v>
      </c>
      <c r="U17" s="26"/>
      <c r="V17" s="26"/>
      <c r="W17" s="26"/>
      <c r="X17" s="26"/>
      <c r="Y17" s="26"/>
      <c r="Z17" s="26"/>
      <c r="AA17" s="26"/>
      <c r="AB17" s="26"/>
      <c r="AC17" s="26"/>
      <c r="AD17" s="187"/>
      <c r="AE17" s="2"/>
      <c r="AG17" s="77"/>
      <c r="AO17" s="2"/>
      <c r="AP17" s="2"/>
      <c r="AQ17" s="2"/>
      <c r="AR17" s="2"/>
      <c r="AS17" s="2"/>
      <c r="AT17" s="2"/>
      <c r="AU17" s="2"/>
      <c r="AV17" s="2"/>
      <c r="AW17" s="2"/>
      <c r="AX17" s="2"/>
      <c r="AY17" s="2"/>
      <c r="AZ17" s="2"/>
      <c r="BA17" s="2"/>
      <c r="BB17" s="2"/>
      <c r="BC17" s="2"/>
      <c r="BD17" s="2"/>
      <c r="BE17" s="2"/>
      <c r="BF17" s="2"/>
      <c r="BG17" s="2"/>
      <c r="BH17" s="2"/>
      <c r="BI17" s="2"/>
    </row>
    <row r="18" spans="1:61" s="21" customFormat="1" hidden="1" x14ac:dyDescent="0.15">
      <c r="A18" s="31" t="s">
        <v>129</v>
      </c>
      <c r="B18" s="147">
        <v>0</v>
      </c>
      <c r="C18" s="147">
        <v>0</v>
      </c>
      <c r="D18" s="147">
        <v>0</v>
      </c>
      <c r="E18" s="147">
        <f t="shared" si="0"/>
        <v>0</v>
      </c>
      <c r="F18" s="147">
        <v>0</v>
      </c>
      <c r="G18" s="147">
        <v>0</v>
      </c>
      <c r="H18" s="147">
        <v>0</v>
      </c>
      <c r="I18" s="147">
        <v>0</v>
      </c>
      <c r="J18" s="147">
        <v>0</v>
      </c>
      <c r="K18" s="147">
        <v>0</v>
      </c>
      <c r="L18" s="187">
        <f t="shared" si="2"/>
        <v>0</v>
      </c>
      <c r="M18" s="147">
        <v>0</v>
      </c>
      <c r="N18" s="147">
        <v>0</v>
      </c>
      <c r="O18" s="147">
        <v>0</v>
      </c>
      <c r="P18" s="147">
        <v>0</v>
      </c>
      <c r="Q18" s="147">
        <v>0</v>
      </c>
      <c r="R18" s="147">
        <v>0</v>
      </c>
      <c r="S18" s="147">
        <v>0</v>
      </c>
      <c r="T18" s="147">
        <v>0</v>
      </c>
      <c r="U18" s="147"/>
      <c r="V18" s="147"/>
      <c r="W18" s="147"/>
      <c r="X18" s="147"/>
      <c r="Y18" s="147"/>
      <c r="Z18" s="147"/>
      <c r="AA18" s="147"/>
      <c r="AB18" s="147"/>
      <c r="AC18" s="147"/>
      <c r="AD18" s="187"/>
      <c r="AE18" s="2"/>
      <c r="AG18" s="77"/>
      <c r="AO18" s="2"/>
      <c r="AP18" s="2"/>
      <c r="AQ18" s="2"/>
      <c r="AR18" s="2"/>
      <c r="AS18" s="2"/>
      <c r="AT18" s="2"/>
      <c r="AU18" s="2"/>
      <c r="AV18" s="2"/>
      <c r="AW18" s="2"/>
      <c r="AX18" s="2"/>
      <c r="AY18" s="2"/>
      <c r="AZ18" s="2"/>
      <c r="BA18" s="2"/>
      <c r="BB18" s="2"/>
      <c r="BC18" s="2"/>
      <c r="BD18" s="2"/>
      <c r="BE18" s="2"/>
      <c r="BF18" s="2"/>
      <c r="BG18" s="2"/>
      <c r="BH18" s="2"/>
      <c r="BI18" s="2"/>
    </row>
    <row r="19" spans="1:61" s="21" customFormat="1" x14ac:dyDescent="0.15">
      <c r="A19" s="31" t="s">
        <v>130</v>
      </c>
      <c r="B19" s="80">
        <f>ROUND(-3318.50205594496,0)</f>
        <v>-3319</v>
      </c>
      <c r="C19" s="162">
        <f>ROUND(-4463.49794405504,0)</f>
        <v>-4463</v>
      </c>
      <c r="D19" s="162">
        <v>-6593</v>
      </c>
      <c r="E19" s="162">
        <f t="shared" si="0"/>
        <v>5755</v>
      </c>
      <c r="F19" s="166">
        <v>-8620</v>
      </c>
      <c r="G19" s="166">
        <v>127</v>
      </c>
      <c r="H19" s="186">
        <v>1840</v>
      </c>
      <c r="I19" s="166">
        <v>-1948</v>
      </c>
      <c r="J19" s="166">
        <f t="shared" si="1"/>
        <v>-340</v>
      </c>
      <c r="K19" s="166">
        <v>-321</v>
      </c>
      <c r="L19" s="187">
        <f t="shared" si="2"/>
        <v>0</v>
      </c>
      <c r="M19" s="186">
        <v>-6490</v>
      </c>
      <c r="N19" s="186">
        <v>3112</v>
      </c>
      <c r="O19" s="186">
        <v>2894</v>
      </c>
      <c r="P19" s="186">
        <f t="shared" si="3"/>
        <v>886</v>
      </c>
      <c r="Q19" s="186">
        <v>402</v>
      </c>
      <c r="R19" s="186">
        <v>-1139</v>
      </c>
      <c r="S19" s="186">
        <v>-1495</v>
      </c>
      <c r="T19" s="186">
        <v>-1165</v>
      </c>
      <c r="U19" s="186">
        <f t="shared" ref="U19:U21" si="7">+V19-SUM(R19:T19)</f>
        <v>-22</v>
      </c>
      <c r="V19" s="186">
        <v>-3821</v>
      </c>
      <c r="W19" s="186">
        <v>-3165</v>
      </c>
      <c r="X19" s="186">
        <v>-7115</v>
      </c>
      <c r="Y19" s="186">
        <v>-6533</v>
      </c>
      <c r="Z19" s="186">
        <f t="shared" ref="Z19:Z21" si="8">+AA19-SUM(W19:Y19)</f>
        <v>170</v>
      </c>
      <c r="AA19" s="186">
        <v>-16643</v>
      </c>
      <c r="AB19" s="186">
        <v>2814</v>
      </c>
      <c r="AC19" s="186">
        <v>-1526</v>
      </c>
      <c r="AD19" s="187"/>
      <c r="AE19" s="2"/>
      <c r="AG19" s="77"/>
      <c r="AO19" s="2"/>
      <c r="AP19" s="2"/>
      <c r="AQ19" s="2"/>
      <c r="AR19" s="2"/>
      <c r="AS19" s="2"/>
      <c r="AT19" s="2"/>
      <c r="AU19" s="2"/>
      <c r="AV19" s="2"/>
      <c r="AW19" s="2"/>
      <c r="AX19" s="2"/>
      <c r="AY19" s="2"/>
      <c r="AZ19" s="2"/>
      <c r="BA19" s="2"/>
      <c r="BB19" s="2"/>
      <c r="BC19" s="2"/>
      <c r="BD19" s="2"/>
      <c r="BE19" s="2"/>
      <c r="BF19" s="2"/>
      <c r="BG19" s="2"/>
      <c r="BH19" s="2"/>
      <c r="BI19" s="2"/>
    </row>
    <row r="20" spans="1:61" s="21" customFormat="1" x14ac:dyDescent="0.15">
      <c r="A20" s="31" t="s">
        <v>131</v>
      </c>
      <c r="B20" s="80">
        <v>-2842</v>
      </c>
      <c r="C20" s="162">
        <v>-1098</v>
      </c>
      <c r="D20" s="162">
        <v>-1483</v>
      </c>
      <c r="E20" s="162">
        <f t="shared" si="0"/>
        <v>-2273</v>
      </c>
      <c r="F20" s="166">
        <v>-7696</v>
      </c>
      <c r="G20" s="166">
        <v>-3185</v>
      </c>
      <c r="H20" s="186">
        <v>-1177</v>
      </c>
      <c r="I20" s="166">
        <v>-3081</v>
      </c>
      <c r="J20" s="166">
        <f t="shared" si="1"/>
        <v>-2673</v>
      </c>
      <c r="K20" s="166">
        <v>-10116</v>
      </c>
      <c r="L20" s="187">
        <f t="shared" si="2"/>
        <v>0</v>
      </c>
      <c r="M20" s="186">
        <v>267</v>
      </c>
      <c r="N20" s="186">
        <v>-3109</v>
      </c>
      <c r="O20" s="186">
        <v>-1965</v>
      </c>
      <c r="P20" s="186">
        <f t="shared" si="3"/>
        <v>-2367</v>
      </c>
      <c r="Q20" s="186">
        <v>-7174</v>
      </c>
      <c r="R20" s="186">
        <v>-1103</v>
      </c>
      <c r="S20" s="186">
        <v>7880</v>
      </c>
      <c r="T20" s="186">
        <v>-790</v>
      </c>
      <c r="U20" s="186">
        <f t="shared" si="7"/>
        <v>-848</v>
      </c>
      <c r="V20" s="186">
        <v>5139</v>
      </c>
      <c r="W20" s="186">
        <v>-384</v>
      </c>
      <c r="X20" s="186">
        <v>109</v>
      </c>
      <c r="Y20" s="186">
        <v>-200</v>
      </c>
      <c r="Z20" s="186">
        <f t="shared" si="8"/>
        <v>-734</v>
      </c>
      <c r="AA20" s="186">
        <v>-1209</v>
      </c>
      <c r="AB20" s="186">
        <v>8186</v>
      </c>
      <c r="AC20" s="186">
        <v>-964</v>
      </c>
      <c r="AD20" s="187"/>
      <c r="AE20" s="2"/>
      <c r="AG20" s="77"/>
      <c r="AO20" s="2"/>
      <c r="AP20" s="2"/>
      <c r="AQ20" s="2"/>
      <c r="AR20" s="2"/>
      <c r="AS20" s="2"/>
      <c r="AT20" s="2"/>
      <c r="AU20" s="2"/>
      <c r="AV20" s="2"/>
      <c r="AW20" s="2"/>
      <c r="AX20" s="2"/>
      <c r="AY20" s="2"/>
      <c r="AZ20" s="2"/>
      <c r="BA20" s="2"/>
      <c r="BB20" s="2"/>
      <c r="BC20" s="2"/>
      <c r="BD20" s="2"/>
      <c r="BE20" s="2"/>
      <c r="BF20" s="2"/>
      <c r="BG20" s="2"/>
      <c r="BH20" s="2"/>
      <c r="BI20" s="2"/>
    </row>
    <row r="21" spans="1:61" s="21" customFormat="1" x14ac:dyDescent="0.15">
      <c r="A21" s="31" t="s">
        <v>132</v>
      </c>
      <c r="B21" s="80">
        <v>3433</v>
      </c>
      <c r="C21" s="162">
        <v>-2890</v>
      </c>
      <c r="D21" s="162">
        <v>-1529</v>
      </c>
      <c r="E21" s="162">
        <f t="shared" si="0"/>
        <v>361</v>
      </c>
      <c r="F21" s="166">
        <v>-625</v>
      </c>
      <c r="G21" s="166">
        <v>1049</v>
      </c>
      <c r="H21" s="186">
        <v>-3680</v>
      </c>
      <c r="I21" s="166">
        <v>-4228</v>
      </c>
      <c r="J21" s="166">
        <f t="shared" si="1"/>
        <v>-5486</v>
      </c>
      <c r="K21" s="166">
        <v>-12345</v>
      </c>
      <c r="L21" s="187">
        <f t="shared" si="2"/>
        <v>0</v>
      </c>
      <c r="M21" s="186">
        <v>3539</v>
      </c>
      <c r="N21" s="186">
        <v>-4202</v>
      </c>
      <c r="O21" s="186">
        <v>-909</v>
      </c>
      <c r="P21" s="186">
        <f t="shared" si="3"/>
        <v>4269</v>
      </c>
      <c r="Q21" s="186">
        <v>2697</v>
      </c>
      <c r="R21" s="186">
        <v>-2695</v>
      </c>
      <c r="S21" s="186">
        <v>-12042</v>
      </c>
      <c r="T21" s="186">
        <v>-2637</v>
      </c>
      <c r="U21" s="186">
        <f t="shared" si="7"/>
        <v>-2953</v>
      </c>
      <c r="V21" s="186">
        <v>-20327</v>
      </c>
      <c r="W21" s="186">
        <v>-193</v>
      </c>
      <c r="X21" s="186">
        <v>-1269</v>
      </c>
      <c r="Y21" s="186">
        <v>-4159</v>
      </c>
      <c r="Z21" s="186">
        <f t="shared" si="8"/>
        <v>-13931</v>
      </c>
      <c r="AA21" s="186">
        <v>-19552</v>
      </c>
      <c r="AB21" s="186">
        <v>-9444</v>
      </c>
      <c r="AC21" s="186">
        <v>-8839</v>
      </c>
      <c r="AD21" s="187"/>
      <c r="AE21" s="2"/>
      <c r="AG21" s="77"/>
      <c r="AO21" s="2"/>
      <c r="AP21" s="2"/>
      <c r="AQ21" s="2"/>
      <c r="AR21" s="2"/>
      <c r="AS21" s="2"/>
      <c r="AT21" s="2"/>
      <c r="AU21" s="2"/>
      <c r="AV21" s="2"/>
      <c r="AW21" s="2"/>
      <c r="AX21" s="2"/>
      <c r="AY21" s="2"/>
      <c r="AZ21" s="2"/>
      <c r="BA21" s="2"/>
      <c r="BB21" s="2"/>
      <c r="BC21" s="2"/>
      <c r="BD21" s="2"/>
      <c r="BE21" s="2"/>
      <c r="BF21" s="2"/>
      <c r="BG21" s="2"/>
      <c r="BH21" s="2"/>
      <c r="BI21" s="2"/>
    </row>
    <row r="22" spans="1:61" s="21" customFormat="1" hidden="1" x14ac:dyDescent="0.15">
      <c r="A22" s="31" t="s">
        <v>133</v>
      </c>
      <c r="B22" s="147">
        <v>0</v>
      </c>
      <c r="C22" s="147">
        <v>0</v>
      </c>
      <c r="D22" s="147">
        <v>0</v>
      </c>
      <c r="E22" s="162">
        <f t="shared" si="0"/>
        <v>0</v>
      </c>
      <c r="F22" s="166">
        <v>0</v>
      </c>
      <c r="G22" s="166">
        <v>0</v>
      </c>
      <c r="H22" s="186">
        <v>0</v>
      </c>
      <c r="I22" s="166">
        <v>0</v>
      </c>
      <c r="J22" s="166">
        <v>0</v>
      </c>
      <c r="K22" s="166">
        <v>0</v>
      </c>
      <c r="L22" s="187">
        <f t="shared" si="2"/>
        <v>0</v>
      </c>
      <c r="M22" s="186">
        <v>0</v>
      </c>
      <c r="N22" s="186">
        <v>0</v>
      </c>
      <c r="O22" s="186">
        <v>0</v>
      </c>
      <c r="P22" s="186">
        <v>0</v>
      </c>
      <c r="Q22" s="186">
        <v>0</v>
      </c>
      <c r="R22" s="186">
        <v>0</v>
      </c>
      <c r="S22" s="186">
        <v>0</v>
      </c>
      <c r="T22" s="186">
        <v>0</v>
      </c>
      <c r="U22" s="186"/>
      <c r="V22" s="186"/>
      <c r="W22" s="186"/>
      <c r="X22" s="186"/>
      <c r="Y22" s="186"/>
      <c r="Z22" s="186"/>
      <c r="AA22" s="186"/>
      <c r="AB22" s="186"/>
      <c r="AC22" s="186"/>
      <c r="AD22" s="187"/>
      <c r="AE22" s="2"/>
      <c r="AG22" s="77"/>
      <c r="AO22" s="2"/>
      <c r="AP22" s="2"/>
      <c r="AQ22" s="2"/>
      <c r="AR22" s="2"/>
      <c r="AS22" s="2"/>
      <c r="AT22" s="2"/>
      <c r="AU22" s="2"/>
      <c r="AV22" s="2"/>
      <c r="AW22" s="2"/>
      <c r="AX22" s="2"/>
      <c r="AY22" s="2"/>
      <c r="AZ22" s="2"/>
      <c r="BA22" s="2"/>
      <c r="BB22" s="2"/>
      <c r="BC22" s="2"/>
      <c r="BD22" s="2"/>
      <c r="BE22" s="2"/>
      <c r="BF22" s="2"/>
      <c r="BG22" s="2"/>
      <c r="BH22" s="2"/>
      <c r="BI22" s="2"/>
    </row>
    <row r="23" spans="1:61" s="21" customFormat="1" x14ac:dyDescent="0.15">
      <c r="A23" s="31" t="s">
        <v>134</v>
      </c>
      <c r="B23" s="147">
        <v>0</v>
      </c>
      <c r="C23" s="147">
        <v>0</v>
      </c>
      <c r="D23" s="147">
        <v>0</v>
      </c>
      <c r="E23" s="162">
        <f t="shared" si="0"/>
        <v>20056</v>
      </c>
      <c r="F23" s="166">
        <v>20056</v>
      </c>
      <c r="G23" s="166">
        <v>1227</v>
      </c>
      <c r="H23" s="186">
        <v>1940</v>
      </c>
      <c r="I23" s="166">
        <v>0</v>
      </c>
      <c r="J23" s="166">
        <f>+K23-SUM(G23:I23)</f>
        <v>460</v>
      </c>
      <c r="K23" s="166">
        <v>3627</v>
      </c>
      <c r="L23" s="187">
        <f t="shared" si="2"/>
        <v>0</v>
      </c>
      <c r="M23" s="186">
        <v>0</v>
      </c>
      <c r="N23" s="186">
        <v>0</v>
      </c>
      <c r="O23" s="186">
        <v>0</v>
      </c>
      <c r="P23" s="186">
        <f t="shared" si="3"/>
        <v>0</v>
      </c>
      <c r="Q23" s="186">
        <v>0</v>
      </c>
      <c r="R23" s="186">
        <v>0</v>
      </c>
      <c r="S23" s="186">
        <v>0</v>
      </c>
      <c r="T23" s="186">
        <v>0</v>
      </c>
      <c r="U23" s="186">
        <f t="shared" ref="U23" si="9">+V23-SUM(R23:T23)</f>
        <v>0</v>
      </c>
      <c r="V23" s="186">
        <v>0</v>
      </c>
      <c r="W23" s="186">
        <v>0</v>
      </c>
      <c r="X23" s="186">
        <v>0</v>
      </c>
      <c r="Y23" s="186">
        <v>0</v>
      </c>
      <c r="Z23" s="186">
        <f t="shared" ref="Z23" si="10">+AA23-SUM(W23:Y23)</f>
        <v>0</v>
      </c>
      <c r="AA23" s="186">
        <v>0</v>
      </c>
      <c r="AB23" s="186">
        <v>0</v>
      </c>
      <c r="AC23" s="186">
        <v>0</v>
      </c>
      <c r="AD23" s="187"/>
      <c r="AE23" s="2"/>
      <c r="AG23" s="77"/>
      <c r="AO23" s="2"/>
      <c r="AP23" s="2"/>
      <c r="AQ23" s="2"/>
      <c r="AR23" s="2"/>
      <c r="AS23" s="2"/>
      <c r="AT23" s="2"/>
      <c r="AU23" s="2"/>
      <c r="AV23" s="2"/>
      <c r="AW23" s="2"/>
      <c r="AX23" s="2"/>
      <c r="AY23" s="2"/>
      <c r="AZ23" s="2"/>
      <c r="BA23" s="2"/>
      <c r="BB23" s="2"/>
      <c r="BC23" s="2"/>
      <c r="BD23" s="2"/>
      <c r="BE23" s="2"/>
      <c r="BF23" s="2"/>
      <c r="BG23" s="2"/>
      <c r="BH23" s="2"/>
      <c r="BI23" s="2"/>
    </row>
    <row r="24" spans="1:61" s="21" customFormat="1" hidden="1" x14ac:dyDescent="0.15">
      <c r="A24" s="31" t="s">
        <v>135</v>
      </c>
      <c r="B24" s="147">
        <v>0</v>
      </c>
      <c r="C24" s="147">
        <v>0</v>
      </c>
      <c r="D24" s="147">
        <v>0</v>
      </c>
      <c r="E24" s="147">
        <f t="shared" si="0"/>
        <v>0</v>
      </c>
      <c r="F24" s="147">
        <v>0</v>
      </c>
      <c r="G24" s="147">
        <v>0</v>
      </c>
      <c r="H24" s="147">
        <v>0</v>
      </c>
      <c r="I24" s="147">
        <v>0</v>
      </c>
      <c r="J24" s="147">
        <v>0</v>
      </c>
      <c r="K24" s="147">
        <v>0</v>
      </c>
      <c r="L24" s="187">
        <f t="shared" si="2"/>
        <v>0</v>
      </c>
      <c r="M24" s="147">
        <v>0</v>
      </c>
      <c r="N24" s="147">
        <v>0</v>
      </c>
      <c r="O24" s="147">
        <v>0</v>
      </c>
      <c r="P24" s="147">
        <v>0</v>
      </c>
      <c r="Q24" s="147">
        <v>0</v>
      </c>
      <c r="R24" s="147">
        <v>0</v>
      </c>
      <c r="S24" s="147">
        <v>0</v>
      </c>
      <c r="T24" s="147">
        <v>0</v>
      </c>
      <c r="U24" s="147"/>
      <c r="V24" s="147"/>
      <c r="W24" s="147"/>
      <c r="X24" s="147"/>
      <c r="Y24" s="147"/>
      <c r="Z24" s="147"/>
      <c r="AA24" s="147"/>
      <c r="AB24" s="147"/>
      <c r="AC24" s="147"/>
      <c r="AD24" s="187"/>
      <c r="AE24" s="2"/>
      <c r="AG24" s="77"/>
      <c r="AO24" s="2"/>
      <c r="AP24" s="2"/>
      <c r="AQ24" s="2"/>
      <c r="AR24" s="2"/>
      <c r="AS24" s="2"/>
      <c r="AT24" s="2"/>
      <c r="AU24" s="2"/>
      <c r="AV24" s="2"/>
      <c r="AW24" s="2"/>
      <c r="AX24" s="2"/>
      <c r="AY24" s="2"/>
      <c r="AZ24" s="2"/>
      <c r="BA24" s="2"/>
      <c r="BB24" s="2"/>
      <c r="BC24" s="2"/>
      <c r="BD24" s="2"/>
      <c r="BE24" s="2"/>
      <c r="BF24" s="2"/>
      <c r="BG24" s="2"/>
      <c r="BH24" s="2"/>
      <c r="BI24" s="2"/>
    </row>
    <row r="25" spans="1:61" s="21" customFormat="1" x14ac:dyDescent="0.15">
      <c r="A25" s="31" t="s">
        <v>136</v>
      </c>
      <c r="B25" s="147">
        <v>-612</v>
      </c>
      <c r="C25" s="147">
        <v>22</v>
      </c>
      <c r="D25" s="147">
        <v>-30</v>
      </c>
      <c r="E25" s="147">
        <f t="shared" si="0"/>
        <v>47</v>
      </c>
      <c r="F25" s="166">
        <v>-573</v>
      </c>
      <c r="G25" s="166">
        <v>298</v>
      </c>
      <c r="H25" s="186">
        <v>-17</v>
      </c>
      <c r="I25" s="166">
        <v>152</v>
      </c>
      <c r="J25" s="166">
        <f t="shared" si="1"/>
        <v>181</v>
      </c>
      <c r="K25" s="166">
        <v>614</v>
      </c>
      <c r="L25" s="187">
        <f t="shared" si="2"/>
        <v>0</v>
      </c>
      <c r="M25" s="186">
        <v>195</v>
      </c>
      <c r="N25" s="186">
        <v>194</v>
      </c>
      <c r="O25" s="186">
        <v>-36</v>
      </c>
      <c r="P25" s="186">
        <f t="shared" si="3"/>
        <v>-56</v>
      </c>
      <c r="Q25" s="186">
        <v>297</v>
      </c>
      <c r="R25" s="186">
        <v>48</v>
      </c>
      <c r="S25" s="186">
        <v>-438</v>
      </c>
      <c r="T25" s="186">
        <v>-15</v>
      </c>
      <c r="U25" s="186">
        <f t="shared" ref="U25:U27" si="11">+V25-SUM(R25:T25)</f>
        <v>-59</v>
      </c>
      <c r="V25" s="186">
        <v>-464</v>
      </c>
      <c r="W25" s="186">
        <v>34</v>
      </c>
      <c r="X25" s="186">
        <v>136</v>
      </c>
      <c r="Y25" s="186">
        <v>7</v>
      </c>
      <c r="Z25" s="186">
        <f t="shared" ref="Z25:Z38" si="12">+AA25-SUM(W25:Y25)</f>
        <v>506</v>
      </c>
      <c r="AA25" s="186">
        <v>683</v>
      </c>
      <c r="AB25" s="186">
        <v>342</v>
      </c>
      <c r="AC25" s="186">
        <v>137</v>
      </c>
      <c r="AD25" s="187"/>
      <c r="AE25" s="2"/>
      <c r="AG25" s="77"/>
      <c r="AO25" s="2"/>
      <c r="AP25" s="2"/>
      <c r="AQ25" s="2"/>
      <c r="AR25" s="2"/>
      <c r="AS25" s="2"/>
      <c r="AT25" s="2"/>
      <c r="AU25" s="2"/>
      <c r="AV25" s="2"/>
      <c r="AW25" s="2"/>
      <c r="AX25" s="2"/>
      <c r="AY25" s="2"/>
      <c r="AZ25" s="2"/>
      <c r="BA25" s="2"/>
      <c r="BB25" s="2"/>
      <c r="BC25" s="2"/>
      <c r="BD25" s="2"/>
      <c r="BE25" s="2"/>
      <c r="BF25" s="2"/>
      <c r="BG25" s="2"/>
      <c r="BH25" s="2"/>
      <c r="BI25" s="2"/>
    </row>
    <row r="26" spans="1:61" s="21" customFormat="1" x14ac:dyDescent="0.15">
      <c r="A26" s="31" t="s">
        <v>137</v>
      </c>
      <c r="B26" s="147">
        <v>28</v>
      </c>
      <c r="C26" s="147">
        <v>95</v>
      </c>
      <c r="D26" s="147">
        <v>70</v>
      </c>
      <c r="E26" s="147">
        <v>110</v>
      </c>
      <c r="F26" s="166">
        <v>303</v>
      </c>
      <c r="G26" s="166">
        <v>416</v>
      </c>
      <c r="H26" s="186">
        <v>544.57432654008653</v>
      </c>
      <c r="I26" s="166">
        <v>-1109.1716799999977</v>
      </c>
      <c r="J26" s="166">
        <v>-1056.4026465400889</v>
      </c>
      <c r="K26" s="186">
        <v>-1205</v>
      </c>
      <c r="L26" s="187">
        <f t="shared" si="2"/>
        <v>0</v>
      </c>
      <c r="M26" s="26">
        <v>-26</v>
      </c>
      <c r="N26" s="26">
        <v>-1178</v>
      </c>
      <c r="O26" s="26">
        <v>269</v>
      </c>
      <c r="P26" s="26">
        <f t="shared" si="3"/>
        <v>393</v>
      </c>
      <c r="Q26" s="26">
        <v>-542</v>
      </c>
      <c r="R26" s="26">
        <v>216</v>
      </c>
      <c r="S26" s="26">
        <v>-72</v>
      </c>
      <c r="T26" s="186">
        <v>446</v>
      </c>
      <c r="U26" s="186">
        <f t="shared" si="11"/>
        <v>-374</v>
      </c>
      <c r="V26" s="186">
        <v>216</v>
      </c>
      <c r="W26" s="186">
        <v>819</v>
      </c>
      <c r="X26" s="186">
        <v>-36</v>
      </c>
      <c r="Y26" s="186">
        <v>823</v>
      </c>
      <c r="Z26" s="186">
        <f t="shared" si="12"/>
        <v>-662</v>
      </c>
      <c r="AA26" s="186">
        <v>944</v>
      </c>
      <c r="AB26" s="186">
        <v>1226</v>
      </c>
      <c r="AC26" s="186">
        <v>108</v>
      </c>
      <c r="AD26" s="187"/>
      <c r="AE26" s="2"/>
      <c r="AG26" s="77"/>
      <c r="AO26" s="2"/>
      <c r="AP26" s="2"/>
      <c r="AQ26" s="2"/>
      <c r="AR26" s="2"/>
      <c r="AS26" s="2"/>
      <c r="AT26" s="2"/>
      <c r="AU26" s="2"/>
      <c r="AV26" s="2"/>
      <c r="AW26" s="2"/>
      <c r="AX26" s="2"/>
      <c r="AY26" s="2"/>
      <c r="AZ26" s="2"/>
      <c r="BA26" s="2"/>
      <c r="BB26" s="2"/>
      <c r="BC26" s="2"/>
      <c r="BD26" s="2"/>
      <c r="BE26" s="2"/>
      <c r="BF26" s="2"/>
      <c r="BG26" s="2"/>
      <c r="BH26" s="2"/>
      <c r="BI26" s="2"/>
    </row>
    <row r="27" spans="1:61" ht="12.75" customHeight="1" x14ac:dyDescent="0.15">
      <c r="A27" s="31" t="s">
        <v>138</v>
      </c>
      <c r="B27" s="147">
        <v>0</v>
      </c>
      <c r="C27" s="147">
        <v>0</v>
      </c>
      <c r="D27" s="147">
        <v>0</v>
      </c>
      <c r="E27" s="147">
        <f t="shared" si="0"/>
        <v>0</v>
      </c>
      <c r="F27" s="147">
        <v>0</v>
      </c>
      <c r="G27" s="147">
        <v>0</v>
      </c>
      <c r="H27" s="147">
        <v>0</v>
      </c>
      <c r="I27" s="147">
        <v>0</v>
      </c>
      <c r="J27" s="147">
        <v>0</v>
      </c>
      <c r="K27" s="147">
        <v>0</v>
      </c>
      <c r="L27" s="187">
        <f t="shared" si="2"/>
        <v>0</v>
      </c>
      <c r="M27" s="147">
        <v>0</v>
      </c>
      <c r="N27" s="147">
        <v>0</v>
      </c>
      <c r="O27" s="147">
        <v>0</v>
      </c>
      <c r="P27" s="147">
        <v>0</v>
      </c>
      <c r="Q27" s="147">
        <v>0</v>
      </c>
      <c r="R27" s="147">
        <v>0</v>
      </c>
      <c r="S27" s="147">
        <v>0</v>
      </c>
      <c r="T27" s="147">
        <v>0</v>
      </c>
      <c r="U27" s="186">
        <f t="shared" si="11"/>
        <v>0</v>
      </c>
      <c r="V27" s="147">
        <v>0</v>
      </c>
      <c r="W27" s="147">
        <v>0</v>
      </c>
      <c r="X27" s="186">
        <v>1000</v>
      </c>
      <c r="Y27" s="186">
        <v>0</v>
      </c>
      <c r="Z27" s="186">
        <f t="shared" si="12"/>
        <v>7250</v>
      </c>
      <c r="AA27" s="186">
        <v>8250</v>
      </c>
      <c r="AB27" s="186">
        <v>0</v>
      </c>
      <c r="AC27" s="186">
        <v>0</v>
      </c>
      <c r="AD27" s="187"/>
      <c r="AG27" s="77"/>
    </row>
    <row r="28" spans="1:61" x14ac:dyDescent="0.15">
      <c r="A28" s="31" t="s">
        <v>139</v>
      </c>
      <c r="B28" s="147">
        <v>0</v>
      </c>
      <c r="C28" s="147">
        <v>0</v>
      </c>
      <c r="D28" s="147">
        <v>0</v>
      </c>
      <c r="E28" s="147">
        <v>0</v>
      </c>
      <c r="F28" s="147">
        <v>0</v>
      </c>
      <c r="G28" s="147">
        <v>0</v>
      </c>
      <c r="H28" s="147">
        <v>13701</v>
      </c>
      <c r="I28" s="147">
        <v>6843</v>
      </c>
      <c r="J28" s="166">
        <f>+K28-SUM(G28:I28)</f>
        <v>6791</v>
      </c>
      <c r="K28" s="147">
        <v>27335</v>
      </c>
      <c r="L28" s="187">
        <f t="shared" si="2"/>
        <v>0</v>
      </c>
      <c r="M28" s="147">
        <v>6853</v>
      </c>
      <c r="N28" s="147">
        <v>6850</v>
      </c>
      <c r="O28" s="147">
        <v>6781</v>
      </c>
      <c r="P28" s="147">
        <f t="shared" si="3"/>
        <v>6662</v>
      </c>
      <c r="Q28" s="147">
        <v>27146</v>
      </c>
      <c r="R28" s="147">
        <v>6761</v>
      </c>
      <c r="S28" s="147">
        <v>6871</v>
      </c>
      <c r="T28" s="147">
        <v>6380</v>
      </c>
      <c r="U28" s="147">
        <f t="shared" ref="U28:U38" si="13">+V28-SUM(R28:T28)</f>
        <v>6314</v>
      </c>
      <c r="V28" s="147">
        <v>26326</v>
      </c>
      <c r="W28" s="147">
        <v>6043</v>
      </c>
      <c r="X28" s="147">
        <v>5962</v>
      </c>
      <c r="Y28" s="147">
        <v>5360</v>
      </c>
      <c r="Z28" s="147">
        <f t="shared" si="12"/>
        <v>4418</v>
      </c>
      <c r="AA28" s="186">
        <v>21783</v>
      </c>
      <c r="AB28" s="186">
        <v>4883</v>
      </c>
      <c r="AC28" s="186">
        <v>5449</v>
      </c>
      <c r="AD28" s="187"/>
      <c r="AG28" s="77"/>
    </row>
    <row r="29" spans="1:61" x14ac:dyDescent="0.15">
      <c r="A29" s="37" t="s">
        <v>140</v>
      </c>
      <c r="B29" s="147"/>
      <c r="C29" s="147"/>
      <c r="D29" s="147"/>
      <c r="E29" s="147"/>
      <c r="F29" s="166"/>
      <c r="G29" s="166"/>
      <c r="H29" s="166"/>
      <c r="I29" s="166"/>
      <c r="J29" s="166"/>
      <c r="K29" s="166"/>
      <c r="L29" s="187"/>
      <c r="M29" s="186"/>
      <c r="N29" s="186"/>
      <c r="O29" s="186"/>
      <c r="P29" s="186"/>
      <c r="Q29" s="186"/>
      <c r="R29" s="186"/>
      <c r="S29" s="186"/>
      <c r="T29" s="186"/>
      <c r="U29" s="186"/>
      <c r="V29" s="186"/>
      <c r="W29" s="186"/>
      <c r="X29" s="186"/>
      <c r="Y29" s="186"/>
      <c r="Z29" s="186"/>
      <c r="AA29" s="186"/>
      <c r="AB29" s="186"/>
      <c r="AC29" s="186"/>
      <c r="AD29" s="187"/>
      <c r="AG29" s="77"/>
    </row>
    <row r="30" spans="1:61" hidden="1" x14ac:dyDescent="0.15">
      <c r="A30" s="31" t="s">
        <v>75</v>
      </c>
      <c r="B30" s="147">
        <v>0</v>
      </c>
      <c r="C30" s="147">
        <v>0</v>
      </c>
      <c r="D30" s="147">
        <v>0</v>
      </c>
      <c r="E30" s="147">
        <f t="shared" ref="E30:E37" si="14">+F30-SUM(B30:D30)</f>
        <v>0</v>
      </c>
      <c r="F30" s="147">
        <v>0</v>
      </c>
      <c r="G30" s="147">
        <v>0</v>
      </c>
      <c r="H30" s="147">
        <v>0</v>
      </c>
      <c r="I30" s="147">
        <v>0</v>
      </c>
      <c r="J30" s="147">
        <f t="shared" ref="J30:J38" si="15">+K30-SUM(G30:I30)</f>
        <v>0</v>
      </c>
      <c r="K30" s="147">
        <v>0</v>
      </c>
      <c r="L30" s="187"/>
      <c r="M30" s="147">
        <v>0</v>
      </c>
      <c r="N30" s="147">
        <v>0</v>
      </c>
      <c r="O30" s="147">
        <v>0</v>
      </c>
      <c r="P30" s="147">
        <v>0</v>
      </c>
      <c r="Q30" s="147">
        <v>0</v>
      </c>
      <c r="R30" s="147">
        <v>0</v>
      </c>
      <c r="S30" s="147">
        <v>0</v>
      </c>
      <c r="T30" s="147">
        <v>0</v>
      </c>
      <c r="U30" s="147">
        <f t="shared" si="13"/>
        <v>0</v>
      </c>
      <c r="V30" s="147">
        <v>0</v>
      </c>
      <c r="W30" s="147">
        <v>0</v>
      </c>
      <c r="X30" s="147">
        <v>0</v>
      </c>
      <c r="Y30" s="147">
        <v>0</v>
      </c>
      <c r="Z30" s="147">
        <f t="shared" si="12"/>
        <v>0</v>
      </c>
      <c r="AA30" s="147"/>
      <c r="AB30" s="147"/>
      <c r="AC30" s="147"/>
      <c r="AD30" s="187"/>
      <c r="AG30" s="77"/>
    </row>
    <row r="31" spans="1:61" x14ac:dyDescent="0.15">
      <c r="A31" s="31" t="s">
        <v>141</v>
      </c>
      <c r="B31" s="148">
        <v>-590</v>
      </c>
      <c r="C31" s="148">
        <v>-11129</v>
      </c>
      <c r="D31" s="148">
        <v>2365</v>
      </c>
      <c r="E31" s="148">
        <f t="shared" si="14"/>
        <v>-692</v>
      </c>
      <c r="F31" s="166">
        <v>-10046</v>
      </c>
      <c r="G31" s="166">
        <v>-12016</v>
      </c>
      <c r="H31" s="166">
        <v>-4462</v>
      </c>
      <c r="I31" s="166">
        <v>3</v>
      </c>
      <c r="J31" s="166">
        <f t="shared" si="15"/>
        <v>9382</v>
      </c>
      <c r="K31" s="166">
        <v>-7093</v>
      </c>
      <c r="L31" s="187">
        <f t="shared" ref="L31:L38" si="16">SUM(G31:J31)-K31</f>
        <v>0</v>
      </c>
      <c r="M31" s="186">
        <v>-17518</v>
      </c>
      <c r="N31" s="186">
        <v>29898</v>
      </c>
      <c r="O31" s="186">
        <v>3698</v>
      </c>
      <c r="P31" s="186">
        <f t="shared" ref="P31:P38" si="17">+Q31-SUM(M31:O31)</f>
        <v>8618</v>
      </c>
      <c r="Q31" s="186">
        <v>24696</v>
      </c>
      <c r="R31" s="186">
        <v>-11818</v>
      </c>
      <c r="S31" s="186">
        <v>-22334</v>
      </c>
      <c r="T31" s="186">
        <v>-10719</v>
      </c>
      <c r="U31" s="186">
        <f t="shared" si="13"/>
        <v>7187</v>
      </c>
      <c r="V31" s="186">
        <v>-37684</v>
      </c>
      <c r="W31" s="186">
        <v>-45659</v>
      </c>
      <c r="X31" s="186">
        <v>-726</v>
      </c>
      <c r="Y31" s="186">
        <v>-21681</v>
      </c>
      <c r="Z31" s="186">
        <f t="shared" si="12"/>
        <v>-55</v>
      </c>
      <c r="AA31" s="186">
        <v>-68121</v>
      </c>
      <c r="AB31" s="186">
        <v>-30896</v>
      </c>
      <c r="AC31" s="186">
        <v>2521</v>
      </c>
      <c r="AD31" s="187"/>
      <c r="AG31" s="77"/>
    </row>
    <row r="32" spans="1:61" x14ac:dyDescent="0.15">
      <c r="A32" s="31" t="s">
        <v>77</v>
      </c>
      <c r="B32" s="148">
        <v>-2164</v>
      </c>
      <c r="C32" s="148">
        <v>-266</v>
      </c>
      <c r="D32" s="148">
        <v>-914</v>
      </c>
      <c r="E32" s="148">
        <f t="shared" si="14"/>
        <v>-1165</v>
      </c>
      <c r="F32" s="166">
        <v>-4509</v>
      </c>
      <c r="G32" s="166">
        <v>591</v>
      </c>
      <c r="H32" s="166">
        <v>-2624</v>
      </c>
      <c r="I32" s="166">
        <v>2785</v>
      </c>
      <c r="J32" s="166">
        <f t="shared" si="15"/>
        <v>463</v>
      </c>
      <c r="K32" s="166">
        <v>1215</v>
      </c>
      <c r="L32" s="187">
        <f t="shared" si="16"/>
        <v>0</v>
      </c>
      <c r="M32" s="186">
        <v>-1871</v>
      </c>
      <c r="N32" s="186">
        <v>965</v>
      </c>
      <c r="O32" s="186">
        <v>2703</v>
      </c>
      <c r="P32" s="186">
        <f t="shared" si="17"/>
        <v>-6930</v>
      </c>
      <c r="Q32" s="186">
        <v>-5133</v>
      </c>
      <c r="R32" s="186">
        <v>-21</v>
      </c>
      <c r="S32" s="186">
        <v>210</v>
      </c>
      <c r="T32" s="186">
        <v>2844</v>
      </c>
      <c r="U32" s="186">
        <f t="shared" si="13"/>
        <v>-4212</v>
      </c>
      <c r="V32" s="186">
        <v>-1179</v>
      </c>
      <c r="W32" s="186">
        <v>-1116</v>
      </c>
      <c r="X32" s="186">
        <v>3977</v>
      </c>
      <c r="Y32" s="186">
        <v>-308</v>
      </c>
      <c r="Z32" s="186">
        <f t="shared" si="12"/>
        <v>-10262</v>
      </c>
      <c r="AA32" s="186">
        <v>-7709</v>
      </c>
      <c r="AB32" s="186">
        <v>-6046</v>
      </c>
      <c r="AC32" s="186">
        <v>1659</v>
      </c>
      <c r="AD32" s="187"/>
      <c r="AG32" s="77"/>
    </row>
    <row r="33" spans="1:204" x14ac:dyDescent="0.15">
      <c r="A33" s="31" t="s">
        <v>91</v>
      </c>
      <c r="B33" s="148">
        <v>-1726</v>
      </c>
      <c r="C33" s="148">
        <v>383</v>
      </c>
      <c r="D33" s="148">
        <v>-71</v>
      </c>
      <c r="E33" s="148">
        <f t="shared" si="14"/>
        <v>1054</v>
      </c>
      <c r="F33" s="166">
        <v>-360</v>
      </c>
      <c r="G33" s="166">
        <v>-1159</v>
      </c>
      <c r="H33" s="166">
        <v>-955</v>
      </c>
      <c r="I33" s="166">
        <v>267</v>
      </c>
      <c r="J33" s="166">
        <f t="shared" si="15"/>
        <v>1981</v>
      </c>
      <c r="K33" s="166">
        <v>134</v>
      </c>
      <c r="L33" s="187">
        <f t="shared" si="16"/>
        <v>0</v>
      </c>
      <c r="M33" s="186">
        <v>1400</v>
      </c>
      <c r="N33" s="186">
        <v>543</v>
      </c>
      <c r="O33" s="186">
        <v>-2433</v>
      </c>
      <c r="P33" s="186">
        <f t="shared" si="17"/>
        <v>733</v>
      </c>
      <c r="Q33" s="186">
        <v>243</v>
      </c>
      <c r="R33" s="186">
        <v>1902</v>
      </c>
      <c r="S33" s="186">
        <v>-4360</v>
      </c>
      <c r="T33" s="186">
        <v>125</v>
      </c>
      <c r="U33" s="186">
        <f t="shared" si="13"/>
        <v>1719</v>
      </c>
      <c r="V33" s="186">
        <v>-614</v>
      </c>
      <c r="W33" s="186">
        <v>-808</v>
      </c>
      <c r="X33" s="186">
        <v>-299</v>
      </c>
      <c r="Y33" s="186">
        <v>-820</v>
      </c>
      <c r="Z33" s="186">
        <f t="shared" si="12"/>
        <v>4312</v>
      </c>
      <c r="AA33" s="186">
        <v>2385</v>
      </c>
      <c r="AB33" s="186">
        <v>-4445</v>
      </c>
      <c r="AC33" s="186">
        <v>-351</v>
      </c>
      <c r="AD33" s="187"/>
      <c r="AG33" s="77"/>
    </row>
    <row r="34" spans="1:204" x14ac:dyDescent="0.15">
      <c r="A34" s="31" t="s">
        <v>93</v>
      </c>
      <c r="B34" s="148">
        <v>877</v>
      </c>
      <c r="C34" s="148">
        <v>-1076</v>
      </c>
      <c r="D34" s="148">
        <v>-5000</v>
      </c>
      <c r="E34" s="148">
        <f t="shared" si="14"/>
        <v>270</v>
      </c>
      <c r="F34" s="166">
        <v>-4929</v>
      </c>
      <c r="G34" s="166">
        <v>3262</v>
      </c>
      <c r="H34" s="166">
        <v>2392</v>
      </c>
      <c r="I34" s="166">
        <v>-2407</v>
      </c>
      <c r="J34" s="166">
        <f t="shared" si="15"/>
        <v>3432</v>
      </c>
      <c r="K34" s="166">
        <v>6679</v>
      </c>
      <c r="L34" s="187">
        <f t="shared" si="16"/>
        <v>0</v>
      </c>
      <c r="M34" s="186">
        <v>2579</v>
      </c>
      <c r="N34" s="186">
        <v>487</v>
      </c>
      <c r="O34" s="186">
        <v>-2771</v>
      </c>
      <c r="P34" s="186">
        <f t="shared" si="17"/>
        <v>17927</v>
      </c>
      <c r="Q34" s="186">
        <v>18222</v>
      </c>
      <c r="R34" s="186">
        <v>-17986</v>
      </c>
      <c r="S34" s="186">
        <v>-2846</v>
      </c>
      <c r="T34" s="186">
        <v>-364</v>
      </c>
      <c r="U34" s="186">
        <f t="shared" si="13"/>
        <v>8463</v>
      </c>
      <c r="V34" s="186">
        <v>-12733</v>
      </c>
      <c r="W34" s="186">
        <v>3707</v>
      </c>
      <c r="X34" s="186">
        <v>569</v>
      </c>
      <c r="Y34" s="186">
        <v>-2173</v>
      </c>
      <c r="Z34" s="186">
        <f t="shared" si="12"/>
        <v>370</v>
      </c>
      <c r="AA34" s="186">
        <v>2473</v>
      </c>
      <c r="AB34" s="186">
        <v>2451</v>
      </c>
      <c r="AC34" s="186">
        <v>2929</v>
      </c>
      <c r="AD34" s="187"/>
      <c r="AG34" s="77"/>
    </row>
    <row r="35" spans="1:204" x14ac:dyDescent="0.15">
      <c r="A35" s="31" t="s">
        <v>142</v>
      </c>
      <c r="B35" s="148">
        <v>-24338</v>
      </c>
      <c r="C35" s="148">
        <v>6380</v>
      </c>
      <c r="D35" s="148">
        <v>9842</v>
      </c>
      <c r="E35" s="148">
        <f t="shared" si="14"/>
        <v>8304</v>
      </c>
      <c r="F35" s="166">
        <v>188</v>
      </c>
      <c r="G35" s="166">
        <v>-16599</v>
      </c>
      <c r="H35" s="166">
        <v>9232</v>
      </c>
      <c r="I35" s="166">
        <v>22947</v>
      </c>
      <c r="J35" s="166">
        <f t="shared" si="15"/>
        <v>15476</v>
      </c>
      <c r="K35" s="166">
        <v>31056</v>
      </c>
      <c r="L35" s="187">
        <f t="shared" si="16"/>
        <v>0</v>
      </c>
      <c r="M35" s="186">
        <v>-36074</v>
      </c>
      <c r="N35" s="186">
        <v>8272</v>
      </c>
      <c r="O35" s="186">
        <v>15587</v>
      </c>
      <c r="P35" s="186">
        <f t="shared" si="17"/>
        <v>2655</v>
      </c>
      <c r="Q35" s="186">
        <v>-9560</v>
      </c>
      <c r="R35" s="186">
        <v>-15155</v>
      </c>
      <c r="S35" s="186">
        <v>31278</v>
      </c>
      <c r="T35" s="186">
        <v>13795</v>
      </c>
      <c r="U35" s="186">
        <f t="shared" si="13"/>
        <v>19491</v>
      </c>
      <c r="V35" s="186">
        <v>49409</v>
      </c>
      <c r="W35" s="186">
        <v>-44361</v>
      </c>
      <c r="X35" s="186">
        <v>21535</v>
      </c>
      <c r="Y35" s="186">
        <v>24733</v>
      </c>
      <c r="Z35" s="186">
        <f t="shared" si="12"/>
        <v>18119</v>
      </c>
      <c r="AA35" s="186">
        <v>20026</v>
      </c>
      <c r="AB35" s="186">
        <v>-30384</v>
      </c>
      <c r="AC35" s="186">
        <v>5311</v>
      </c>
      <c r="AD35" s="187"/>
      <c r="AG35" s="77"/>
    </row>
    <row r="36" spans="1:204" x14ac:dyDescent="0.15">
      <c r="A36" s="31" t="s">
        <v>97</v>
      </c>
      <c r="B36" s="148">
        <v>-13906</v>
      </c>
      <c r="C36" s="148">
        <v>6301</v>
      </c>
      <c r="D36" s="148">
        <v>3377</v>
      </c>
      <c r="E36" s="148">
        <f t="shared" si="14"/>
        <v>-9919</v>
      </c>
      <c r="F36" s="166">
        <v>-14147</v>
      </c>
      <c r="G36" s="166">
        <v>-2099</v>
      </c>
      <c r="H36" s="166">
        <v>3444</v>
      </c>
      <c r="I36" s="166">
        <v>4867</v>
      </c>
      <c r="J36" s="166">
        <f t="shared" si="15"/>
        <v>982</v>
      </c>
      <c r="K36" s="166">
        <v>7194</v>
      </c>
      <c r="L36" s="187">
        <f t="shared" si="16"/>
        <v>0</v>
      </c>
      <c r="M36" s="186">
        <v>-1109</v>
      </c>
      <c r="N36" s="186">
        <v>5555</v>
      </c>
      <c r="O36" s="186">
        <v>2555</v>
      </c>
      <c r="P36" s="186">
        <f t="shared" si="17"/>
        <v>-6305</v>
      </c>
      <c r="Q36" s="186">
        <v>696</v>
      </c>
      <c r="R36" s="186">
        <v>9057</v>
      </c>
      <c r="S36" s="186">
        <v>-9018</v>
      </c>
      <c r="T36" s="186">
        <v>-5724</v>
      </c>
      <c r="U36" s="186">
        <f t="shared" si="13"/>
        <v>-6377</v>
      </c>
      <c r="V36" s="186">
        <v>-12062</v>
      </c>
      <c r="W36" s="186">
        <v>6185</v>
      </c>
      <c r="X36" s="186">
        <v>2499</v>
      </c>
      <c r="Y36" s="186">
        <v>-4641</v>
      </c>
      <c r="Z36" s="186">
        <f t="shared" si="12"/>
        <v>4736</v>
      </c>
      <c r="AA36" s="186">
        <v>8779</v>
      </c>
      <c r="AB36" s="186">
        <v>7883</v>
      </c>
      <c r="AC36" s="186">
        <v>-18493</v>
      </c>
      <c r="AD36" s="187"/>
      <c r="AG36" s="77"/>
    </row>
    <row r="37" spans="1:204" x14ac:dyDescent="0.15">
      <c r="A37" s="31" t="s">
        <v>87</v>
      </c>
      <c r="B37" s="148">
        <v>-1789</v>
      </c>
      <c r="C37" s="148">
        <v>-2498</v>
      </c>
      <c r="D37" s="148">
        <v>-1697</v>
      </c>
      <c r="E37" s="148">
        <f t="shared" si="14"/>
        <v>-816</v>
      </c>
      <c r="F37" s="166">
        <v>-6800</v>
      </c>
      <c r="G37" s="166">
        <v>388</v>
      </c>
      <c r="H37" s="166">
        <v>-262</v>
      </c>
      <c r="I37" s="166">
        <v>-1433</v>
      </c>
      <c r="J37" s="166">
        <f t="shared" si="15"/>
        <v>-897</v>
      </c>
      <c r="K37" s="166">
        <v>-2204</v>
      </c>
      <c r="L37" s="187">
        <f t="shared" si="16"/>
        <v>0</v>
      </c>
      <c r="M37" s="186">
        <v>925</v>
      </c>
      <c r="N37" s="186">
        <v>2121</v>
      </c>
      <c r="O37" s="186">
        <v>50</v>
      </c>
      <c r="P37" s="186">
        <f t="shared" si="17"/>
        <v>3409</v>
      </c>
      <c r="Q37" s="186">
        <v>6505</v>
      </c>
      <c r="R37" s="186">
        <v>1268</v>
      </c>
      <c r="S37" s="186">
        <v>321</v>
      </c>
      <c r="T37" s="186">
        <v>896</v>
      </c>
      <c r="U37" s="186">
        <f t="shared" si="13"/>
        <v>-2258</v>
      </c>
      <c r="V37" s="186">
        <v>227</v>
      </c>
      <c r="W37" s="186">
        <v>-2924</v>
      </c>
      <c r="X37" s="186">
        <v>-3660</v>
      </c>
      <c r="Y37" s="186">
        <v>-1844</v>
      </c>
      <c r="Z37" s="186">
        <f t="shared" si="12"/>
        <v>-2295</v>
      </c>
      <c r="AA37" s="186">
        <v>-10723</v>
      </c>
      <c r="AB37" s="186">
        <v>-4172</v>
      </c>
      <c r="AC37" s="186">
        <v>-8600</v>
      </c>
      <c r="AD37" s="187"/>
      <c r="AG37" s="77"/>
    </row>
    <row r="38" spans="1:204" x14ac:dyDescent="0.15">
      <c r="A38" s="31" t="s">
        <v>143</v>
      </c>
      <c r="B38" s="166">
        <v>0</v>
      </c>
      <c r="C38" s="166">
        <v>0</v>
      </c>
      <c r="D38" s="166">
        <v>0</v>
      </c>
      <c r="E38" s="166">
        <v>0</v>
      </c>
      <c r="F38" s="166">
        <v>0</v>
      </c>
      <c r="G38" s="166">
        <v>0</v>
      </c>
      <c r="H38" s="166">
        <v>-13749</v>
      </c>
      <c r="I38" s="166">
        <v>-5679</v>
      </c>
      <c r="J38" s="166">
        <f t="shared" si="15"/>
        <v>-5385</v>
      </c>
      <c r="K38" s="166">
        <v>-24813</v>
      </c>
      <c r="L38" s="187">
        <f t="shared" si="16"/>
        <v>0</v>
      </c>
      <c r="M38" s="186">
        <v>-6576</v>
      </c>
      <c r="N38" s="186">
        <v>-6255</v>
      </c>
      <c r="O38" s="186">
        <v>-6949</v>
      </c>
      <c r="P38" s="186">
        <f t="shared" si="17"/>
        <v>-6809</v>
      </c>
      <c r="Q38" s="186">
        <v>-26589</v>
      </c>
      <c r="R38" s="186">
        <v>-6868</v>
      </c>
      <c r="S38" s="186">
        <v>-6459</v>
      </c>
      <c r="T38" s="186">
        <v>-6327</v>
      </c>
      <c r="U38" s="186">
        <f t="shared" si="13"/>
        <v>-6020</v>
      </c>
      <c r="V38" s="186">
        <v>-25674</v>
      </c>
      <c r="W38" s="186">
        <v>-6005</v>
      </c>
      <c r="X38" s="186">
        <v>-5917</v>
      </c>
      <c r="Y38" s="186">
        <v>-5909</v>
      </c>
      <c r="Z38" s="186">
        <f t="shared" si="12"/>
        <v>-5396</v>
      </c>
      <c r="AA38" s="186">
        <v>-23227</v>
      </c>
      <c r="AB38" s="186">
        <v>-5453</v>
      </c>
      <c r="AC38" s="186">
        <v>-5376</v>
      </c>
      <c r="AD38" s="187"/>
      <c r="AG38" s="77"/>
    </row>
    <row r="39" spans="1:204" x14ac:dyDescent="0.15">
      <c r="A39" s="43" t="s">
        <v>144</v>
      </c>
      <c r="B39" s="140">
        <f t="shared" ref="B39:AB39" si="18">SUM(B8:B38)</f>
        <v>-8005</v>
      </c>
      <c r="C39" s="140">
        <f t="shared" si="18"/>
        <v>21798</v>
      </c>
      <c r="D39" s="140">
        <f t="shared" si="18"/>
        <v>33058</v>
      </c>
      <c r="E39" s="140">
        <f t="shared" si="18"/>
        <v>45584.475935178678</v>
      </c>
      <c r="F39" s="140">
        <f t="shared" si="18"/>
        <v>92435.475935178692</v>
      </c>
      <c r="G39" s="140">
        <f t="shared" si="18"/>
        <v>8342.4759351786779</v>
      </c>
      <c r="H39" s="140">
        <f t="shared" si="18"/>
        <v>39374.098391361404</v>
      </c>
      <c r="I39" s="140">
        <f t="shared" si="18"/>
        <v>58237.828320000001</v>
      </c>
      <c r="J39" s="140">
        <f t="shared" si="18"/>
        <v>62465.597353459918</v>
      </c>
      <c r="K39" s="140">
        <f t="shared" si="18"/>
        <v>168420</v>
      </c>
      <c r="L39" s="140">
        <f t="shared" si="18"/>
        <v>0</v>
      </c>
      <c r="M39" s="140">
        <f t="shared" si="18"/>
        <v>-13555</v>
      </c>
      <c r="N39" s="140">
        <f t="shared" si="18"/>
        <v>72462</v>
      </c>
      <c r="O39" s="140">
        <f t="shared" si="18"/>
        <v>67407</v>
      </c>
      <c r="P39" s="140">
        <f t="shared" si="18"/>
        <v>76659</v>
      </c>
      <c r="Q39" s="140">
        <f t="shared" si="18"/>
        <v>202973</v>
      </c>
      <c r="R39" s="140">
        <f t="shared" si="18"/>
        <v>15205</v>
      </c>
      <c r="S39" s="140">
        <f t="shared" si="18"/>
        <v>38738</v>
      </c>
      <c r="T39" s="140">
        <f t="shared" si="18"/>
        <v>59819</v>
      </c>
      <c r="U39" s="140">
        <f t="shared" si="18"/>
        <v>70625</v>
      </c>
      <c r="V39" s="140">
        <f t="shared" si="18"/>
        <v>184387</v>
      </c>
      <c r="W39" s="140">
        <f t="shared" si="18"/>
        <v>-26870</v>
      </c>
      <c r="X39" s="140">
        <f t="shared" si="18"/>
        <v>79878</v>
      </c>
      <c r="Y39" s="140">
        <f t="shared" si="18"/>
        <v>48081</v>
      </c>
      <c r="Z39" s="140">
        <f t="shared" si="18"/>
        <v>65052</v>
      </c>
      <c r="AA39" s="140">
        <f t="shared" si="18"/>
        <v>166141</v>
      </c>
      <c r="AB39" s="140">
        <f t="shared" si="18"/>
        <v>16025</v>
      </c>
      <c r="AC39" s="140">
        <f t="shared" ref="AC39" si="19">SUM(AC8:AC38)</f>
        <v>47534</v>
      </c>
      <c r="AD39" s="187"/>
      <c r="AF39" s="95"/>
      <c r="AG39" s="95"/>
      <c r="AH39" s="95"/>
      <c r="AI39" s="95"/>
      <c r="AJ39" s="95"/>
      <c r="AK39" s="95"/>
      <c r="AL39" s="95"/>
      <c r="AM39" s="95"/>
      <c r="AN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c r="CN39" s="95"/>
      <c r="CO39" s="95"/>
      <c r="CP39" s="95"/>
      <c r="CQ39" s="95"/>
      <c r="CR39" s="95"/>
      <c r="CS39" s="95"/>
      <c r="CT39" s="95"/>
      <c r="CU39" s="95"/>
      <c r="CV39" s="95"/>
      <c r="CW39" s="95"/>
      <c r="CX39" s="95"/>
      <c r="CY39" s="95"/>
      <c r="CZ39" s="95"/>
      <c r="DA39" s="95"/>
      <c r="DB39" s="95"/>
      <c r="DC39" s="95"/>
      <c r="DD39" s="95"/>
      <c r="DE39" s="95"/>
      <c r="DF39" s="95"/>
      <c r="DG39" s="95"/>
      <c r="DH39" s="95"/>
      <c r="DI39" s="95"/>
      <c r="DJ39" s="95"/>
      <c r="DK39" s="95"/>
      <c r="DL39" s="95"/>
      <c r="DM39" s="95"/>
      <c r="DN39" s="95"/>
      <c r="DO39" s="95"/>
      <c r="DP39" s="95"/>
      <c r="DQ39" s="95"/>
      <c r="DR39" s="95"/>
      <c r="DS39" s="95"/>
      <c r="DT39" s="95"/>
      <c r="DU39" s="95"/>
      <c r="DV39" s="95"/>
      <c r="DW39" s="95"/>
      <c r="DX39" s="95"/>
      <c r="DY39" s="95"/>
      <c r="DZ39" s="95"/>
      <c r="EA39" s="95"/>
      <c r="EB39" s="95"/>
      <c r="EC39" s="95"/>
      <c r="ED39" s="95"/>
      <c r="EE39" s="95"/>
      <c r="EF39" s="95"/>
      <c r="EG39" s="95"/>
      <c r="EH39" s="95"/>
      <c r="EI39" s="95"/>
      <c r="EJ39" s="95"/>
      <c r="EK39" s="95"/>
      <c r="EL39" s="95"/>
      <c r="EM39" s="95"/>
      <c r="EN39" s="95"/>
      <c r="EO39" s="95"/>
      <c r="EP39" s="95"/>
      <c r="EQ39" s="95"/>
      <c r="ER39" s="95"/>
      <c r="ES39" s="95"/>
      <c r="ET39" s="95"/>
      <c r="EU39" s="95"/>
      <c r="EV39" s="95"/>
      <c r="EW39" s="95"/>
      <c r="EX39" s="95"/>
      <c r="EY39" s="95"/>
      <c r="EZ39" s="95"/>
      <c r="FA39" s="95"/>
      <c r="FB39" s="95"/>
      <c r="FC39" s="95"/>
      <c r="FD39" s="95"/>
      <c r="FE39" s="95"/>
      <c r="FF39" s="95"/>
      <c r="FG39" s="95"/>
      <c r="FH39" s="95"/>
      <c r="FI39" s="95"/>
      <c r="FJ39" s="95"/>
      <c r="FK39" s="95"/>
      <c r="FL39" s="95"/>
      <c r="FM39" s="95"/>
      <c r="FN39" s="95"/>
      <c r="FO39" s="95"/>
      <c r="FP39" s="95"/>
      <c r="FQ39" s="95"/>
      <c r="FR39" s="95"/>
      <c r="FS39" s="95"/>
      <c r="FT39" s="95"/>
      <c r="FU39" s="95"/>
      <c r="FV39" s="95"/>
      <c r="FW39" s="95"/>
      <c r="FX39" s="95"/>
      <c r="FY39" s="95"/>
      <c r="FZ39" s="95"/>
      <c r="GA39" s="95"/>
      <c r="GB39" s="95"/>
      <c r="GC39" s="95"/>
      <c r="GD39" s="95"/>
      <c r="GE39" s="95"/>
      <c r="GF39" s="95"/>
      <c r="GG39" s="95"/>
      <c r="GH39" s="95"/>
      <c r="GI39" s="95"/>
      <c r="GJ39" s="95"/>
      <c r="GK39" s="95"/>
      <c r="GL39" s="95"/>
      <c r="GM39" s="95"/>
      <c r="GN39" s="95"/>
      <c r="GO39" s="95"/>
      <c r="GP39" s="95"/>
      <c r="GQ39" s="95"/>
      <c r="GR39" s="95"/>
      <c r="GS39" s="95"/>
      <c r="GT39" s="95"/>
      <c r="GU39" s="95"/>
      <c r="GV39" s="95"/>
    </row>
    <row r="40" spans="1:204" x14ac:dyDescent="0.15">
      <c r="A40" s="14" t="s">
        <v>79</v>
      </c>
      <c r="F40" s="166"/>
      <c r="G40" s="166"/>
      <c r="H40" s="166"/>
      <c r="I40" s="166"/>
      <c r="J40" s="166"/>
      <c r="K40" s="166"/>
      <c r="L40" s="2"/>
      <c r="M40" s="186"/>
      <c r="N40" s="186"/>
      <c r="O40" s="186"/>
      <c r="P40" s="186"/>
      <c r="Q40" s="186"/>
      <c r="R40" s="186"/>
      <c r="S40" s="186"/>
      <c r="T40" s="186"/>
      <c r="U40" s="186"/>
      <c r="V40" s="186"/>
      <c r="W40" s="186"/>
      <c r="X40" s="186"/>
      <c r="Y40" s="186"/>
      <c r="Z40" s="186"/>
      <c r="AA40" s="186"/>
      <c r="AB40" s="186"/>
      <c r="AC40" s="186"/>
      <c r="AD40" s="77"/>
    </row>
    <row r="41" spans="1:204" x14ac:dyDescent="0.15">
      <c r="A41" s="10" t="s">
        <v>145</v>
      </c>
      <c r="F41" s="166"/>
      <c r="G41" s="166"/>
      <c r="H41" s="166"/>
      <c r="I41" s="166"/>
      <c r="J41" s="166"/>
      <c r="K41" s="166"/>
      <c r="L41" s="2"/>
      <c r="M41" s="186"/>
      <c r="N41" s="186"/>
      <c r="O41" s="186"/>
      <c r="P41" s="186"/>
      <c r="Q41" s="186"/>
      <c r="R41" s="186"/>
      <c r="S41" s="186"/>
      <c r="T41" s="186"/>
      <c r="U41" s="186"/>
      <c r="V41" s="186"/>
      <c r="W41" s="186"/>
      <c r="X41" s="186"/>
      <c r="Y41" s="186"/>
      <c r="Z41" s="186"/>
      <c r="AA41" s="186"/>
      <c r="AB41" s="186"/>
      <c r="AC41" s="186"/>
      <c r="AD41" s="187"/>
    </row>
    <row r="42" spans="1:204" x14ac:dyDescent="0.15">
      <c r="A42" s="12" t="s">
        <v>146</v>
      </c>
      <c r="B42" s="150">
        <v>-12680</v>
      </c>
      <c r="C42" s="150">
        <v>-6616</v>
      </c>
      <c r="D42" s="150">
        <v>-10774</v>
      </c>
      <c r="E42" s="150">
        <f t="shared" ref="E42:E48" si="20">+F42-SUM(B42:D42)</f>
        <v>-10719</v>
      </c>
      <c r="F42" s="166">
        <v>-40789</v>
      </c>
      <c r="G42" s="166">
        <v>-10878</v>
      </c>
      <c r="H42" s="166">
        <v>-11409</v>
      </c>
      <c r="I42" s="166">
        <f>-10021</f>
        <v>-10021</v>
      </c>
      <c r="J42" s="166">
        <f t="shared" ref="J42:J47" si="21">+K42-SUM(G42:I42)</f>
        <v>-8237</v>
      </c>
      <c r="K42" s="166">
        <v>-40545</v>
      </c>
      <c r="L42" s="187">
        <f t="shared" ref="L42:L48" si="22">SUM(G42:J42)-K42</f>
        <v>0</v>
      </c>
      <c r="M42" s="186">
        <v>-12347</v>
      </c>
      <c r="N42" s="186">
        <v>-10004</v>
      </c>
      <c r="O42" s="186">
        <v>-12263</v>
      </c>
      <c r="P42" s="186">
        <f t="shared" ref="P42:P47" si="23">+Q42-SUM(M42:O42)</f>
        <v>-7610</v>
      </c>
      <c r="Q42" s="186">
        <v>-42224</v>
      </c>
      <c r="R42" s="186">
        <v>-12680</v>
      </c>
      <c r="S42" s="186">
        <v>-7223</v>
      </c>
      <c r="T42" s="186">
        <v>-9123</v>
      </c>
      <c r="U42" s="186">
        <f t="shared" ref="U42:U48" si="24">+V42-SUM(R42:T42)</f>
        <v>-8222</v>
      </c>
      <c r="V42" s="186">
        <v>-37248</v>
      </c>
      <c r="W42" s="186">
        <v>-16101</v>
      </c>
      <c r="X42" s="186">
        <v>-8953</v>
      </c>
      <c r="Y42" s="186">
        <v>-7045</v>
      </c>
      <c r="Z42" s="186">
        <f t="shared" ref="Z42:Z48" si="25">+AA42-SUM(W42:Y42)</f>
        <v>-12737</v>
      </c>
      <c r="AA42" s="186">
        <v>-44836</v>
      </c>
      <c r="AB42" s="186">
        <v>-12479</v>
      </c>
      <c r="AC42" s="186">
        <v>-13634</v>
      </c>
      <c r="AD42" s="187"/>
    </row>
    <row r="43" spans="1:204" x14ac:dyDescent="0.15">
      <c r="A43" s="12" t="s">
        <v>147</v>
      </c>
      <c r="B43" s="150"/>
      <c r="C43" s="150"/>
      <c r="D43" s="150"/>
      <c r="E43" s="150">
        <f>F43</f>
        <v>352</v>
      </c>
      <c r="F43" s="166">
        <v>352</v>
      </c>
      <c r="G43" s="166">
        <v>0</v>
      </c>
      <c r="H43" s="166">
        <v>0</v>
      </c>
      <c r="I43" s="166">
        <v>0</v>
      </c>
      <c r="J43" s="166">
        <f>K43</f>
        <v>407</v>
      </c>
      <c r="K43" s="166">
        <v>407</v>
      </c>
      <c r="L43" s="187"/>
      <c r="M43" s="186">
        <v>73</v>
      </c>
      <c r="N43" s="186">
        <v>227</v>
      </c>
      <c r="O43" s="186">
        <v>324</v>
      </c>
      <c r="P43" s="186">
        <f t="shared" si="23"/>
        <v>292</v>
      </c>
      <c r="Q43" s="186">
        <v>916</v>
      </c>
      <c r="R43" s="186">
        <v>129</v>
      </c>
      <c r="S43" s="186">
        <v>398</v>
      </c>
      <c r="T43" s="186">
        <v>298</v>
      </c>
      <c r="U43" s="186">
        <f t="shared" si="24"/>
        <v>475</v>
      </c>
      <c r="V43" s="186">
        <v>1300</v>
      </c>
      <c r="W43" s="186">
        <v>63</v>
      </c>
      <c r="X43" s="186">
        <v>91</v>
      </c>
      <c r="Y43" s="186">
        <v>43</v>
      </c>
      <c r="Z43" s="186">
        <f t="shared" si="25"/>
        <v>69</v>
      </c>
      <c r="AA43" s="186">
        <v>266</v>
      </c>
      <c r="AB43" s="186">
        <v>565</v>
      </c>
      <c r="AC43" s="186">
        <v>-18</v>
      </c>
      <c r="AD43" s="187"/>
      <c r="AE43" s="187"/>
    </row>
    <row r="44" spans="1:204" x14ac:dyDescent="0.15">
      <c r="A44" s="12" t="s">
        <v>148</v>
      </c>
      <c r="B44" s="147">
        <v>0</v>
      </c>
      <c r="C44" s="147">
        <v>0</v>
      </c>
      <c r="D44" s="147">
        <v>0</v>
      </c>
      <c r="E44" s="147">
        <f t="shared" si="20"/>
        <v>0</v>
      </c>
      <c r="F44" s="166">
        <v>0</v>
      </c>
      <c r="G44" s="166">
        <v>0</v>
      </c>
      <c r="H44" s="166">
        <v>0</v>
      </c>
      <c r="I44" s="166">
        <v>0</v>
      </c>
      <c r="J44" s="166">
        <f t="shared" si="21"/>
        <v>0</v>
      </c>
      <c r="K44" s="166">
        <v>0</v>
      </c>
      <c r="L44" s="187">
        <f t="shared" si="22"/>
        <v>0</v>
      </c>
      <c r="M44" s="186">
        <v>-700</v>
      </c>
      <c r="N44" s="186">
        <v>0</v>
      </c>
      <c r="O44" s="186">
        <v>0</v>
      </c>
      <c r="P44" s="186">
        <f t="shared" si="23"/>
        <v>0</v>
      </c>
      <c r="Q44" s="186">
        <v>-700</v>
      </c>
      <c r="R44" s="186">
        <v>0</v>
      </c>
      <c r="S44" s="186">
        <v>0</v>
      </c>
      <c r="T44" s="186">
        <v>0</v>
      </c>
      <c r="U44" s="186">
        <f t="shared" si="24"/>
        <v>0</v>
      </c>
      <c r="V44" s="186">
        <v>0</v>
      </c>
      <c r="W44" s="186">
        <v>0</v>
      </c>
      <c r="X44" s="186">
        <v>0</v>
      </c>
      <c r="Y44" s="186">
        <v>0</v>
      </c>
      <c r="Z44" s="186">
        <f t="shared" si="25"/>
        <v>0</v>
      </c>
      <c r="AA44" s="186">
        <v>0</v>
      </c>
      <c r="AB44" s="186">
        <v>0</v>
      </c>
      <c r="AC44" s="186">
        <v>0</v>
      </c>
      <c r="AD44" s="187"/>
      <c r="AE44" s="187"/>
    </row>
    <row r="45" spans="1:204" x14ac:dyDescent="0.15">
      <c r="A45" s="12" t="s">
        <v>149</v>
      </c>
      <c r="B45" s="148">
        <v>-380</v>
      </c>
      <c r="C45" s="148">
        <v>-115</v>
      </c>
      <c r="D45" s="148">
        <v>-231423</v>
      </c>
      <c r="E45" s="148">
        <f t="shared" si="20"/>
        <v>89</v>
      </c>
      <c r="F45" s="166">
        <v>-231829</v>
      </c>
      <c r="G45" s="166">
        <v>0</v>
      </c>
      <c r="H45" s="166">
        <v>0</v>
      </c>
      <c r="I45" s="166">
        <v>0</v>
      </c>
      <c r="J45" s="166">
        <f t="shared" si="21"/>
        <v>0</v>
      </c>
      <c r="K45" s="166">
        <v>0</v>
      </c>
      <c r="L45" s="187">
        <f t="shared" si="22"/>
        <v>0</v>
      </c>
      <c r="M45" s="186">
        <v>0</v>
      </c>
      <c r="N45" s="186">
        <v>0</v>
      </c>
      <c r="O45" s="186">
        <v>0</v>
      </c>
      <c r="P45" s="186">
        <f t="shared" si="23"/>
        <v>0</v>
      </c>
      <c r="Q45" s="186">
        <v>0</v>
      </c>
      <c r="R45" s="186">
        <v>0</v>
      </c>
      <c r="S45" s="186">
        <v>0</v>
      </c>
      <c r="T45" s="186">
        <v>0</v>
      </c>
      <c r="U45" s="186">
        <f t="shared" si="24"/>
        <v>-76831</v>
      </c>
      <c r="V45" s="186">
        <v>-76831</v>
      </c>
      <c r="W45" s="186">
        <v>-1367</v>
      </c>
      <c r="X45" s="186">
        <v>-1205</v>
      </c>
      <c r="Y45" s="186">
        <v>-750</v>
      </c>
      <c r="Z45" s="186">
        <f t="shared" si="25"/>
        <v>-550</v>
      </c>
      <c r="AA45" s="186">
        <v>-3872</v>
      </c>
      <c r="AB45" s="186">
        <v>0</v>
      </c>
      <c r="AC45" s="186">
        <v>0</v>
      </c>
      <c r="AD45" s="187"/>
      <c r="AE45" s="187"/>
    </row>
    <row r="46" spans="1:204" x14ac:dyDescent="0.15">
      <c r="A46" s="12" t="s">
        <v>150</v>
      </c>
      <c r="B46" s="28">
        <v>0</v>
      </c>
      <c r="C46" s="28">
        <v>0</v>
      </c>
      <c r="D46" s="28">
        <v>0</v>
      </c>
      <c r="E46" s="28">
        <v>0</v>
      </c>
      <c r="F46" s="28">
        <v>0</v>
      </c>
      <c r="G46" s="28">
        <v>0</v>
      </c>
      <c r="H46" s="166">
        <v>-241</v>
      </c>
      <c r="I46" s="166">
        <v>0</v>
      </c>
      <c r="J46" s="166">
        <f t="shared" si="21"/>
        <v>0</v>
      </c>
      <c r="K46" s="166">
        <v>-241</v>
      </c>
      <c r="L46" s="187">
        <f t="shared" si="22"/>
        <v>0</v>
      </c>
      <c r="M46" s="186">
        <v>0</v>
      </c>
      <c r="N46" s="186">
        <v>0</v>
      </c>
      <c r="O46" s="186">
        <v>0</v>
      </c>
      <c r="P46" s="186">
        <f t="shared" si="23"/>
        <v>0</v>
      </c>
      <c r="Q46" s="186">
        <v>0</v>
      </c>
      <c r="R46" s="186">
        <v>0</v>
      </c>
      <c r="S46" s="186">
        <v>0</v>
      </c>
      <c r="T46" s="186">
        <v>0</v>
      </c>
      <c r="U46" s="186">
        <f t="shared" si="24"/>
        <v>0</v>
      </c>
      <c r="V46" s="186">
        <v>0</v>
      </c>
      <c r="W46" s="186">
        <v>0</v>
      </c>
      <c r="X46" s="186">
        <v>0</v>
      </c>
      <c r="Y46" s="186">
        <v>0</v>
      </c>
      <c r="Z46" s="186">
        <f t="shared" si="25"/>
        <v>0</v>
      </c>
      <c r="AA46" s="186">
        <v>0</v>
      </c>
      <c r="AB46" s="186">
        <v>0</v>
      </c>
      <c r="AC46" s="186">
        <v>0</v>
      </c>
      <c r="AD46" s="187"/>
    </row>
    <row r="47" spans="1:204" x14ac:dyDescent="0.15">
      <c r="A47" s="12" t="s">
        <v>151</v>
      </c>
      <c r="B47" s="148">
        <v>-20310</v>
      </c>
      <c r="C47" s="148">
        <v>-20353</v>
      </c>
      <c r="D47" s="148">
        <v>-17294</v>
      </c>
      <c r="E47" s="148">
        <f t="shared" si="20"/>
        <v>-75477</v>
      </c>
      <c r="F47" s="166">
        <v>-133434</v>
      </c>
      <c r="G47" s="166">
        <v>-47683</v>
      </c>
      <c r="H47" s="166">
        <v>-20505</v>
      </c>
      <c r="I47" s="166">
        <v>-49746</v>
      </c>
      <c r="J47" s="166">
        <f t="shared" si="21"/>
        <v>-70040</v>
      </c>
      <c r="K47" s="166">
        <v>-187974</v>
      </c>
      <c r="L47" s="187">
        <f t="shared" si="22"/>
        <v>0</v>
      </c>
      <c r="M47" s="186">
        <v>-23830</v>
      </c>
      <c r="N47" s="186">
        <v>-25197</v>
      </c>
      <c r="O47" s="186">
        <v>-8938</v>
      </c>
      <c r="P47" s="186">
        <f t="shared" si="23"/>
        <v>-44497</v>
      </c>
      <c r="Q47" s="186">
        <v>-102462</v>
      </c>
      <c r="R47" s="186">
        <v>-18835</v>
      </c>
      <c r="S47" s="186">
        <v>-14152</v>
      </c>
      <c r="T47" s="186">
        <v>-43513</v>
      </c>
      <c r="U47" s="186">
        <f t="shared" si="24"/>
        <v>-19511</v>
      </c>
      <c r="V47" s="186">
        <v>-96011</v>
      </c>
      <c r="W47" s="186">
        <v>-36804</v>
      </c>
      <c r="X47" s="186">
        <v>-59278</v>
      </c>
      <c r="Y47" s="186">
        <v>-68231</v>
      </c>
      <c r="Z47" s="186">
        <f t="shared" si="25"/>
        <v>-48294</v>
      </c>
      <c r="AA47" s="186">
        <v>-212607</v>
      </c>
      <c r="AB47" s="186">
        <v>-51495</v>
      </c>
      <c r="AC47" s="186">
        <v>-62328</v>
      </c>
      <c r="AD47" s="187"/>
      <c r="AE47" s="187"/>
    </row>
    <row r="48" spans="1:204" x14ac:dyDescent="0.15">
      <c r="A48" s="12" t="s">
        <v>152</v>
      </c>
      <c r="B48" s="148">
        <v>30358</v>
      </c>
      <c r="C48" s="148">
        <v>30453</v>
      </c>
      <c r="D48" s="148">
        <v>18725</v>
      </c>
      <c r="E48" s="148">
        <f t="shared" si="20"/>
        <v>48672</v>
      </c>
      <c r="F48" s="166">
        <v>128208</v>
      </c>
      <c r="G48" s="166">
        <v>21361</v>
      </c>
      <c r="H48" s="166">
        <v>70308</v>
      </c>
      <c r="I48" s="166">
        <v>37474</v>
      </c>
      <c r="J48" s="166">
        <f>+K48-SUM(G48:I48)</f>
        <v>47825</v>
      </c>
      <c r="K48" s="166">
        <v>176968</v>
      </c>
      <c r="L48" s="187">
        <f t="shared" si="22"/>
        <v>0</v>
      </c>
      <c r="M48" s="186">
        <v>72844</v>
      </c>
      <c r="N48" s="186">
        <v>0</v>
      </c>
      <c r="O48" s="186">
        <v>30874</v>
      </c>
      <c r="P48" s="186">
        <f>+Q48-SUM(M48:O48)</f>
        <v>22436</v>
      </c>
      <c r="Q48" s="186">
        <v>126154</v>
      </c>
      <c r="R48" s="186">
        <v>5357</v>
      </c>
      <c r="S48" s="186">
        <v>58674</v>
      </c>
      <c r="T48" s="186">
        <v>19152</v>
      </c>
      <c r="U48" s="186">
        <f t="shared" si="24"/>
        <v>11337</v>
      </c>
      <c r="V48" s="186">
        <v>94520</v>
      </c>
      <c r="W48" s="186">
        <v>49515</v>
      </c>
      <c r="X48" s="186">
        <v>33052</v>
      </c>
      <c r="Y48" s="186">
        <v>41788</v>
      </c>
      <c r="Z48" s="186">
        <f t="shared" si="25"/>
        <v>40148</v>
      </c>
      <c r="AA48" s="186">
        <v>164503</v>
      </c>
      <c r="AB48" s="186">
        <v>106750</v>
      </c>
      <c r="AC48" s="186">
        <v>44428</v>
      </c>
      <c r="AD48" s="187"/>
      <c r="AE48" s="187"/>
    </row>
    <row r="49" spans="1:204" x14ac:dyDescent="0.15">
      <c r="A49" s="43" t="s">
        <v>153</v>
      </c>
      <c r="B49" s="140">
        <f t="shared" ref="B49:AC49" si="26">SUM(B42:B48)</f>
        <v>-3012</v>
      </c>
      <c r="C49" s="140">
        <f t="shared" si="26"/>
        <v>3369</v>
      </c>
      <c r="D49" s="140">
        <f t="shared" si="26"/>
        <v>-240766</v>
      </c>
      <c r="E49" s="140">
        <f t="shared" si="26"/>
        <v>-37083</v>
      </c>
      <c r="F49" s="140">
        <f t="shared" si="26"/>
        <v>-277492</v>
      </c>
      <c r="G49" s="140">
        <f t="shared" si="26"/>
        <v>-37200</v>
      </c>
      <c r="H49" s="140">
        <f t="shared" si="26"/>
        <v>38153</v>
      </c>
      <c r="I49" s="140">
        <f t="shared" si="26"/>
        <v>-22293</v>
      </c>
      <c r="J49" s="140">
        <f t="shared" si="26"/>
        <v>-30045</v>
      </c>
      <c r="K49" s="140">
        <f t="shared" si="26"/>
        <v>-51385</v>
      </c>
      <c r="L49" s="140">
        <f t="shared" si="26"/>
        <v>0</v>
      </c>
      <c r="M49" s="140">
        <f t="shared" si="26"/>
        <v>36040</v>
      </c>
      <c r="N49" s="140">
        <f t="shared" si="26"/>
        <v>-34974</v>
      </c>
      <c r="O49" s="140">
        <f t="shared" si="26"/>
        <v>9997</v>
      </c>
      <c r="P49" s="140">
        <f t="shared" si="26"/>
        <v>-29379</v>
      </c>
      <c r="Q49" s="140">
        <f t="shared" si="26"/>
        <v>-18316</v>
      </c>
      <c r="R49" s="140">
        <f t="shared" si="26"/>
        <v>-26029</v>
      </c>
      <c r="S49" s="140">
        <f t="shared" si="26"/>
        <v>37697</v>
      </c>
      <c r="T49" s="140">
        <f t="shared" si="26"/>
        <v>-33186</v>
      </c>
      <c r="U49" s="140">
        <f t="shared" si="26"/>
        <v>-92752</v>
      </c>
      <c r="V49" s="140">
        <f t="shared" si="26"/>
        <v>-114270</v>
      </c>
      <c r="W49" s="140">
        <f t="shared" si="26"/>
        <v>-4694</v>
      </c>
      <c r="X49" s="140">
        <f t="shared" si="26"/>
        <v>-36293</v>
      </c>
      <c r="Y49" s="140">
        <f t="shared" si="26"/>
        <v>-34195</v>
      </c>
      <c r="Z49" s="140">
        <f t="shared" si="26"/>
        <v>-21364</v>
      </c>
      <c r="AA49" s="140">
        <f t="shared" si="26"/>
        <v>-96546</v>
      </c>
      <c r="AB49" s="140">
        <f t="shared" si="26"/>
        <v>43341</v>
      </c>
      <c r="AC49" s="140">
        <f t="shared" si="26"/>
        <v>-31552</v>
      </c>
      <c r="AD49" s="187"/>
      <c r="AE49" s="187"/>
      <c r="AF49" s="95"/>
      <c r="AG49" s="95"/>
      <c r="AH49" s="95"/>
      <c r="AI49" s="95"/>
      <c r="AJ49" s="95"/>
      <c r="AK49" s="95"/>
      <c r="AL49" s="95"/>
      <c r="AM49" s="95"/>
      <c r="AN49" s="95"/>
      <c r="BJ49" s="95"/>
      <c r="BK49" s="95"/>
      <c r="BL49" s="95"/>
      <c r="BM49" s="95"/>
      <c r="BN49" s="95"/>
      <c r="BO49" s="95"/>
      <c r="BP49" s="95"/>
      <c r="BQ49" s="95"/>
      <c r="BR49" s="95"/>
      <c r="BS49" s="95"/>
      <c r="BT49" s="95"/>
      <c r="BU49" s="95"/>
      <c r="BV49" s="95"/>
      <c r="BW49" s="95"/>
      <c r="BX49" s="95"/>
      <c r="BY49" s="95"/>
      <c r="BZ49" s="95"/>
      <c r="CA49" s="95"/>
      <c r="CB49" s="95"/>
      <c r="CC49" s="95"/>
      <c r="CD49" s="95"/>
      <c r="CE49" s="95"/>
      <c r="CF49" s="95"/>
      <c r="CG49" s="95"/>
      <c r="CH49" s="95"/>
      <c r="CI49" s="95"/>
      <c r="CJ49" s="95"/>
      <c r="CK49" s="95"/>
      <c r="CL49" s="95"/>
      <c r="CM49" s="95"/>
      <c r="CN49" s="95"/>
      <c r="CO49" s="95"/>
      <c r="CP49" s="95"/>
      <c r="CQ49" s="95"/>
      <c r="CR49" s="95"/>
      <c r="CS49" s="95"/>
      <c r="CT49" s="95"/>
      <c r="CU49" s="95"/>
      <c r="CV49" s="95"/>
      <c r="CW49" s="95"/>
      <c r="CX49" s="95"/>
      <c r="CY49" s="95"/>
      <c r="CZ49" s="95"/>
      <c r="DA49" s="95"/>
      <c r="DB49" s="95"/>
      <c r="DC49" s="95"/>
      <c r="DD49" s="95"/>
      <c r="DE49" s="95"/>
      <c r="DF49" s="95"/>
      <c r="DG49" s="95"/>
      <c r="DH49" s="95"/>
      <c r="DI49" s="95"/>
      <c r="DJ49" s="95"/>
      <c r="DK49" s="95"/>
      <c r="DL49" s="95"/>
      <c r="DM49" s="95"/>
      <c r="DN49" s="95"/>
      <c r="DO49" s="95"/>
      <c r="DP49" s="95"/>
      <c r="DQ49" s="95"/>
      <c r="DR49" s="95"/>
      <c r="DS49" s="95"/>
      <c r="DT49" s="95"/>
      <c r="DU49" s="95"/>
      <c r="DV49" s="95"/>
      <c r="DW49" s="95"/>
      <c r="DX49" s="95"/>
      <c r="DY49" s="95"/>
      <c r="DZ49" s="95"/>
      <c r="EA49" s="95"/>
      <c r="EB49" s="95"/>
      <c r="EC49" s="95"/>
      <c r="ED49" s="95"/>
      <c r="EE49" s="95"/>
      <c r="EF49" s="95"/>
      <c r="EG49" s="95"/>
      <c r="EH49" s="95"/>
      <c r="EI49" s="95"/>
      <c r="EJ49" s="95"/>
      <c r="EK49" s="95"/>
      <c r="EL49" s="95"/>
      <c r="EM49" s="95"/>
      <c r="EN49" s="95"/>
      <c r="EO49" s="95"/>
      <c r="EP49" s="95"/>
      <c r="EQ49" s="95"/>
      <c r="ER49" s="95"/>
      <c r="ES49" s="95"/>
      <c r="ET49" s="95"/>
      <c r="EU49" s="95"/>
      <c r="EV49" s="95"/>
      <c r="EW49" s="95"/>
      <c r="EX49" s="95"/>
      <c r="EY49" s="95"/>
      <c r="EZ49" s="95"/>
      <c r="FA49" s="95"/>
      <c r="FB49" s="95"/>
      <c r="FC49" s="95"/>
      <c r="FD49" s="95"/>
      <c r="FE49" s="95"/>
      <c r="FF49" s="95"/>
      <c r="FG49" s="95"/>
      <c r="FH49" s="95"/>
      <c r="FI49" s="95"/>
      <c r="FJ49" s="95"/>
      <c r="FK49" s="95"/>
      <c r="FL49" s="95"/>
      <c r="FM49" s="95"/>
      <c r="FN49" s="95"/>
      <c r="FO49" s="95"/>
      <c r="FP49" s="95"/>
      <c r="FQ49" s="95"/>
      <c r="FR49" s="95"/>
      <c r="FS49" s="95"/>
      <c r="FT49" s="95"/>
      <c r="FU49" s="95"/>
      <c r="FV49" s="95"/>
      <c r="FW49" s="95"/>
      <c r="FX49" s="95"/>
      <c r="FY49" s="95"/>
      <c r="FZ49" s="95"/>
      <c r="GA49" s="95"/>
      <c r="GB49" s="95"/>
      <c r="GC49" s="95"/>
      <c r="GD49" s="95"/>
      <c r="GE49" s="95"/>
      <c r="GF49" s="95"/>
      <c r="GG49" s="95"/>
      <c r="GH49" s="95"/>
      <c r="GI49" s="95"/>
      <c r="GJ49" s="95"/>
      <c r="GK49" s="95"/>
      <c r="GL49" s="95"/>
      <c r="GM49" s="95"/>
      <c r="GN49" s="95"/>
      <c r="GO49" s="95"/>
      <c r="GP49" s="95"/>
      <c r="GQ49" s="95"/>
      <c r="GR49" s="95"/>
      <c r="GS49" s="95"/>
      <c r="GT49" s="95"/>
      <c r="GU49" s="95"/>
      <c r="GV49" s="95"/>
    </row>
    <row r="50" spans="1:204" x14ac:dyDescent="0.15">
      <c r="A50" s="14" t="s">
        <v>79</v>
      </c>
      <c r="F50" s="166"/>
      <c r="G50" s="166"/>
      <c r="H50" s="166"/>
      <c r="I50" s="166"/>
      <c r="J50" s="166"/>
      <c r="K50" s="166"/>
      <c r="L50" s="2"/>
      <c r="M50" s="186"/>
      <c r="N50" s="186"/>
      <c r="O50" s="186"/>
      <c r="P50" s="186"/>
      <c r="Q50" s="186"/>
      <c r="R50" s="186"/>
      <c r="S50" s="186"/>
      <c r="T50" s="186"/>
      <c r="U50" s="186"/>
      <c r="V50" s="186"/>
      <c r="W50" s="186"/>
      <c r="X50" s="186"/>
      <c r="Y50" s="186"/>
      <c r="Z50" s="186"/>
      <c r="AA50" s="186"/>
      <c r="AB50" s="186"/>
      <c r="AC50" s="186"/>
      <c r="AD50" s="77"/>
    </row>
    <row r="51" spans="1:204" x14ac:dyDescent="0.15">
      <c r="A51" s="10" t="s">
        <v>154</v>
      </c>
      <c r="F51" s="166"/>
      <c r="G51" s="166"/>
      <c r="H51" s="166"/>
      <c r="I51" s="166"/>
      <c r="J51" s="166"/>
      <c r="K51" s="166"/>
      <c r="L51" s="2"/>
      <c r="M51" s="186"/>
      <c r="N51" s="186"/>
      <c r="O51" s="186"/>
      <c r="P51" s="186"/>
      <c r="Q51" s="186"/>
      <c r="R51" s="186"/>
      <c r="S51" s="186"/>
      <c r="T51" s="186"/>
      <c r="U51" s="186"/>
      <c r="V51" s="186"/>
      <c r="W51" s="186"/>
      <c r="X51" s="186"/>
      <c r="Y51" s="186"/>
      <c r="Z51" s="186"/>
      <c r="AA51" s="186"/>
      <c r="AB51" s="186"/>
      <c r="AC51" s="186"/>
      <c r="AD51" s="187"/>
    </row>
    <row r="52" spans="1:204" x14ac:dyDescent="0.15">
      <c r="A52" s="12" t="s">
        <v>155</v>
      </c>
      <c r="B52" s="151">
        <v>12000</v>
      </c>
      <c r="C52" s="151">
        <v>0</v>
      </c>
      <c r="D52" s="151">
        <v>233000</v>
      </c>
      <c r="E52" s="151">
        <f t="shared" ref="E52:E60" si="27">+F52-SUM(B52:D52)</f>
        <v>1614</v>
      </c>
      <c r="F52" s="166">
        <v>246614</v>
      </c>
      <c r="G52" s="166">
        <v>46000</v>
      </c>
      <c r="H52" s="166">
        <v>0</v>
      </c>
      <c r="I52" s="166">
        <v>0</v>
      </c>
      <c r="J52" s="166">
        <f t="shared" ref="J52:J60" si="28">+K52-SUM(G52:I52)</f>
        <v>0</v>
      </c>
      <c r="K52" s="166">
        <v>46000</v>
      </c>
      <c r="L52" s="187">
        <f t="shared" ref="L52:L60" si="29">SUM(G52:J52)-K52</f>
        <v>0</v>
      </c>
      <c r="M52" s="186">
        <v>110000</v>
      </c>
      <c r="N52" s="186">
        <v>0</v>
      </c>
      <c r="O52" s="186">
        <v>0</v>
      </c>
      <c r="P52" s="186">
        <f t="shared" ref="P52:P58" si="30">+Q52-SUM(M52:O52)</f>
        <v>0</v>
      </c>
      <c r="Q52" s="186">
        <v>110000</v>
      </c>
      <c r="R52" s="186">
        <v>25000</v>
      </c>
      <c r="S52" s="186">
        <v>0</v>
      </c>
      <c r="T52" s="186">
        <v>200000</v>
      </c>
      <c r="U52" s="186">
        <f t="shared" ref="U52:U60" si="31">+V52-SUM(R52:T52)</f>
        <v>75000</v>
      </c>
      <c r="V52" s="186">
        <v>300000</v>
      </c>
      <c r="W52" s="186">
        <v>35000</v>
      </c>
      <c r="X52" s="186">
        <v>0</v>
      </c>
      <c r="Y52" s="186">
        <v>0</v>
      </c>
      <c r="Z52" s="186">
        <f t="shared" ref="Z52:Z60" si="32">+AA52-SUM(W52:Y52)</f>
        <v>0</v>
      </c>
      <c r="AA52" s="186">
        <v>35000</v>
      </c>
      <c r="AB52" s="186">
        <v>50000</v>
      </c>
      <c r="AC52" s="186">
        <v>20000</v>
      </c>
      <c r="AD52" s="187"/>
      <c r="AE52" s="187"/>
    </row>
    <row r="53" spans="1:204" x14ac:dyDescent="0.15">
      <c r="A53" s="12" t="s">
        <v>156</v>
      </c>
      <c r="B53" s="151">
        <v>-5036</v>
      </c>
      <c r="C53" s="151">
        <v>-29</v>
      </c>
      <c r="D53" s="151">
        <v>-18</v>
      </c>
      <c r="E53" s="151">
        <f t="shared" si="27"/>
        <v>-150126</v>
      </c>
      <c r="F53" s="166">
        <v>-155209</v>
      </c>
      <c r="G53" s="166">
        <v>-10572</v>
      </c>
      <c r="H53" s="166">
        <v>-69018</v>
      </c>
      <c r="I53" s="166">
        <v>-8173</v>
      </c>
      <c r="J53" s="166">
        <f t="shared" si="28"/>
        <v>-10484</v>
      </c>
      <c r="K53" s="166">
        <v>-98247</v>
      </c>
      <c r="L53" s="187">
        <f t="shared" si="29"/>
        <v>0</v>
      </c>
      <c r="M53" s="186">
        <v>-10201</v>
      </c>
      <c r="N53" s="186">
        <v>-100009</v>
      </c>
      <c r="O53" s="186">
        <v>-10183</v>
      </c>
      <c r="P53" s="186">
        <f t="shared" si="30"/>
        <v>-474</v>
      </c>
      <c r="Q53" s="186">
        <v>-120867</v>
      </c>
      <c r="R53" s="186">
        <v>-25000</v>
      </c>
      <c r="S53" s="186">
        <v>-74000</v>
      </c>
      <c r="T53" s="186">
        <v>-230000</v>
      </c>
      <c r="U53" s="186">
        <f t="shared" si="31"/>
        <v>-31</v>
      </c>
      <c r="V53" s="186">
        <v>-329031</v>
      </c>
      <c r="W53" s="186">
        <v>0</v>
      </c>
      <c r="X53" s="186">
        <v>-10000</v>
      </c>
      <c r="Y53" s="186">
        <v>-15000</v>
      </c>
      <c r="Z53" s="186">
        <f t="shared" si="32"/>
        <v>-20000</v>
      </c>
      <c r="AA53" s="186">
        <v>-45000</v>
      </c>
      <c r="AB53" s="186">
        <v>-100000</v>
      </c>
      <c r="AC53" s="186">
        <v>0</v>
      </c>
      <c r="AD53" s="187"/>
      <c r="AE53" s="187"/>
    </row>
    <row r="54" spans="1:204" x14ac:dyDescent="0.15">
      <c r="A54" s="12" t="s">
        <v>157</v>
      </c>
      <c r="B54" s="151">
        <v>0</v>
      </c>
      <c r="C54" s="151">
        <v>0</v>
      </c>
      <c r="D54" s="151">
        <v>0</v>
      </c>
      <c r="E54" s="151">
        <v>0</v>
      </c>
      <c r="F54" s="166">
        <v>0</v>
      </c>
      <c r="G54" s="166">
        <v>0</v>
      </c>
      <c r="H54" s="166">
        <v>0</v>
      </c>
      <c r="I54" s="166">
        <v>0</v>
      </c>
      <c r="J54" s="166">
        <v>0</v>
      </c>
      <c r="K54" s="166">
        <v>0</v>
      </c>
      <c r="L54" s="187">
        <v>0</v>
      </c>
      <c r="M54" s="186">
        <v>0</v>
      </c>
      <c r="N54" s="186">
        <v>0</v>
      </c>
      <c r="O54" s="186">
        <v>0</v>
      </c>
      <c r="P54" s="186">
        <v>0</v>
      </c>
      <c r="Q54" s="186">
        <v>0</v>
      </c>
      <c r="R54" s="186">
        <v>0</v>
      </c>
      <c r="S54" s="186">
        <v>0</v>
      </c>
      <c r="T54" s="186">
        <v>0</v>
      </c>
      <c r="U54" s="186">
        <v>0</v>
      </c>
      <c r="V54" s="186">
        <v>0</v>
      </c>
      <c r="W54" s="186">
        <v>0</v>
      </c>
      <c r="X54" s="186">
        <v>0</v>
      </c>
      <c r="Y54" s="186">
        <v>0</v>
      </c>
      <c r="Z54" s="186">
        <v>0</v>
      </c>
      <c r="AA54" s="186">
        <v>0</v>
      </c>
      <c r="AB54" s="186">
        <v>0</v>
      </c>
      <c r="AC54" s="186">
        <v>-5000</v>
      </c>
      <c r="AD54" s="187"/>
      <c r="AE54" s="187"/>
    </row>
    <row r="55" spans="1:204" x14ac:dyDescent="0.15">
      <c r="A55" s="12" t="s">
        <v>158</v>
      </c>
      <c r="B55" s="151"/>
      <c r="C55" s="151"/>
      <c r="D55" s="151"/>
      <c r="E55" s="151">
        <f t="shared" si="27"/>
        <v>149000</v>
      </c>
      <c r="F55" s="166">
        <v>149000</v>
      </c>
      <c r="G55" s="166">
        <v>0</v>
      </c>
      <c r="H55" s="166">
        <v>0</v>
      </c>
      <c r="I55" s="166">
        <v>0</v>
      </c>
      <c r="J55" s="166">
        <f t="shared" si="28"/>
        <v>0</v>
      </c>
      <c r="K55" s="166">
        <v>0</v>
      </c>
      <c r="L55" s="187">
        <f t="shared" si="29"/>
        <v>0</v>
      </c>
      <c r="M55" s="186">
        <v>0</v>
      </c>
      <c r="N55" s="186">
        <v>0</v>
      </c>
      <c r="O55" s="186">
        <v>0</v>
      </c>
      <c r="P55" s="186">
        <f t="shared" si="30"/>
        <v>0</v>
      </c>
      <c r="Q55" s="186">
        <v>0</v>
      </c>
      <c r="R55" s="186">
        <v>0</v>
      </c>
      <c r="S55" s="186">
        <v>0</v>
      </c>
      <c r="T55" s="186">
        <v>0</v>
      </c>
      <c r="U55" s="186">
        <f t="shared" si="31"/>
        <v>0</v>
      </c>
      <c r="V55" s="186">
        <v>0</v>
      </c>
      <c r="W55" s="186">
        <v>0</v>
      </c>
      <c r="X55" s="186">
        <v>0</v>
      </c>
      <c r="Y55" s="186">
        <v>0</v>
      </c>
      <c r="Z55" s="186">
        <f t="shared" si="32"/>
        <v>0</v>
      </c>
      <c r="AA55" s="186">
        <v>0</v>
      </c>
      <c r="AB55" s="186">
        <v>0</v>
      </c>
      <c r="AC55" s="186">
        <v>0</v>
      </c>
      <c r="AD55" s="187"/>
    </row>
    <row r="56" spans="1:204" hidden="1" x14ac:dyDescent="0.15">
      <c r="A56" s="12" t="s">
        <v>159</v>
      </c>
      <c r="B56" s="147">
        <v>0</v>
      </c>
      <c r="C56" s="147">
        <v>0</v>
      </c>
      <c r="D56" s="147">
        <v>0</v>
      </c>
      <c r="E56" s="147">
        <f t="shared" si="27"/>
        <v>-762</v>
      </c>
      <c r="F56" s="166">
        <v>-762</v>
      </c>
      <c r="G56" s="166">
        <v>-97</v>
      </c>
      <c r="H56" s="166">
        <v>-20</v>
      </c>
      <c r="I56" s="166">
        <v>0</v>
      </c>
      <c r="J56" s="166">
        <f>+K56-SUM(G56:I56)</f>
        <v>0</v>
      </c>
      <c r="K56" s="166">
        <v>-117</v>
      </c>
      <c r="L56" s="187">
        <f t="shared" si="29"/>
        <v>0</v>
      </c>
      <c r="M56" s="186">
        <v>0</v>
      </c>
      <c r="N56" s="186">
        <v>0</v>
      </c>
      <c r="O56" s="186">
        <v>0</v>
      </c>
      <c r="P56" s="186">
        <f t="shared" si="30"/>
        <v>0</v>
      </c>
      <c r="Q56" s="186">
        <v>0</v>
      </c>
      <c r="R56" s="186">
        <v>0</v>
      </c>
      <c r="S56" s="186">
        <v>0</v>
      </c>
      <c r="T56" s="186">
        <v>0</v>
      </c>
      <c r="U56" s="186">
        <f t="shared" si="31"/>
        <v>0</v>
      </c>
      <c r="V56" s="186">
        <v>0</v>
      </c>
      <c r="W56" s="186">
        <v>0</v>
      </c>
      <c r="X56" s="186">
        <v>0</v>
      </c>
      <c r="Y56" s="186">
        <v>0</v>
      </c>
      <c r="Z56" s="186">
        <f t="shared" si="32"/>
        <v>0</v>
      </c>
      <c r="AA56" s="186">
        <v>0</v>
      </c>
      <c r="AB56" s="186">
        <v>0</v>
      </c>
      <c r="AC56" s="186">
        <v>0</v>
      </c>
      <c r="AD56" s="187"/>
    </row>
    <row r="57" spans="1:204" x14ac:dyDescent="0.15">
      <c r="A57" s="12" t="s">
        <v>160</v>
      </c>
      <c r="B57" s="151">
        <v>-42</v>
      </c>
      <c r="C57" s="151">
        <v>-41</v>
      </c>
      <c r="D57" s="151">
        <v>-22</v>
      </c>
      <c r="E57" s="151">
        <f t="shared" si="27"/>
        <v>-47</v>
      </c>
      <c r="F57" s="166">
        <v>-152</v>
      </c>
      <c r="G57" s="166">
        <v>-137</v>
      </c>
      <c r="H57" s="166">
        <v>-70</v>
      </c>
      <c r="I57" s="166">
        <v>-67</v>
      </c>
      <c r="J57" s="166">
        <f t="shared" si="28"/>
        <v>-62</v>
      </c>
      <c r="K57" s="166">
        <v>-336</v>
      </c>
      <c r="L57" s="187">
        <f t="shared" si="29"/>
        <v>0</v>
      </c>
      <c r="M57" s="186">
        <v>-67</v>
      </c>
      <c r="N57" s="186">
        <v>-57</v>
      </c>
      <c r="O57" s="186">
        <v>-56</v>
      </c>
      <c r="P57" s="186">
        <f t="shared" si="30"/>
        <v>-69</v>
      </c>
      <c r="Q57" s="186">
        <v>-249</v>
      </c>
      <c r="R57" s="186">
        <v>-57</v>
      </c>
      <c r="S57" s="186">
        <v>-50</v>
      </c>
      <c r="T57" s="186">
        <v>-50</v>
      </c>
      <c r="U57" s="186">
        <f t="shared" si="31"/>
        <v>-44</v>
      </c>
      <c r="V57" s="186">
        <v>-201</v>
      </c>
      <c r="W57" s="186">
        <v>-39</v>
      </c>
      <c r="X57" s="186">
        <v>-36</v>
      </c>
      <c r="Y57" s="186">
        <v>-33</v>
      </c>
      <c r="Z57" s="186">
        <f t="shared" si="32"/>
        <v>-34</v>
      </c>
      <c r="AA57" s="186">
        <v>-142</v>
      </c>
      <c r="AB57" s="186">
        <v>-43</v>
      </c>
      <c r="AC57" s="186">
        <v>-37</v>
      </c>
      <c r="AD57" s="187"/>
      <c r="AE57" s="187"/>
    </row>
    <row r="58" spans="1:204" x14ac:dyDescent="0.15">
      <c r="A58" s="12" t="s">
        <v>161</v>
      </c>
      <c r="B58" s="151">
        <v>431</v>
      </c>
      <c r="C58" s="151">
        <v>0</v>
      </c>
      <c r="D58" s="151">
        <v>653</v>
      </c>
      <c r="E58" s="151">
        <f t="shared" si="27"/>
        <v>313</v>
      </c>
      <c r="F58" s="166">
        <v>1397</v>
      </c>
      <c r="G58" s="166">
        <v>22</v>
      </c>
      <c r="H58" s="166">
        <v>316</v>
      </c>
      <c r="I58" s="166">
        <v>0</v>
      </c>
      <c r="J58" s="166">
        <f t="shared" si="28"/>
        <v>649</v>
      </c>
      <c r="K58" s="166">
        <v>987</v>
      </c>
      <c r="L58" s="187">
        <f t="shared" si="29"/>
        <v>0</v>
      </c>
      <c r="M58" s="186">
        <v>921</v>
      </c>
      <c r="N58" s="186">
        <v>39</v>
      </c>
      <c r="O58" s="186">
        <v>85</v>
      </c>
      <c r="P58" s="186">
        <f t="shared" si="30"/>
        <v>456</v>
      </c>
      <c r="Q58" s="186">
        <v>1501</v>
      </c>
      <c r="R58" s="186">
        <v>75</v>
      </c>
      <c r="S58" s="186">
        <v>99</v>
      </c>
      <c r="T58" s="186">
        <v>536</v>
      </c>
      <c r="U58" s="186">
        <f t="shared" si="31"/>
        <v>0</v>
      </c>
      <c r="V58" s="186">
        <v>710</v>
      </c>
      <c r="W58" s="186">
        <v>0</v>
      </c>
      <c r="X58" s="186">
        <v>0</v>
      </c>
      <c r="Y58" s="186">
        <v>0</v>
      </c>
      <c r="Z58" s="186">
        <f t="shared" si="32"/>
        <v>0</v>
      </c>
      <c r="AA58" s="186">
        <v>0</v>
      </c>
      <c r="AB58" s="186">
        <v>0</v>
      </c>
      <c r="AC58" s="186">
        <v>85</v>
      </c>
      <c r="AD58" s="187"/>
      <c r="AE58" s="187"/>
    </row>
    <row r="59" spans="1:204" x14ac:dyDescent="0.15">
      <c r="A59" s="12" t="s">
        <v>162</v>
      </c>
      <c r="B59" s="147">
        <v>0</v>
      </c>
      <c r="C59" s="147">
        <v>0</v>
      </c>
      <c r="D59" s="147">
        <v>0</v>
      </c>
      <c r="E59" s="147">
        <v>0</v>
      </c>
      <c r="F59" s="147">
        <v>0</v>
      </c>
      <c r="G59" s="147">
        <v>0</v>
      </c>
      <c r="H59" s="147">
        <v>0</v>
      </c>
      <c r="I59" s="147">
        <v>0</v>
      </c>
      <c r="J59" s="147">
        <v>0</v>
      </c>
      <c r="K59" s="147">
        <v>0</v>
      </c>
      <c r="L59" s="147">
        <v>0</v>
      </c>
      <c r="M59" s="147">
        <v>0</v>
      </c>
      <c r="N59" s="147">
        <v>0</v>
      </c>
      <c r="O59" s="147">
        <v>0</v>
      </c>
      <c r="P59" s="147">
        <v>0</v>
      </c>
      <c r="Q59" s="147">
        <v>0</v>
      </c>
      <c r="R59" s="147">
        <v>0</v>
      </c>
      <c r="S59" s="147">
        <v>0</v>
      </c>
      <c r="T59" s="147">
        <v>0</v>
      </c>
      <c r="U59" s="147">
        <v>0</v>
      </c>
      <c r="V59" s="147">
        <v>0</v>
      </c>
      <c r="W59" s="147">
        <v>0</v>
      </c>
      <c r="X59" s="147">
        <v>0</v>
      </c>
      <c r="Y59" s="147">
        <v>0</v>
      </c>
      <c r="Z59" s="186">
        <f t="shared" si="32"/>
        <v>1060</v>
      </c>
      <c r="AA59" s="186">
        <v>1060</v>
      </c>
      <c r="AB59" s="186">
        <v>1102</v>
      </c>
      <c r="AC59" s="186">
        <v>2698</v>
      </c>
      <c r="AD59" s="187"/>
    </row>
    <row r="60" spans="1:204" x14ac:dyDescent="0.15">
      <c r="A60" s="12" t="s">
        <v>163</v>
      </c>
      <c r="B60" s="151">
        <v>-13504</v>
      </c>
      <c r="C60" s="151">
        <v>-9632</v>
      </c>
      <c r="D60" s="151">
        <v>-9657</v>
      </c>
      <c r="E60" s="151">
        <f t="shared" si="27"/>
        <v>-10316</v>
      </c>
      <c r="F60" s="166">
        <v>-43109</v>
      </c>
      <c r="G60" s="166">
        <v>-15408</v>
      </c>
      <c r="H60" s="166">
        <v>-12130</v>
      </c>
      <c r="I60" s="166">
        <v>-8346</v>
      </c>
      <c r="J60" s="166">
        <f t="shared" si="28"/>
        <v>-5480</v>
      </c>
      <c r="K60" s="166">
        <v>-41364</v>
      </c>
      <c r="L60" s="187">
        <f t="shared" si="29"/>
        <v>0</v>
      </c>
      <c r="M60" s="186">
        <v>-13995</v>
      </c>
      <c r="N60" s="186">
        <v>0</v>
      </c>
      <c r="O60" s="186">
        <v>-24906</v>
      </c>
      <c r="P60" s="186">
        <f>+Q60-SUM(M60:O60)</f>
        <v>-41048</v>
      </c>
      <c r="Q60" s="186">
        <v>-79949</v>
      </c>
      <c r="R60" s="186">
        <v>-29015</v>
      </c>
      <c r="S60" s="186">
        <v>-28409</v>
      </c>
      <c r="T60" s="186">
        <v>-28196</v>
      </c>
      <c r="U60" s="186">
        <f t="shared" si="31"/>
        <v>-32737</v>
      </c>
      <c r="V60" s="186">
        <v>-118357</v>
      </c>
      <c r="W60" s="186">
        <v>-31385</v>
      </c>
      <c r="X60" s="186">
        <v>-28806</v>
      </c>
      <c r="Y60" s="186">
        <v>-11521</v>
      </c>
      <c r="Z60" s="186">
        <f t="shared" si="32"/>
        <v>-930</v>
      </c>
      <c r="AA60" s="186">
        <v>-72642</v>
      </c>
      <c r="AB60" s="186">
        <v>-42363</v>
      </c>
      <c r="AC60" s="186">
        <v>-28275</v>
      </c>
      <c r="AD60" s="187"/>
      <c r="AE60" s="187"/>
    </row>
    <row r="61" spans="1:204" x14ac:dyDescent="0.15">
      <c r="A61" s="44" t="s">
        <v>164</v>
      </c>
      <c r="B61" s="140">
        <f t="shared" ref="B61:AC61" si="33">SUM(B52:B60)</f>
        <v>-6151</v>
      </c>
      <c r="C61" s="140">
        <f t="shared" si="33"/>
        <v>-9702</v>
      </c>
      <c r="D61" s="140">
        <f t="shared" si="33"/>
        <v>223956</v>
      </c>
      <c r="E61" s="140">
        <f t="shared" si="33"/>
        <v>-10324</v>
      </c>
      <c r="F61" s="140">
        <f t="shared" si="33"/>
        <v>197779</v>
      </c>
      <c r="G61" s="140">
        <f t="shared" si="33"/>
        <v>19808</v>
      </c>
      <c r="H61" s="140">
        <f t="shared" si="33"/>
        <v>-80922</v>
      </c>
      <c r="I61" s="140">
        <f t="shared" si="33"/>
        <v>-16586</v>
      </c>
      <c r="J61" s="140">
        <f t="shared" si="33"/>
        <v>-15377</v>
      </c>
      <c r="K61" s="140">
        <f t="shared" si="33"/>
        <v>-93077</v>
      </c>
      <c r="L61" s="140">
        <f t="shared" si="33"/>
        <v>0</v>
      </c>
      <c r="M61" s="140">
        <f t="shared" si="33"/>
        <v>86658</v>
      </c>
      <c r="N61" s="140">
        <f t="shared" si="33"/>
        <v>-100027</v>
      </c>
      <c r="O61" s="140">
        <f t="shared" si="33"/>
        <v>-35060</v>
      </c>
      <c r="P61" s="140">
        <f t="shared" si="33"/>
        <v>-41135</v>
      </c>
      <c r="Q61" s="140">
        <f t="shared" si="33"/>
        <v>-89564</v>
      </c>
      <c r="R61" s="140">
        <f t="shared" si="33"/>
        <v>-28997</v>
      </c>
      <c r="S61" s="140">
        <f t="shared" si="33"/>
        <v>-102360</v>
      </c>
      <c r="T61" s="140">
        <f t="shared" si="33"/>
        <v>-57710</v>
      </c>
      <c r="U61" s="140">
        <f t="shared" si="33"/>
        <v>42188</v>
      </c>
      <c r="V61" s="140">
        <f t="shared" si="33"/>
        <v>-146879</v>
      </c>
      <c r="W61" s="140">
        <f t="shared" si="33"/>
        <v>3576</v>
      </c>
      <c r="X61" s="140">
        <f t="shared" si="33"/>
        <v>-38842</v>
      </c>
      <c r="Y61" s="140">
        <f t="shared" si="33"/>
        <v>-26554</v>
      </c>
      <c r="Z61" s="140">
        <f t="shared" si="33"/>
        <v>-19904</v>
      </c>
      <c r="AA61" s="140">
        <f t="shared" si="33"/>
        <v>-81724</v>
      </c>
      <c r="AB61" s="140">
        <f t="shared" si="33"/>
        <v>-91304</v>
      </c>
      <c r="AC61" s="140">
        <f t="shared" si="33"/>
        <v>-10529</v>
      </c>
      <c r="AD61" s="187"/>
      <c r="AE61" s="187"/>
    </row>
    <row r="62" spans="1:204" x14ac:dyDescent="0.15">
      <c r="A62" s="13"/>
      <c r="F62" s="166"/>
      <c r="G62" s="166"/>
      <c r="H62" s="166"/>
      <c r="I62" s="166"/>
      <c r="J62" s="166"/>
      <c r="K62" s="166"/>
      <c r="L62" s="2"/>
      <c r="M62" s="186"/>
      <c r="N62" s="186"/>
      <c r="O62" s="186"/>
      <c r="P62" s="186"/>
      <c r="Q62" s="186"/>
      <c r="R62" s="186"/>
      <c r="S62" s="186"/>
      <c r="T62" s="186"/>
      <c r="U62" s="186"/>
      <c r="V62" s="186"/>
      <c r="W62" s="186"/>
      <c r="X62" s="186"/>
      <c r="Y62" s="186"/>
      <c r="Z62" s="186"/>
      <c r="AA62" s="186"/>
      <c r="AB62" s="186"/>
      <c r="AC62" s="186"/>
      <c r="AD62" s="77"/>
    </row>
    <row r="63" spans="1:204" x14ac:dyDescent="0.15">
      <c r="A63" s="13" t="s">
        <v>165</v>
      </c>
      <c r="B63" s="141">
        <v>-644</v>
      </c>
      <c r="C63" s="141">
        <v>-1938</v>
      </c>
      <c r="D63" s="141">
        <v>-426</v>
      </c>
      <c r="E63" s="147">
        <f>+F63-SUM(B63:D63)</f>
        <v>140</v>
      </c>
      <c r="F63" s="166">
        <v>-2868</v>
      </c>
      <c r="G63" s="166">
        <v>-455</v>
      </c>
      <c r="H63" s="166">
        <v>215</v>
      </c>
      <c r="I63" s="166">
        <v>-1521</v>
      </c>
      <c r="J63" s="147">
        <f>+K63-SUM(G63:I63)</f>
        <v>716</v>
      </c>
      <c r="K63" s="166">
        <v>-1045</v>
      </c>
      <c r="L63" s="187">
        <f>SUM(G63:J63)-K63</f>
        <v>0</v>
      </c>
      <c r="M63" s="186">
        <v>-2653</v>
      </c>
      <c r="N63" s="186">
        <v>-220</v>
      </c>
      <c r="O63" s="186">
        <v>2893</v>
      </c>
      <c r="P63" s="186">
        <f>+Q63-SUM(M63:O63)</f>
        <v>3362</v>
      </c>
      <c r="Q63" s="186">
        <v>3382</v>
      </c>
      <c r="R63" s="186">
        <v>-984</v>
      </c>
      <c r="S63" s="186">
        <v>-1253</v>
      </c>
      <c r="T63" s="186">
        <v>-2766</v>
      </c>
      <c r="U63" s="186">
        <f>+V63-SUM(R63:T63)</f>
        <v>56</v>
      </c>
      <c r="V63" s="186">
        <v>-4947</v>
      </c>
      <c r="W63" s="186">
        <v>-753</v>
      </c>
      <c r="X63" s="186">
        <v>-4612</v>
      </c>
      <c r="Y63" s="186">
        <v>-4261</v>
      </c>
      <c r="Z63" s="186">
        <f>+AA63-SUM(W63:Y63)</f>
        <v>3566</v>
      </c>
      <c r="AA63" s="186">
        <v>-6060</v>
      </c>
      <c r="AB63" s="186">
        <v>1282</v>
      </c>
      <c r="AC63" s="186">
        <v>242</v>
      </c>
      <c r="AD63" s="187"/>
      <c r="AE63" s="187"/>
    </row>
    <row r="64" spans="1:204" x14ac:dyDescent="0.15">
      <c r="A64" s="14" t="s">
        <v>79</v>
      </c>
      <c r="F64" s="166"/>
      <c r="G64" s="166"/>
      <c r="H64" s="166"/>
      <c r="I64" s="166"/>
      <c r="J64" s="166"/>
      <c r="K64" s="166"/>
      <c r="L64" s="2"/>
      <c r="M64" s="186"/>
      <c r="N64" s="186"/>
      <c r="O64" s="186"/>
      <c r="P64" s="186"/>
      <c r="Q64" s="186"/>
      <c r="R64" s="186"/>
      <c r="S64" s="186"/>
      <c r="T64" s="186"/>
      <c r="U64" s="186"/>
      <c r="V64" s="186"/>
      <c r="W64" s="186"/>
      <c r="X64" s="186"/>
      <c r="Y64" s="186"/>
      <c r="Z64" s="186"/>
      <c r="AA64" s="186"/>
      <c r="AB64" s="186"/>
      <c r="AC64" s="186"/>
      <c r="AD64" s="187"/>
    </row>
    <row r="65" spans="1:31" x14ac:dyDescent="0.15">
      <c r="A65" s="10" t="s">
        <v>166</v>
      </c>
      <c r="B65" s="142">
        <f t="shared" ref="B65:K65" si="34">B61+B49+B39+B63</f>
        <v>-17812</v>
      </c>
      <c r="C65" s="142">
        <f t="shared" si="34"/>
        <v>13527</v>
      </c>
      <c r="D65" s="142">
        <f t="shared" si="34"/>
        <v>15822</v>
      </c>
      <c r="E65" s="142">
        <f t="shared" si="34"/>
        <v>-1682.5240648213221</v>
      </c>
      <c r="F65" s="142">
        <f t="shared" si="34"/>
        <v>9854.4759351786925</v>
      </c>
      <c r="G65" s="142">
        <f t="shared" si="34"/>
        <v>-9504.5240648213221</v>
      </c>
      <c r="H65" s="142">
        <f t="shared" si="34"/>
        <v>-3179.9016086385964</v>
      </c>
      <c r="I65" s="142">
        <f t="shared" si="34"/>
        <v>17837.828320000001</v>
      </c>
      <c r="J65" s="142">
        <f t="shared" si="34"/>
        <v>17759.597353459918</v>
      </c>
      <c r="K65" s="142">
        <f t="shared" si="34"/>
        <v>22913</v>
      </c>
      <c r="L65" s="2"/>
      <c r="M65" s="193">
        <f t="shared" ref="M65:AC65" si="35">M61+M49+M39+M63</f>
        <v>106490</v>
      </c>
      <c r="N65" s="193">
        <f t="shared" si="35"/>
        <v>-62759</v>
      </c>
      <c r="O65" s="193">
        <f t="shared" si="35"/>
        <v>45237</v>
      </c>
      <c r="P65" s="193">
        <f t="shared" si="35"/>
        <v>9507</v>
      </c>
      <c r="Q65" s="193">
        <f t="shared" si="35"/>
        <v>98475</v>
      </c>
      <c r="R65" s="193">
        <f t="shared" si="35"/>
        <v>-40805</v>
      </c>
      <c r="S65" s="193">
        <f t="shared" si="35"/>
        <v>-27178</v>
      </c>
      <c r="T65" s="193">
        <f t="shared" si="35"/>
        <v>-33843</v>
      </c>
      <c r="U65" s="193">
        <f t="shared" si="35"/>
        <v>20117</v>
      </c>
      <c r="V65" s="193">
        <f t="shared" si="35"/>
        <v>-81709</v>
      </c>
      <c r="W65" s="193">
        <f t="shared" si="35"/>
        <v>-28741</v>
      </c>
      <c r="X65" s="193">
        <f t="shared" si="35"/>
        <v>131</v>
      </c>
      <c r="Y65" s="193">
        <f t="shared" si="35"/>
        <v>-16929</v>
      </c>
      <c r="Z65" s="193">
        <f t="shared" si="35"/>
        <v>27350</v>
      </c>
      <c r="AA65" s="193">
        <f t="shared" si="35"/>
        <v>-18189</v>
      </c>
      <c r="AB65" s="193">
        <f t="shared" si="35"/>
        <v>-30656</v>
      </c>
      <c r="AC65" s="193">
        <f t="shared" si="35"/>
        <v>5695</v>
      </c>
      <c r="AD65" s="187"/>
      <c r="AE65" s="187"/>
    </row>
    <row r="66" spans="1:31" x14ac:dyDescent="0.15">
      <c r="A66" s="21" t="s">
        <v>167</v>
      </c>
      <c r="B66" s="143">
        <v>94277</v>
      </c>
      <c r="C66" s="143">
        <f>B67</f>
        <v>76465</v>
      </c>
      <c r="D66" s="143">
        <f>C67</f>
        <v>89992</v>
      </c>
      <c r="E66" s="143">
        <f>D67</f>
        <v>105814</v>
      </c>
      <c r="F66" s="143">
        <v>94277</v>
      </c>
      <c r="G66" s="143">
        <f>E67</f>
        <v>104131.47593517868</v>
      </c>
      <c r="H66" s="143">
        <f>G67</f>
        <v>94626.951870357356</v>
      </c>
      <c r="I66" s="143">
        <f t="shared" ref="I66:AC66" si="36">H67</f>
        <v>91447.050261718759</v>
      </c>
      <c r="J66" s="143">
        <f t="shared" si="36"/>
        <v>109284.87858171876</v>
      </c>
      <c r="K66" s="143">
        <f>F67</f>
        <v>104131.47593517869</v>
      </c>
      <c r="L66" s="143">
        <f t="shared" si="36"/>
        <v>127044.47593517869</v>
      </c>
      <c r="M66" s="143">
        <f t="shared" si="36"/>
        <v>127044.47593517869</v>
      </c>
      <c r="N66" s="143">
        <f t="shared" si="36"/>
        <v>233534.47593517869</v>
      </c>
      <c r="O66" s="143">
        <f t="shared" si="36"/>
        <v>170775.47593517869</v>
      </c>
      <c r="P66" s="143">
        <f t="shared" si="36"/>
        <v>216012.47593517869</v>
      </c>
      <c r="Q66" s="143">
        <f>K67</f>
        <v>127044.47593517869</v>
      </c>
      <c r="R66" s="143">
        <f t="shared" si="36"/>
        <v>225519.47593517869</v>
      </c>
      <c r="S66" s="143">
        <f t="shared" si="36"/>
        <v>184714.47593517869</v>
      </c>
      <c r="T66" s="143">
        <f t="shared" si="36"/>
        <v>157536.47593517869</v>
      </c>
      <c r="U66" s="143">
        <f t="shared" si="36"/>
        <v>123693.47593517869</v>
      </c>
      <c r="V66" s="143">
        <f>Q67</f>
        <v>225519.47593517869</v>
      </c>
      <c r="W66" s="143">
        <f t="shared" si="36"/>
        <v>143810.47593517869</v>
      </c>
      <c r="X66" s="143">
        <f t="shared" si="36"/>
        <v>115069.47593517869</v>
      </c>
      <c r="Y66" s="143">
        <f t="shared" si="36"/>
        <v>115200.47593517869</v>
      </c>
      <c r="Z66" s="143">
        <f t="shared" si="36"/>
        <v>98271.475935178692</v>
      </c>
      <c r="AA66" s="143">
        <f>V67</f>
        <v>143810.47593517869</v>
      </c>
      <c r="AB66" s="143">
        <f t="shared" si="36"/>
        <v>125621.47593517869</v>
      </c>
      <c r="AC66" s="143">
        <f t="shared" si="36"/>
        <v>94965.475935178692</v>
      </c>
      <c r="AD66" s="187"/>
      <c r="AE66" s="187"/>
    </row>
    <row r="67" spans="1:31" x14ac:dyDescent="0.15">
      <c r="A67" s="44" t="s">
        <v>168</v>
      </c>
      <c r="B67" s="140">
        <f>SUM(B65:B66)</f>
        <v>76465</v>
      </c>
      <c r="C67" s="140">
        <f t="shared" ref="C67:AC67" si="37">SUM(C65:C66)</f>
        <v>89992</v>
      </c>
      <c r="D67" s="140">
        <f t="shared" si="37"/>
        <v>105814</v>
      </c>
      <c r="E67" s="140">
        <f t="shared" si="37"/>
        <v>104131.47593517868</v>
      </c>
      <c r="F67" s="140">
        <f t="shared" si="37"/>
        <v>104131.47593517869</v>
      </c>
      <c r="G67" s="140">
        <f t="shared" si="37"/>
        <v>94626.951870357356</v>
      </c>
      <c r="H67" s="140">
        <f t="shared" si="37"/>
        <v>91447.050261718759</v>
      </c>
      <c r="I67" s="140">
        <f t="shared" si="37"/>
        <v>109284.87858171876</v>
      </c>
      <c r="J67" s="140">
        <f t="shared" si="37"/>
        <v>127044.47593517868</v>
      </c>
      <c r="K67" s="140">
        <f t="shared" si="37"/>
        <v>127044.47593517869</v>
      </c>
      <c r="L67" s="140">
        <f t="shared" si="37"/>
        <v>127044.47593517869</v>
      </c>
      <c r="M67" s="140">
        <f t="shared" si="37"/>
        <v>233534.47593517869</v>
      </c>
      <c r="N67" s="140">
        <f t="shared" si="37"/>
        <v>170775.47593517869</v>
      </c>
      <c r="O67" s="140">
        <f t="shared" si="37"/>
        <v>216012.47593517869</v>
      </c>
      <c r="P67" s="140">
        <f t="shared" si="37"/>
        <v>225519.47593517869</v>
      </c>
      <c r="Q67" s="140">
        <f t="shared" si="37"/>
        <v>225519.47593517869</v>
      </c>
      <c r="R67" s="140">
        <f t="shared" si="37"/>
        <v>184714.47593517869</v>
      </c>
      <c r="S67" s="140">
        <f t="shared" si="37"/>
        <v>157536.47593517869</v>
      </c>
      <c r="T67" s="140">
        <f t="shared" si="37"/>
        <v>123693.47593517869</v>
      </c>
      <c r="U67" s="140">
        <f t="shared" si="37"/>
        <v>143810.47593517869</v>
      </c>
      <c r="V67" s="140">
        <f t="shared" si="37"/>
        <v>143810.47593517869</v>
      </c>
      <c r="W67" s="140">
        <f t="shared" si="37"/>
        <v>115069.47593517869</v>
      </c>
      <c r="X67" s="140">
        <f t="shared" si="37"/>
        <v>115200.47593517869</v>
      </c>
      <c r="Y67" s="140">
        <f t="shared" si="37"/>
        <v>98271.475935178692</v>
      </c>
      <c r="Z67" s="140">
        <f t="shared" si="37"/>
        <v>125621.47593517869</v>
      </c>
      <c r="AA67" s="140">
        <f t="shared" si="37"/>
        <v>125621.47593517869</v>
      </c>
      <c r="AB67" s="140">
        <f t="shared" si="37"/>
        <v>94965.475935178692</v>
      </c>
      <c r="AC67" s="140">
        <f t="shared" si="37"/>
        <v>100660.47593517869</v>
      </c>
      <c r="AD67" s="187"/>
      <c r="AE67" s="249"/>
    </row>
    <row r="68" spans="1:31" x14ac:dyDescent="0.15">
      <c r="A68" s="13"/>
      <c r="F68" s="138"/>
      <c r="G68" s="138"/>
      <c r="H68" s="138"/>
      <c r="I68" s="182"/>
      <c r="J68" s="182"/>
      <c r="K68" s="182"/>
      <c r="L68" s="2"/>
      <c r="M68" s="182"/>
      <c r="N68" s="182"/>
      <c r="O68" s="182"/>
      <c r="P68" s="182"/>
      <c r="Q68" s="182"/>
      <c r="R68" s="182"/>
      <c r="S68" s="182"/>
      <c r="T68" s="182"/>
      <c r="U68" s="182"/>
      <c r="V68" s="182"/>
      <c r="W68" s="182"/>
      <c r="X68" s="182"/>
      <c r="Y68" s="182"/>
      <c r="Z68" s="182"/>
      <c r="AA68" s="182"/>
      <c r="AB68" s="182"/>
      <c r="AC68" s="182"/>
    </row>
    <row r="69" spans="1:31" x14ac:dyDescent="0.15">
      <c r="F69" s="138"/>
      <c r="G69" s="138"/>
      <c r="H69" s="138"/>
      <c r="I69" s="182"/>
      <c r="J69" s="182"/>
      <c r="K69" s="182"/>
      <c r="L69" s="2"/>
      <c r="M69" s="182"/>
      <c r="N69" s="182"/>
      <c r="O69" s="182"/>
      <c r="P69" s="182"/>
      <c r="Q69" s="182"/>
      <c r="R69" s="182"/>
      <c r="S69" s="182"/>
      <c r="T69" s="182"/>
      <c r="U69" s="182"/>
      <c r="V69" s="182"/>
      <c r="W69" s="182"/>
      <c r="X69" s="182"/>
      <c r="Y69" s="182"/>
      <c r="Z69" s="182"/>
      <c r="AA69" s="182"/>
      <c r="AB69" s="182"/>
      <c r="AC69" s="182"/>
    </row>
    <row r="70" spans="1:31" hidden="1" x14ac:dyDescent="0.15">
      <c r="A70" s="2" t="s">
        <v>169</v>
      </c>
      <c r="F70" s="138"/>
      <c r="G70" s="138"/>
      <c r="H70" s="138"/>
      <c r="I70" s="182"/>
      <c r="J70" s="182"/>
      <c r="K70" s="182"/>
      <c r="L70" s="2"/>
      <c r="M70" s="182"/>
      <c r="N70" s="182"/>
      <c r="O70" s="182"/>
      <c r="P70" s="182"/>
      <c r="Q70" s="182"/>
      <c r="R70" s="182"/>
      <c r="S70" s="182"/>
      <c r="T70" s="182"/>
      <c r="U70" s="182"/>
      <c r="V70" s="182"/>
      <c r="W70" s="182"/>
      <c r="X70" s="182"/>
      <c r="Y70" s="182"/>
      <c r="Z70" s="182"/>
      <c r="AA70" s="182"/>
      <c r="AB70" s="182"/>
      <c r="AC70" s="182"/>
    </row>
    <row r="71" spans="1:31" x14ac:dyDescent="0.15">
      <c r="B71" s="151"/>
      <c r="C71" s="151"/>
      <c r="D71" s="151"/>
      <c r="E71" s="151"/>
      <c r="F71" s="151"/>
      <c r="G71" s="151"/>
      <c r="H71" s="151"/>
      <c r="I71" s="183"/>
      <c r="J71" s="183"/>
      <c r="K71" s="183"/>
      <c r="M71" s="147"/>
      <c r="N71" s="147"/>
      <c r="O71" s="147"/>
      <c r="P71" s="147"/>
      <c r="Q71" s="147"/>
      <c r="R71" s="147"/>
      <c r="S71" s="147"/>
      <c r="T71" s="147"/>
      <c r="U71" s="147"/>
      <c r="V71" s="147"/>
      <c r="W71" s="147"/>
      <c r="X71" s="147"/>
      <c r="Y71" s="147"/>
      <c r="Z71" s="147"/>
      <c r="AA71" s="147"/>
      <c r="AB71" s="147"/>
      <c r="AC71" s="147"/>
    </row>
    <row r="72" spans="1:31" x14ac:dyDescent="0.15">
      <c r="B72" s="148"/>
      <c r="C72" s="148"/>
      <c r="D72" s="148"/>
      <c r="E72" s="148"/>
      <c r="F72" s="148"/>
      <c r="G72" s="148"/>
      <c r="H72" s="148"/>
      <c r="I72" s="80"/>
      <c r="J72" s="80"/>
      <c r="K72" s="80"/>
      <c r="M72" s="162"/>
      <c r="N72" s="162"/>
      <c r="O72" s="162"/>
      <c r="P72" s="162"/>
      <c r="Q72" s="162"/>
      <c r="R72" s="162"/>
      <c r="S72" s="162"/>
      <c r="T72" s="162"/>
      <c r="U72" s="162"/>
      <c r="V72" s="162"/>
      <c r="W72" s="162"/>
      <c r="X72" s="162"/>
      <c r="Y72" s="162"/>
      <c r="Z72" s="162"/>
      <c r="AA72" s="162"/>
      <c r="AB72" s="162"/>
      <c r="AC72" s="162"/>
    </row>
  </sheetData>
  <phoneticPr fontId="16" type="noConversion"/>
  <pageMargins left="0.25" right="0.25" top="0.75" bottom="0.75" header="0.3" footer="0.3"/>
  <pageSetup paperSize="9" scale="47" orientation="landscape" r:id="rId1"/>
  <rowBreaks count="2" manualBreakCount="2">
    <brk id="49" max="28" man="1"/>
    <brk id="69" max="28" man="1"/>
  </rowBreaks>
  <ignoredErrors>
    <ignoredError sqref="E23 E12 E63 J30 J44 J55 J60 J57:J58 J52:J53"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F109"/>
  <sheetViews>
    <sheetView showGridLines="0" tabSelected="1" view="pageBreakPreview" zoomScale="60" zoomScaleNormal="50" workbookViewId="0">
      <pane xSplit="2" ySplit="4" topLeftCell="G31" activePane="bottomRight" state="frozen"/>
      <selection pane="topRight" activeCell="X8" sqref="X8"/>
      <selection pane="bottomLeft" activeCell="X8" sqref="X8"/>
      <selection pane="bottomRight" activeCell="B34" sqref="B34"/>
    </sheetView>
  </sheetViews>
  <sheetFormatPr baseColWidth="10" defaultColWidth="9.1640625" defaultRowHeight="21" outlineLevelCol="1" x14ac:dyDescent="0.25"/>
  <cols>
    <col min="1" max="1" width="2.5" style="118" customWidth="1"/>
    <col min="2" max="2" width="62.5" style="120" customWidth="1"/>
    <col min="3" max="6" width="18.5" style="157" hidden="1" customWidth="1" outlineLevel="1"/>
    <col min="7" max="7" width="18.5" style="157" customWidth="1" collapsed="1"/>
    <col min="8" max="8" width="16.33203125" style="157" hidden="1" customWidth="1" outlineLevel="1"/>
    <col min="9" max="11" width="17.5" style="120" hidden="1" customWidth="1" outlineLevel="1"/>
    <col min="12" max="12" width="20.83203125" style="120" customWidth="1" collapsed="1"/>
    <col min="13" max="20" width="17.5" style="120" customWidth="1"/>
    <col min="21" max="21" width="17.33203125" style="120" customWidth="1"/>
    <col min="22" max="22" width="19" style="120" bestFit="1" customWidth="1"/>
    <col min="23" max="24" width="17.6640625" style="120" customWidth="1"/>
    <col min="25" max="25" width="16.1640625" style="120" bestFit="1" customWidth="1"/>
    <col min="26" max="26" width="18.33203125" style="120" bestFit="1" customWidth="1"/>
    <col min="27" max="29" width="19" style="120" bestFit="1" customWidth="1"/>
    <col min="30" max="30" width="16.1640625" style="120" customWidth="1"/>
    <col min="31" max="31" width="17" style="120" customWidth="1"/>
    <col min="32" max="34" width="9.1640625" style="120" customWidth="1"/>
    <col min="35" max="16384" width="9.1640625" style="120"/>
  </cols>
  <sheetData>
    <row r="1" spans="1:32" ht="22" thickBot="1" x14ac:dyDescent="0.3">
      <c r="A1" s="118" t="s">
        <v>170</v>
      </c>
      <c r="B1" s="119"/>
      <c r="Z1" s="237"/>
      <c r="AA1" s="237"/>
      <c r="AB1" s="237"/>
      <c r="AC1" s="237"/>
      <c r="AF1" s="237"/>
    </row>
    <row r="2" spans="1:32" ht="22" thickBot="1" x14ac:dyDescent="0.3">
      <c r="B2" s="119"/>
      <c r="C2" s="271">
        <v>2018</v>
      </c>
      <c r="D2" s="273"/>
      <c r="E2" s="273"/>
      <c r="F2" s="273"/>
      <c r="G2" s="272"/>
      <c r="H2" s="271">
        <v>2019</v>
      </c>
      <c r="I2" s="273"/>
      <c r="J2" s="273"/>
      <c r="K2" s="273"/>
      <c r="L2" s="272"/>
      <c r="M2" s="271">
        <v>2020</v>
      </c>
      <c r="N2" s="273"/>
      <c r="O2" s="273"/>
      <c r="P2" s="273"/>
      <c r="Q2" s="272"/>
      <c r="R2" s="271">
        <v>2021</v>
      </c>
      <c r="S2" s="273"/>
      <c r="T2" s="273"/>
      <c r="U2" s="273"/>
      <c r="V2" s="273"/>
      <c r="W2" s="271">
        <v>2022</v>
      </c>
      <c r="X2" s="273"/>
      <c r="Y2" s="273"/>
      <c r="Z2" s="273"/>
      <c r="AA2" s="272"/>
      <c r="AB2" s="271">
        <v>2023</v>
      </c>
      <c r="AC2" s="272"/>
    </row>
    <row r="3" spans="1:32" s="173" customFormat="1" ht="25" thickBot="1" x14ac:dyDescent="0.25">
      <c r="A3" s="171"/>
      <c r="B3" s="172"/>
      <c r="C3" s="262" t="s">
        <v>171</v>
      </c>
      <c r="D3" s="262" t="s">
        <v>171</v>
      </c>
      <c r="E3" s="262" t="s">
        <v>171</v>
      </c>
      <c r="F3" s="262" t="s">
        <v>171</v>
      </c>
      <c r="G3" s="262" t="s">
        <v>171</v>
      </c>
      <c r="H3" s="262" t="s">
        <v>171</v>
      </c>
      <c r="I3" s="262" t="s">
        <v>171</v>
      </c>
      <c r="J3" s="262" t="s">
        <v>171</v>
      </c>
      <c r="K3" s="262" t="s">
        <v>171</v>
      </c>
      <c r="L3" s="262" t="s">
        <v>171</v>
      </c>
      <c r="M3" s="191" t="s">
        <v>172</v>
      </c>
      <c r="N3" s="191" t="s">
        <v>172</v>
      </c>
      <c r="O3" s="191" t="s">
        <v>172</v>
      </c>
      <c r="P3" s="191" t="s">
        <v>172</v>
      </c>
      <c r="Q3" s="191" t="s">
        <v>172</v>
      </c>
      <c r="R3" s="191">
        <v>2021</v>
      </c>
      <c r="S3" s="191">
        <v>2021</v>
      </c>
      <c r="T3" s="191">
        <v>2021</v>
      </c>
      <c r="U3" s="191">
        <v>2021</v>
      </c>
      <c r="V3" s="191">
        <v>2021</v>
      </c>
      <c r="W3" s="252">
        <v>2022</v>
      </c>
      <c r="X3" s="252">
        <v>2022</v>
      </c>
      <c r="Y3" s="252">
        <v>2022</v>
      </c>
      <c r="Z3" s="252">
        <v>2022</v>
      </c>
      <c r="AA3" s="252">
        <v>2022</v>
      </c>
      <c r="AB3" s="191">
        <v>2023</v>
      </c>
      <c r="AC3" s="191">
        <v>2023</v>
      </c>
    </row>
    <row r="4" spans="1:32" x14ac:dyDescent="0.25">
      <c r="B4" s="119"/>
      <c r="C4" s="121" t="s">
        <v>6</v>
      </c>
      <c r="D4" s="121" t="s">
        <v>7</v>
      </c>
      <c r="E4" s="121" t="s">
        <v>8</v>
      </c>
      <c r="F4" s="121" t="s">
        <v>9</v>
      </c>
      <c r="G4" s="121" t="s">
        <v>173</v>
      </c>
      <c r="H4" s="121" t="s">
        <v>6</v>
      </c>
      <c r="I4" s="121" t="s">
        <v>7</v>
      </c>
      <c r="J4" s="121" t="s">
        <v>8</v>
      </c>
      <c r="K4" s="121" t="s">
        <v>9</v>
      </c>
      <c r="L4" s="121" t="s">
        <v>174</v>
      </c>
      <c r="M4" s="121" t="s">
        <v>6</v>
      </c>
      <c r="N4" s="121" t="s">
        <v>7</v>
      </c>
      <c r="O4" s="121" t="s">
        <v>8</v>
      </c>
      <c r="P4" s="121" t="s">
        <v>9</v>
      </c>
      <c r="Q4" s="121" t="s">
        <v>175</v>
      </c>
      <c r="R4" s="121" t="s">
        <v>6</v>
      </c>
      <c r="S4" s="121" t="s">
        <v>7</v>
      </c>
      <c r="T4" s="121" t="s">
        <v>8</v>
      </c>
      <c r="U4" s="121" t="s">
        <v>9</v>
      </c>
      <c r="V4" s="121" t="s">
        <v>176</v>
      </c>
      <c r="W4" s="121" t="s">
        <v>6</v>
      </c>
      <c r="X4" s="121" t="s">
        <v>7</v>
      </c>
      <c r="Y4" s="121" t="s">
        <v>8</v>
      </c>
      <c r="Z4" s="121" t="s">
        <v>9</v>
      </c>
      <c r="AA4" s="121" t="s">
        <v>177</v>
      </c>
      <c r="AB4" s="121" t="s">
        <v>6</v>
      </c>
      <c r="AC4" s="121" t="s">
        <v>7</v>
      </c>
      <c r="AD4" s="236"/>
    </row>
    <row r="5" spans="1:32" x14ac:dyDescent="0.25">
      <c r="A5" s="270" t="s">
        <v>178</v>
      </c>
      <c r="B5" s="270"/>
      <c r="C5" s="197"/>
      <c r="D5" s="120"/>
      <c r="E5" s="120"/>
      <c r="F5" s="120"/>
      <c r="G5" s="120"/>
      <c r="H5" s="197"/>
      <c r="M5" s="157"/>
      <c r="N5" s="157"/>
      <c r="O5" s="157"/>
      <c r="P5" s="157"/>
      <c r="Q5" s="157"/>
      <c r="R5" s="157"/>
      <c r="S5" s="157"/>
      <c r="T5" s="157"/>
    </row>
    <row r="6" spans="1:32" ht="21" customHeight="1" x14ac:dyDescent="0.25">
      <c r="A6" s="270" t="s">
        <v>70</v>
      </c>
      <c r="B6" s="270"/>
      <c r="C6" s="263"/>
      <c r="D6" s="263"/>
      <c r="E6" s="264"/>
      <c r="F6" s="264"/>
      <c r="G6" s="264"/>
      <c r="H6" s="263"/>
      <c r="I6" s="263"/>
      <c r="J6" s="264"/>
      <c r="K6" s="264"/>
      <c r="L6" s="264"/>
      <c r="M6" s="157"/>
      <c r="N6" s="157"/>
      <c r="O6" s="157"/>
      <c r="P6" s="157"/>
      <c r="Q6" s="157"/>
      <c r="R6" s="157"/>
      <c r="S6" s="157"/>
      <c r="T6" s="157"/>
    </row>
    <row r="7" spans="1:32" ht="21" hidden="1" customHeight="1" x14ac:dyDescent="0.25">
      <c r="B7" s="126"/>
      <c r="C7" s="133"/>
      <c r="D7" s="120"/>
      <c r="E7" s="120"/>
      <c r="F7" s="120"/>
      <c r="G7" s="120"/>
      <c r="H7" s="133"/>
      <c r="M7" s="157"/>
      <c r="N7" s="157"/>
      <c r="O7" s="157"/>
      <c r="P7" s="157"/>
      <c r="Q7" s="157"/>
      <c r="R7" s="157"/>
      <c r="S7" s="157"/>
      <c r="T7" s="157"/>
    </row>
    <row r="8" spans="1:32" ht="21" hidden="1" customHeight="1" x14ac:dyDescent="0.25">
      <c r="B8" s="126"/>
      <c r="C8" s="134"/>
      <c r="D8" s="215"/>
      <c r="E8" s="120"/>
      <c r="F8" s="120"/>
      <c r="G8" s="120"/>
      <c r="H8" s="134"/>
      <c r="I8" s="215"/>
      <c r="M8" s="157"/>
      <c r="N8" s="157"/>
      <c r="O8" s="157"/>
      <c r="P8" s="157"/>
      <c r="Q8" s="157"/>
      <c r="R8" s="157"/>
      <c r="S8" s="157"/>
      <c r="T8" s="157"/>
    </row>
    <row r="9" spans="1:32" ht="21" hidden="1" customHeight="1" x14ac:dyDescent="0.25">
      <c r="B9" s="126"/>
      <c r="C9" s="195"/>
      <c r="D9" s="120"/>
      <c r="E9" s="120"/>
      <c r="F9" s="120"/>
      <c r="G9" s="120"/>
      <c r="H9" s="195"/>
      <c r="M9" s="157"/>
      <c r="N9" s="157"/>
      <c r="O9" s="157"/>
      <c r="P9" s="157"/>
      <c r="Q9" s="157"/>
      <c r="R9" s="157"/>
      <c r="S9" s="157"/>
      <c r="T9" s="157"/>
    </row>
    <row r="10" spans="1:32" ht="21" hidden="1" customHeight="1" x14ac:dyDescent="0.25">
      <c r="B10" s="126"/>
      <c r="C10" s="134"/>
      <c r="D10" s="120"/>
      <c r="E10" s="120"/>
      <c r="F10" s="120"/>
      <c r="G10" s="120"/>
      <c r="H10" s="134"/>
      <c r="M10" s="157"/>
      <c r="N10" s="157"/>
      <c r="O10" s="157"/>
      <c r="P10" s="157"/>
      <c r="Q10" s="157"/>
      <c r="R10" s="157"/>
      <c r="S10" s="157"/>
      <c r="T10" s="157"/>
    </row>
    <row r="11" spans="1:32" ht="21" hidden="1" customHeight="1" x14ac:dyDescent="0.25">
      <c r="B11" s="119"/>
      <c r="C11" s="197"/>
      <c r="D11" s="120"/>
      <c r="E11" s="120"/>
      <c r="F11" s="120"/>
      <c r="G11" s="120"/>
      <c r="H11" s="197"/>
      <c r="M11" s="157"/>
      <c r="N11" s="157"/>
      <c r="O11" s="157"/>
      <c r="P11" s="157"/>
      <c r="Q11" s="157"/>
      <c r="R11" s="157"/>
      <c r="S11" s="157"/>
      <c r="T11" s="157"/>
    </row>
    <row r="12" spans="1:32" ht="21" hidden="1" customHeight="1" x14ac:dyDescent="0.25">
      <c r="B12" s="122"/>
      <c r="C12" s="263"/>
      <c r="D12" s="263"/>
      <c r="E12" s="264"/>
      <c r="F12" s="264"/>
      <c r="G12" s="264"/>
      <c r="H12" s="263"/>
      <c r="I12" s="263"/>
      <c r="J12" s="264"/>
      <c r="K12" s="264"/>
      <c r="L12" s="264"/>
      <c r="M12" s="157"/>
      <c r="N12" s="157"/>
      <c r="O12" s="157"/>
      <c r="P12" s="157"/>
      <c r="Q12" s="157"/>
      <c r="R12" s="157"/>
      <c r="S12" s="157"/>
      <c r="T12" s="157"/>
    </row>
    <row r="13" spans="1:32" ht="21" hidden="1" customHeight="1" x14ac:dyDescent="0.25">
      <c r="B13" s="126"/>
      <c r="C13" s="133"/>
      <c r="D13" s="120"/>
      <c r="E13" s="120"/>
      <c r="F13" s="120"/>
      <c r="G13" s="120"/>
      <c r="H13" s="133"/>
      <c r="M13" s="157"/>
      <c r="N13" s="157"/>
      <c r="O13" s="157"/>
      <c r="P13" s="157"/>
      <c r="Q13" s="157"/>
      <c r="R13" s="157"/>
      <c r="S13" s="157"/>
      <c r="T13" s="157"/>
    </row>
    <row r="14" spans="1:32" ht="21" hidden="1" customHeight="1" x14ac:dyDescent="0.25">
      <c r="B14" s="126"/>
      <c r="C14" s="195"/>
      <c r="D14" s="120"/>
      <c r="E14" s="120"/>
      <c r="F14" s="120"/>
      <c r="G14" s="120"/>
      <c r="H14" s="195"/>
      <c r="M14" s="157"/>
      <c r="N14" s="157"/>
      <c r="O14" s="157"/>
      <c r="P14" s="157"/>
      <c r="Q14" s="157"/>
      <c r="R14" s="157"/>
      <c r="S14" s="157"/>
      <c r="T14" s="157"/>
    </row>
    <row r="15" spans="1:32" ht="21" hidden="1" customHeight="1" x14ac:dyDescent="0.25">
      <c r="B15" s="126"/>
      <c r="C15" s="134"/>
      <c r="D15" s="120"/>
      <c r="E15" s="120"/>
      <c r="F15" s="120"/>
      <c r="G15" s="120"/>
      <c r="H15" s="134"/>
      <c r="M15" s="157"/>
      <c r="N15" s="157"/>
      <c r="O15" s="157"/>
      <c r="P15" s="157"/>
      <c r="Q15" s="157"/>
      <c r="R15" s="157"/>
      <c r="S15" s="157"/>
      <c r="T15" s="157"/>
    </row>
    <row r="16" spans="1:32" x14ac:dyDescent="0.25">
      <c r="A16" s="122"/>
      <c r="B16" s="119"/>
      <c r="C16" s="197"/>
      <c r="D16" s="120"/>
      <c r="E16" s="120"/>
      <c r="F16" s="120"/>
      <c r="G16" s="120"/>
      <c r="H16" s="197"/>
      <c r="M16" s="157"/>
      <c r="N16" s="157"/>
      <c r="O16" s="157"/>
      <c r="P16" s="157"/>
      <c r="Q16" s="157"/>
      <c r="R16" s="157"/>
      <c r="S16" s="157"/>
      <c r="T16" s="157"/>
    </row>
    <row r="17" spans="1:30" ht="25" x14ac:dyDescent="0.25">
      <c r="A17" s="123"/>
      <c r="B17" s="124" t="s">
        <v>179</v>
      </c>
      <c r="C17" s="185">
        <f t="shared" ref="C17:H17" si="0">C23+C30+C36</f>
        <v>149870.96685598622</v>
      </c>
      <c r="D17" s="185">
        <f t="shared" si="0"/>
        <v>150494.46117321268</v>
      </c>
      <c r="E17" s="185">
        <f t="shared" si="0"/>
        <v>148416.88236976153</v>
      </c>
      <c r="F17" s="185">
        <f t="shared" si="0"/>
        <v>149040.3301324464</v>
      </c>
      <c r="G17" s="185">
        <f t="shared" si="0"/>
        <v>597821.64053140674</v>
      </c>
      <c r="H17" s="185">
        <f t="shared" si="0"/>
        <v>152612</v>
      </c>
      <c r="I17" s="185">
        <f t="shared" ref="I17:Q17" si="1">I23+I30+I36</f>
        <v>155638</v>
      </c>
      <c r="J17" s="185">
        <f t="shared" si="1"/>
        <v>162639</v>
      </c>
      <c r="K17" s="185">
        <f t="shared" si="1"/>
        <v>163128</v>
      </c>
      <c r="L17" s="185">
        <f t="shared" si="1"/>
        <v>634017</v>
      </c>
      <c r="M17" s="185">
        <f t="shared" si="1"/>
        <v>153559</v>
      </c>
      <c r="N17" s="185">
        <f t="shared" si="1"/>
        <v>140794</v>
      </c>
      <c r="O17" s="185">
        <f t="shared" si="1"/>
        <v>150519.13785266777</v>
      </c>
      <c r="P17" s="185">
        <f t="shared" si="1"/>
        <v>150882.86214733223</v>
      </c>
      <c r="Q17" s="185">
        <f t="shared" si="1"/>
        <v>595755</v>
      </c>
      <c r="R17" s="185">
        <f t="shared" ref="R17:S17" si="2">R23+R30+R36</f>
        <v>159093</v>
      </c>
      <c r="S17" s="185">
        <f t="shared" si="2"/>
        <v>163659</v>
      </c>
      <c r="T17" s="185">
        <f t="shared" ref="T17:W17" si="3">T23+T30+T36</f>
        <v>169862</v>
      </c>
      <c r="U17" s="185">
        <f t="shared" si="3"/>
        <v>169007</v>
      </c>
      <c r="V17" s="185">
        <f t="shared" si="3"/>
        <v>661621</v>
      </c>
      <c r="W17" s="185">
        <f t="shared" si="3"/>
        <v>180169</v>
      </c>
      <c r="X17" s="185">
        <f t="shared" ref="X17:AC17" si="4">X23+X30+X36</f>
        <v>185481</v>
      </c>
      <c r="Y17" s="185">
        <f t="shared" si="4"/>
        <v>195053</v>
      </c>
      <c r="Z17" s="185">
        <f t="shared" si="4"/>
        <v>203990</v>
      </c>
      <c r="AA17" s="185">
        <f t="shared" si="4"/>
        <v>764693</v>
      </c>
      <c r="AB17" s="185">
        <f t="shared" si="4"/>
        <v>218801</v>
      </c>
      <c r="AC17" s="185">
        <f t="shared" si="4"/>
        <v>222813</v>
      </c>
      <c r="AD17" s="247"/>
    </row>
    <row r="18" spans="1:30" x14ac:dyDescent="0.25">
      <c r="B18" s="126" t="s">
        <v>180</v>
      </c>
      <c r="C18" s="133">
        <v>0.11822412187019271</v>
      </c>
      <c r="D18" s="133">
        <v>9.4516632636036713E-2</v>
      </c>
      <c r="E18" s="133">
        <v>7.0822240426617E-2</v>
      </c>
      <c r="F18" s="133">
        <v>4.7790611168654351E-2</v>
      </c>
      <c r="G18" s="133">
        <v>8.2287332816930681E-2</v>
      </c>
      <c r="H18" s="133">
        <v>1.8289287121552311E-2</v>
      </c>
      <c r="I18" s="133">
        <v>3.4177595551954099E-2</v>
      </c>
      <c r="J18" s="133">
        <v>9.5825470816762515E-2</v>
      </c>
      <c r="K18" s="133">
        <v>9.4522535309969014E-2</v>
      </c>
      <c r="L18" s="133">
        <v>6.0547189264690049E-2</v>
      </c>
      <c r="M18" s="127">
        <f t="shared" ref="M18:T18" si="5">M17/H17-1</f>
        <v>6.2052787461013281E-3</v>
      </c>
      <c r="N18" s="127">
        <f t="shared" si="5"/>
        <v>-9.5375165448026822E-2</v>
      </c>
      <c r="O18" s="127">
        <f t="shared" si="5"/>
        <v>-7.4520023778627653E-2</v>
      </c>
      <c r="P18" s="127">
        <f t="shared" si="5"/>
        <v>-7.5064598675075866E-2</v>
      </c>
      <c r="Q18" s="127">
        <f t="shared" si="5"/>
        <v>-6.0348539550201363E-2</v>
      </c>
      <c r="R18" s="127">
        <f t="shared" si="5"/>
        <v>3.6038265422410953E-2</v>
      </c>
      <c r="S18" s="127">
        <f t="shared" si="5"/>
        <v>0.16240038638010135</v>
      </c>
      <c r="T18" s="127">
        <f t="shared" si="5"/>
        <v>0.12850765971211953</v>
      </c>
      <c r="U18" s="127">
        <f t="shared" ref="U18" si="6">U17/P17-1</f>
        <v>0.12012058622648691</v>
      </c>
      <c r="V18" s="127">
        <f t="shared" ref="V18:Y18" si="7">V17/Q17-1</f>
        <v>0.11055887067670445</v>
      </c>
      <c r="W18" s="127">
        <f t="shared" si="7"/>
        <v>0.13247597317292392</v>
      </c>
      <c r="X18" s="127">
        <f t="shared" si="7"/>
        <v>0.13333822154601949</v>
      </c>
      <c r="Y18" s="127">
        <f t="shared" si="7"/>
        <v>0.14830273987118958</v>
      </c>
      <c r="Z18" s="127">
        <f t="shared" ref="Z18" si="8">Z17/U17-1</f>
        <v>0.20699142639062296</v>
      </c>
      <c r="AA18" s="127">
        <f t="shared" ref="AA18" si="9">AA17/V17-1</f>
        <v>0.15578707447314999</v>
      </c>
      <c r="AB18" s="127">
        <f>AB17/W17-1</f>
        <v>0.21442090481714393</v>
      </c>
      <c r="AC18" s="127">
        <f>AC17/X17-1</f>
        <v>0.20127128924256388</v>
      </c>
      <c r="AD18" s="246"/>
    </row>
    <row r="19" spans="1:30" x14ac:dyDescent="0.25">
      <c r="B19" s="126" t="s">
        <v>181</v>
      </c>
      <c r="C19" s="154">
        <v>0.104152477303735</v>
      </c>
      <c r="D19" s="154">
        <v>9.7943653485765836E-2</v>
      </c>
      <c r="E19" s="154">
        <v>8.7427961273436328E-2</v>
      </c>
      <c r="F19" s="154">
        <v>6.7816377226745272E-2</v>
      </c>
      <c r="G19" s="154">
        <v>8.905334615962901E-2</v>
      </c>
      <c r="H19" s="154">
        <v>3.9E-2</v>
      </c>
      <c r="I19" s="154">
        <v>4.3999999999999997E-2</v>
      </c>
      <c r="J19" s="154">
        <v>0.10100000000000001</v>
      </c>
      <c r="K19" s="154">
        <v>9.5000000000000001E-2</v>
      </c>
      <c r="L19" s="154">
        <v>7.0000000000000007E-2</v>
      </c>
      <c r="M19" s="133">
        <v>1.5189806188657951E-2</v>
      </c>
      <c r="N19" s="133">
        <v>-8.5113869530994424E-2</v>
      </c>
      <c r="O19" s="133">
        <v>-7.3818017746927533E-2</v>
      </c>
      <c r="P19" s="133">
        <v>-7.4335344491529121E-2</v>
      </c>
      <c r="Q19" s="133">
        <v>-5.5299191968245509E-2</v>
      </c>
      <c r="R19" s="133">
        <v>2.7551097699270555E-2</v>
      </c>
      <c r="S19" s="133">
        <v>0.14889159851110234</v>
      </c>
      <c r="T19" s="133">
        <v>0.12610127163995721</v>
      </c>
      <c r="U19" s="133">
        <v>0.12222951818446059</v>
      </c>
      <c r="V19" s="133">
        <v>0.10510489414269042</v>
      </c>
      <c r="W19" s="133">
        <v>0.13961567030821898</v>
      </c>
      <c r="X19" s="133">
        <v>0.15033269885470735</v>
      </c>
      <c r="Y19" s="133">
        <v>0.17187436580971149</v>
      </c>
      <c r="Z19" s="133">
        <v>0.22975035140904332</v>
      </c>
      <c r="AA19" s="133">
        <v>0.17357299666141079</v>
      </c>
      <c r="AB19" s="133">
        <v>0.2324777889138252</v>
      </c>
      <c r="AC19" s="133">
        <v>0.20843819543719944</v>
      </c>
      <c r="AD19" s="246"/>
    </row>
    <row r="20" spans="1:30" x14ac:dyDescent="0.25">
      <c r="B20" s="126" t="s">
        <v>182</v>
      </c>
      <c r="C20" s="195">
        <f>ROUND(C26+C33+C39,0)</f>
        <v>49845</v>
      </c>
      <c r="D20" s="195">
        <f>ROUND(D26+D33+D39,0)-1</f>
        <v>49501</v>
      </c>
      <c r="E20" s="195">
        <f>ROUND(E26+E33+E39,0)</f>
        <v>49898</v>
      </c>
      <c r="F20" s="195">
        <f>ROUND(F26+F33+F39,0)</f>
        <v>48327</v>
      </c>
      <c r="G20" s="195">
        <f>ROUND(G26+G33+G39,0)</f>
        <v>197571</v>
      </c>
      <c r="H20" s="195">
        <f>ROUND(H26+H33+H39,0)</f>
        <v>52274</v>
      </c>
      <c r="I20" s="195">
        <f t="shared" ref="I20:Q20" si="10">ROUND(I26+I33+I39,0)</f>
        <v>50623</v>
      </c>
      <c r="J20" s="195">
        <f t="shared" si="10"/>
        <v>52930</v>
      </c>
      <c r="K20" s="195">
        <f t="shared" si="10"/>
        <v>53945</v>
      </c>
      <c r="L20" s="195">
        <f t="shared" si="10"/>
        <v>209772</v>
      </c>
      <c r="M20" s="129">
        <f t="shared" si="10"/>
        <v>49519</v>
      </c>
      <c r="N20" s="129">
        <f t="shared" si="10"/>
        <v>39625</v>
      </c>
      <c r="O20" s="129">
        <f t="shared" si="10"/>
        <v>54903</v>
      </c>
      <c r="P20" s="129">
        <f t="shared" si="10"/>
        <v>57222</v>
      </c>
      <c r="Q20" s="129">
        <f t="shared" si="10"/>
        <v>201269</v>
      </c>
      <c r="R20" s="129">
        <f t="shared" ref="R20:S20" si="11">ROUND(R26+R33+R39,0)</f>
        <v>64765</v>
      </c>
      <c r="S20" s="129">
        <f t="shared" si="11"/>
        <v>64269</v>
      </c>
      <c r="T20" s="129">
        <f t="shared" ref="T20:AC20" si="12">ROUND(T26+T33+T39,0)</f>
        <v>67655</v>
      </c>
      <c r="U20" s="129">
        <f t="shared" si="12"/>
        <v>63906</v>
      </c>
      <c r="V20" s="129">
        <f t="shared" si="12"/>
        <v>260595</v>
      </c>
      <c r="W20" s="129">
        <f t="shared" si="12"/>
        <v>68223</v>
      </c>
      <c r="X20" s="129">
        <f t="shared" si="12"/>
        <v>65928</v>
      </c>
      <c r="Y20" s="129">
        <f t="shared" ref="Y20" si="13">ROUND(Y26+Y33+Y39,0)</f>
        <v>70530</v>
      </c>
      <c r="Z20" s="129">
        <f t="shared" si="12"/>
        <v>73310</v>
      </c>
      <c r="AA20" s="129">
        <f t="shared" si="12"/>
        <v>277991</v>
      </c>
      <c r="AB20" s="129">
        <f t="shared" si="12"/>
        <v>81698</v>
      </c>
      <c r="AC20" s="195">
        <f t="shared" si="12"/>
        <v>83106</v>
      </c>
      <c r="AD20" s="161"/>
    </row>
    <row r="21" spans="1:30" x14ac:dyDescent="0.25">
      <c r="B21" s="126" t="s">
        <v>183</v>
      </c>
      <c r="C21" s="134">
        <f t="shared" ref="C21:L21" si="14">C20/C17</f>
        <v>0.33258609753213231</v>
      </c>
      <c r="D21" s="134">
        <f t="shared" si="14"/>
        <v>0.32892240428055669</v>
      </c>
      <c r="E21" s="134">
        <f t="shared" si="14"/>
        <v>0.33620164501020555</v>
      </c>
      <c r="F21" s="134">
        <f t="shared" si="14"/>
        <v>0.32425451525136623</v>
      </c>
      <c r="G21" s="134">
        <f t="shared" si="14"/>
        <v>0.33048485803287103</v>
      </c>
      <c r="H21" s="134">
        <f t="shared" si="14"/>
        <v>0.34252876575891805</v>
      </c>
      <c r="I21" s="134">
        <f t="shared" si="14"/>
        <v>0.32526118300158058</v>
      </c>
      <c r="J21" s="134">
        <f t="shared" si="14"/>
        <v>0.3254446965365011</v>
      </c>
      <c r="K21" s="134">
        <f t="shared" si="14"/>
        <v>0.33069123632975334</v>
      </c>
      <c r="L21" s="134">
        <f t="shared" si="14"/>
        <v>0.3308617907721717</v>
      </c>
      <c r="M21" s="128">
        <f t="shared" ref="M21:S21" si="15">M20/M17</f>
        <v>0.32247540033472477</v>
      </c>
      <c r="N21" s="128">
        <f t="shared" si="15"/>
        <v>0.28143954998082304</v>
      </c>
      <c r="O21" s="128">
        <f t="shared" si="15"/>
        <v>0.36475760347325764</v>
      </c>
      <c r="P21" s="128">
        <f t="shared" si="15"/>
        <v>0.37924784290030611</v>
      </c>
      <c r="Q21" s="128">
        <f t="shared" si="15"/>
        <v>0.33783854101098604</v>
      </c>
      <c r="R21" s="128">
        <f t="shared" si="15"/>
        <v>0.4070889354025633</v>
      </c>
      <c r="S21" s="128">
        <f t="shared" si="15"/>
        <v>0.39270067640643047</v>
      </c>
      <c r="T21" s="128">
        <f t="shared" ref="T21:AC21" si="16">T20/T17</f>
        <v>0.39829390917332896</v>
      </c>
      <c r="U21" s="128">
        <f t="shared" si="16"/>
        <v>0.37812634979616228</v>
      </c>
      <c r="V21" s="128">
        <f t="shared" si="16"/>
        <v>0.39387353182562224</v>
      </c>
      <c r="W21" s="128">
        <f t="shared" si="16"/>
        <v>0.3786611459241046</v>
      </c>
      <c r="X21" s="128">
        <f t="shared" si="16"/>
        <v>0.35544341468937518</v>
      </c>
      <c r="Y21" s="128">
        <f t="shared" ref="Y21" si="17">Y20/Y17</f>
        <v>0.3615940282897469</v>
      </c>
      <c r="Z21" s="128">
        <f t="shared" si="16"/>
        <v>0.35938036178244032</v>
      </c>
      <c r="AA21" s="128">
        <f t="shared" si="16"/>
        <v>0.36353281643744612</v>
      </c>
      <c r="AB21" s="128">
        <f t="shared" si="16"/>
        <v>0.37338951832944089</v>
      </c>
      <c r="AC21" s="128">
        <f t="shared" si="16"/>
        <v>0.37298541826554105</v>
      </c>
      <c r="AD21" s="246"/>
    </row>
    <row r="22" spans="1:30" x14ac:dyDescent="0.25">
      <c r="B22" s="126"/>
      <c r="C22" s="134"/>
      <c r="D22" s="120"/>
      <c r="E22" s="120"/>
      <c r="F22" s="120"/>
      <c r="G22" s="120"/>
      <c r="H22" s="134"/>
      <c r="AD22" s="161"/>
    </row>
    <row r="23" spans="1:30" x14ac:dyDescent="0.25">
      <c r="A23" s="130"/>
      <c r="B23" s="130" t="s">
        <v>184</v>
      </c>
      <c r="C23" s="131">
        <v>76148.167060416323</v>
      </c>
      <c r="D23" s="131">
        <v>78614.312935322407</v>
      </c>
      <c r="E23" s="131">
        <v>77757.039113754727</v>
      </c>
      <c r="F23" s="131">
        <v>78632.585690686348</v>
      </c>
      <c r="G23" s="131">
        <v>311152.10480017978</v>
      </c>
      <c r="H23" s="131">
        <v>81286</v>
      </c>
      <c r="I23" s="131">
        <v>85581</v>
      </c>
      <c r="J23" s="131">
        <v>91096</v>
      </c>
      <c r="K23" s="131">
        <v>88471</v>
      </c>
      <c r="L23" s="131">
        <v>346434</v>
      </c>
      <c r="M23" s="131">
        <v>83739</v>
      </c>
      <c r="N23" s="131">
        <v>81281</v>
      </c>
      <c r="O23" s="131">
        <v>87830.240012667782</v>
      </c>
      <c r="P23" s="131">
        <f>Q23-SUM(M23:O23)</f>
        <v>88919.759987332218</v>
      </c>
      <c r="Q23" s="131">
        <v>341770</v>
      </c>
      <c r="R23" s="131">
        <v>91160</v>
      </c>
      <c r="S23" s="131">
        <v>94719</v>
      </c>
      <c r="T23" s="131">
        <v>98008</v>
      </c>
      <c r="U23" s="131">
        <f>V23-SUM(R23:T23)</f>
        <v>98112</v>
      </c>
      <c r="V23" s="131">
        <v>381999</v>
      </c>
      <c r="W23" s="131">
        <v>103266</v>
      </c>
      <c r="X23" s="131">
        <v>108557</v>
      </c>
      <c r="Y23" s="131">
        <v>116198</v>
      </c>
      <c r="Z23" s="131">
        <f>AA23-SUM(W23:Y23)</f>
        <v>120683</v>
      </c>
      <c r="AA23" s="131">
        <v>448704</v>
      </c>
      <c r="AB23" s="131">
        <v>125937</v>
      </c>
      <c r="AC23" s="131">
        <v>128457</v>
      </c>
      <c r="AD23" s="247"/>
    </row>
    <row r="24" spans="1:30" x14ac:dyDescent="0.25">
      <c r="B24" s="126" t="s">
        <v>180</v>
      </c>
      <c r="C24" s="133">
        <v>0.2121233488330192</v>
      </c>
      <c r="D24" s="133">
        <v>0.18933606925635882</v>
      </c>
      <c r="E24" s="133">
        <v>0.14559720208257043</v>
      </c>
      <c r="F24" s="133">
        <v>9.3570729091322358E-2</v>
      </c>
      <c r="G24" s="133">
        <v>0.15798827964705398</v>
      </c>
      <c r="H24" s="133">
        <v>6.7471524764441071E-2</v>
      </c>
      <c r="I24" s="133">
        <v>8.8618558180483253E-2</v>
      </c>
      <c r="J24" s="133">
        <v>0.17154666687772191</v>
      </c>
      <c r="K24" s="133">
        <v>0.12511879423645822</v>
      </c>
      <c r="L24" s="133">
        <v>0.11339115068007688</v>
      </c>
      <c r="M24" s="127">
        <f t="shared" ref="M24:T24" si="18">M23/H23-1</f>
        <v>3.0177398321974191E-2</v>
      </c>
      <c r="N24" s="127">
        <f t="shared" si="18"/>
        <v>-5.0244797326509438E-2</v>
      </c>
      <c r="O24" s="127">
        <f t="shared" si="18"/>
        <v>-3.5849652974139556E-2</v>
      </c>
      <c r="P24" s="127">
        <f t="shared" si="18"/>
        <v>5.0723964613512695E-3</v>
      </c>
      <c r="Q24" s="127">
        <f t="shared" si="18"/>
        <v>-1.3462881818759098E-2</v>
      </c>
      <c r="R24" s="127">
        <f t="shared" si="18"/>
        <v>8.8620594943813469E-2</v>
      </c>
      <c r="S24" s="127">
        <f t="shared" si="18"/>
        <v>0.16532769035814021</v>
      </c>
      <c r="T24" s="127">
        <f t="shared" si="18"/>
        <v>0.11587990634961587</v>
      </c>
      <c r="U24" s="127">
        <f t="shared" ref="U24" si="19">U23/P23-1</f>
        <v>0.10337679739550953</v>
      </c>
      <c r="V24" s="127">
        <f t="shared" ref="V24:Y24" si="20">V23/Q23-1</f>
        <v>0.11770781519735496</v>
      </c>
      <c r="W24" s="127">
        <f t="shared" si="20"/>
        <v>0.13279947345326892</v>
      </c>
      <c r="X24" s="127">
        <f t="shared" si="20"/>
        <v>0.14609529239117802</v>
      </c>
      <c r="Y24" s="127">
        <f t="shared" si="20"/>
        <v>0.18559709411476621</v>
      </c>
      <c r="Z24" s="127">
        <f t="shared" ref="Z24" si="21">Z23/U23-1</f>
        <v>0.23005340834964128</v>
      </c>
      <c r="AA24" s="127">
        <f t="shared" ref="AA24" si="22">AA23/V23-1</f>
        <v>0.17462087597087961</v>
      </c>
      <c r="AB24" s="127">
        <f>AB23/W23-1</f>
        <v>0.21953982917901338</v>
      </c>
      <c r="AC24" s="133">
        <f>AC23/X23-1</f>
        <v>0.18331383512808941</v>
      </c>
      <c r="AD24" s="246"/>
    </row>
    <row r="25" spans="1:30" x14ac:dyDescent="0.25">
      <c r="B25" s="126" t="s">
        <v>181</v>
      </c>
      <c r="C25" s="134">
        <v>0.19238882504405108</v>
      </c>
      <c r="D25" s="134">
        <v>0.18952045791185457</v>
      </c>
      <c r="E25" s="134">
        <v>0.15739406888615903</v>
      </c>
      <c r="F25" s="134">
        <v>0.10894136492313544</v>
      </c>
      <c r="G25" s="134">
        <v>0.1605128318680098</v>
      </c>
      <c r="H25" s="134">
        <v>8.76506851370491E-2</v>
      </c>
      <c r="I25" s="134">
        <v>0.10010589674361836</v>
      </c>
      <c r="J25" s="134">
        <v>0.18068313647309786</v>
      </c>
      <c r="K25" s="134">
        <v>0.12654231897760515</v>
      </c>
      <c r="L25" s="134">
        <v>0.12386732726735761</v>
      </c>
      <c r="M25" s="133">
        <v>4.1131479135403604E-2</v>
      </c>
      <c r="N25" s="133">
        <v>-4.1522462219852341E-2</v>
      </c>
      <c r="O25" s="133">
        <v>-3.891677633948698E-2</v>
      </c>
      <c r="P25" s="133">
        <v>4.1265779604706676E-3</v>
      </c>
      <c r="Q25" s="133">
        <v>-9.7858675320537936E-3</v>
      </c>
      <c r="R25" s="133">
        <v>7.5681343266865264E-2</v>
      </c>
      <c r="S25" s="133">
        <v>0.14878169746846748</v>
      </c>
      <c r="T25" s="133">
        <v>0.11282360503880762</v>
      </c>
      <c r="U25" s="133">
        <v>0.10481465490671593</v>
      </c>
      <c r="V25" s="133">
        <v>0.11019217286842697</v>
      </c>
      <c r="W25" s="133">
        <v>0.13914165971010073</v>
      </c>
      <c r="X25" s="133">
        <v>0.15940735033532616</v>
      </c>
      <c r="Y25" s="133">
        <v>0.20256649564599694</v>
      </c>
      <c r="Z25" s="133">
        <v>0.24575108489288588</v>
      </c>
      <c r="AA25" s="133">
        <v>0.18782068621210746</v>
      </c>
      <c r="AB25" s="133">
        <v>0.23277185001861889</v>
      </c>
      <c r="AC25" s="133">
        <v>0.19209484764736695</v>
      </c>
      <c r="AD25" s="246"/>
    </row>
    <row r="26" spans="1:30" x14ac:dyDescent="0.25">
      <c r="B26" s="126" t="s">
        <v>182</v>
      </c>
      <c r="C26" s="195">
        <v>24247.168207756244</v>
      </c>
      <c r="D26" s="195">
        <v>25806.112536955741</v>
      </c>
      <c r="E26" s="195">
        <v>24717.498250572389</v>
      </c>
      <c r="F26" s="195">
        <v>24563.072901162224</v>
      </c>
      <c r="G26" s="195">
        <v>99333.851896446577</v>
      </c>
      <c r="H26" s="195">
        <v>26043</v>
      </c>
      <c r="I26" s="195">
        <v>26167</v>
      </c>
      <c r="J26" s="195">
        <v>28863</v>
      </c>
      <c r="K26" s="195">
        <v>26781</v>
      </c>
      <c r="L26" s="195">
        <v>107854</v>
      </c>
      <c r="M26" s="129">
        <v>24774</v>
      </c>
      <c r="N26" s="129">
        <v>22168</v>
      </c>
      <c r="O26" s="129">
        <v>30999</v>
      </c>
      <c r="P26" s="129">
        <f>Q26-SUM(M26:O26)</f>
        <v>31945</v>
      </c>
      <c r="Q26" s="129">
        <v>109886</v>
      </c>
      <c r="R26" s="129">
        <v>35067</v>
      </c>
      <c r="S26" s="129">
        <v>35360</v>
      </c>
      <c r="T26" s="129">
        <v>36518</v>
      </c>
      <c r="U26" s="129">
        <f>V26-SUM(R26:T26)</f>
        <v>35525</v>
      </c>
      <c r="V26" s="129">
        <v>142470</v>
      </c>
      <c r="W26" s="129">
        <v>38184</v>
      </c>
      <c r="X26" s="129">
        <v>37912</v>
      </c>
      <c r="Y26" s="129">
        <v>41157</v>
      </c>
      <c r="Z26" s="129">
        <f>AA26-SUM(W26:Y26)</f>
        <v>43717</v>
      </c>
      <c r="AA26" s="129">
        <v>160970</v>
      </c>
      <c r="AB26" s="129">
        <v>43613</v>
      </c>
      <c r="AC26" s="129">
        <v>44135</v>
      </c>
      <c r="AD26" s="161"/>
    </row>
    <row r="27" spans="1:30" x14ac:dyDescent="0.25">
      <c r="B27" s="126" t="s">
        <v>183</v>
      </c>
      <c r="C27" s="134">
        <f t="shared" ref="C27:Q27" si="23">C26/C23</f>
        <v>0.31842090418957064</v>
      </c>
      <c r="D27" s="134">
        <f t="shared" si="23"/>
        <v>0.32826226641689221</v>
      </c>
      <c r="E27" s="134">
        <f t="shared" si="23"/>
        <v>0.31788116590205939</v>
      </c>
      <c r="F27" s="134">
        <f t="shared" si="23"/>
        <v>0.31237778441859887</v>
      </c>
      <c r="G27" s="134">
        <f t="shared" si="23"/>
        <v>0.31924531559970726</v>
      </c>
      <c r="H27" s="134">
        <f t="shared" si="23"/>
        <v>0.32038727456142507</v>
      </c>
      <c r="I27" s="134">
        <f t="shared" si="23"/>
        <v>0.30575711898669095</v>
      </c>
      <c r="J27" s="134">
        <f t="shared" si="23"/>
        <v>0.31684157372442256</v>
      </c>
      <c r="K27" s="134">
        <f t="shared" si="23"/>
        <v>0.30270936238993568</v>
      </c>
      <c r="L27" s="134">
        <f t="shared" si="23"/>
        <v>0.31132625550609927</v>
      </c>
      <c r="M27" s="128">
        <f t="shared" si="23"/>
        <v>0.29584781284706052</v>
      </c>
      <c r="N27" s="128">
        <f t="shared" si="23"/>
        <v>0.2727328649992003</v>
      </c>
      <c r="O27" s="128">
        <f t="shared" si="23"/>
        <v>0.35294222121593888</v>
      </c>
      <c r="P27" s="128">
        <f t="shared" si="23"/>
        <v>0.35925648027559887</v>
      </c>
      <c r="Q27" s="128">
        <f t="shared" si="23"/>
        <v>0.32152032068350062</v>
      </c>
      <c r="R27" s="128">
        <f t="shared" ref="R27:S27" si="24">R26/R23</f>
        <v>0.38467529618253621</v>
      </c>
      <c r="S27" s="128">
        <f t="shared" si="24"/>
        <v>0.37331475205608167</v>
      </c>
      <c r="T27" s="128">
        <f t="shared" ref="T27:AC27" si="25">T26/T23</f>
        <v>0.37260223655211822</v>
      </c>
      <c r="U27" s="128">
        <f t="shared" si="25"/>
        <v>0.36208618721461189</v>
      </c>
      <c r="V27" s="128">
        <f t="shared" si="25"/>
        <v>0.37295909151594636</v>
      </c>
      <c r="W27" s="128">
        <f t="shared" si="25"/>
        <v>0.36976352332810414</v>
      </c>
      <c r="X27" s="128">
        <f t="shared" si="25"/>
        <v>0.34923588529528266</v>
      </c>
      <c r="Y27" s="128">
        <f t="shared" si="25"/>
        <v>0.35419714625036575</v>
      </c>
      <c r="Z27" s="128">
        <f t="shared" si="25"/>
        <v>0.36224654673814871</v>
      </c>
      <c r="AA27" s="128">
        <f t="shared" si="25"/>
        <v>0.35874429467978891</v>
      </c>
      <c r="AB27" s="128">
        <f t="shared" si="25"/>
        <v>0.34630807467225677</v>
      </c>
      <c r="AC27" s="128">
        <f t="shared" si="25"/>
        <v>0.34357800664813909</v>
      </c>
      <c r="AD27" s="246"/>
    </row>
    <row r="28" spans="1:30" x14ac:dyDescent="0.25">
      <c r="B28" s="126"/>
      <c r="C28" s="134"/>
      <c r="D28" s="120"/>
      <c r="E28" s="120"/>
      <c r="F28" s="120"/>
      <c r="G28" s="120"/>
      <c r="H28" s="134"/>
      <c r="AD28" s="161"/>
    </row>
    <row r="29" spans="1:30" hidden="1" x14ac:dyDescent="0.25">
      <c r="B29" s="126"/>
      <c r="C29" s="134"/>
      <c r="D29" s="120"/>
      <c r="E29" s="120"/>
      <c r="F29" s="120"/>
      <c r="G29" s="120"/>
      <c r="H29" s="134"/>
      <c r="AD29" s="161"/>
    </row>
    <row r="30" spans="1:30" x14ac:dyDescent="0.25">
      <c r="A30" s="130"/>
      <c r="B30" s="130" t="s">
        <v>185</v>
      </c>
      <c r="C30" s="131">
        <v>24140.716187444454</v>
      </c>
      <c r="D30" s="131">
        <v>21172.537169999996</v>
      </c>
      <c r="E30" s="131">
        <v>21666.227190000001</v>
      </c>
      <c r="F30" s="131">
        <v>22865.514659999993</v>
      </c>
      <c r="G30" s="131">
        <v>89844.995207444445</v>
      </c>
      <c r="H30" s="131">
        <v>22248</v>
      </c>
      <c r="I30" s="131">
        <v>21730</v>
      </c>
      <c r="J30" s="131">
        <v>25631</v>
      </c>
      <c r="K30" s="131">
        <v>27856</v>
      </c>
      <c r="L30" s="131">
        <v>97465</v>
      </c>
      <c r="M30" s="131">
        <v>27029</v>
      </c>
      <c r="N30" s="131">
        <v>24978</v>
      </c>
      <c r="O30" s="131">
        <v>25111.897839999998</v>
      </c>
      <c r="P30" s="131">
        <f>Q30-SUM(M30:O30)</f>
        <v>24196.102160000009</v>
      </c>
      <c r="Q30" s="131">
        <v>101315</v>
      </c>
      <c r="R30" s="131">
        <v>30265</v>
      </c>
      <c r="S30" s="131">
        <v>28250</v>
      </c>
      <c r="T30" s="131">
        <v>27341</v>
      </c>
      <c r="U30" s="131">
        <f>V30-SUM(R30:T30)</f>
        <v>26530</v>
      </c>
      <c r="V30" s="131">
        <v>112386</v>
      </c>
      <c r="W30" s="131">
        <v>26156</v>
      </c>
      <c r="X30" s="131">
        <v>23051</v>
      </c>
      <c r="Y30" s="131">
        <v>22820</v>
      </c>
      <c r="Z30" s="131">
        <f>AA30-SUM(W30:Y30)</f>
        <v>25324</v>
      </c>
      <c r="AA30" s="131">
        <v>97351</v>
      </c>
      <c r="AB30" s="131">
        <v>26703</v>
      </c>
      <c r="AC30" s="131">
        <v>27156</v>
      </c>
      <c r="AD30" s="247"/>
    </row>
    <row r="31" spans="1:30" x14ac:dyDescent="0.25">
      <c r="B31" s="126" t="s">
        <v>180</v>
      </c>
      <c r="C31" s="133">
        <v>0.13532522794008672</v>
      </c>
      <c r="D31" s="133">
        <v>3.8818963441629162E-3</v>
      </c>
      <c r="E31" s="133">
        <v>3.9368385784354087E-2</v>
      </c>
      <c r="F31" s="133">
        <v>3.6832266521939383E-2</v>
      </c>
      <c r="G31" s="133">
        <v>5.3866943787367783E-2</v>
      </c>
      <c r="H31" s="133">
        <v>-7.8403481187059865E-2</v>
      </c>
      <c r="I31" s="133">
        <v>2.6329524209780963E-2</v>
      </c>
      <c r="J31" s="133">
        <v>0.18299322605783108</v>
      </c>
      <c r="K31" s="133">
        <v>0.21825379459882255</v>
      </c>
      <c r="L31" s="133">
        <v>8.4812790906845903E-2</v>
      </c>
      <c r="M31" s="133">
        <f>M30/H30-1</f>
        <v>0.21489572096368215</v>
      </c>
      <c r="N31" s="133">
        <f>N30/I30-1</f>
        <v>0.1494707777266453</v>
      </c>
      <c r="O31" s="133">
        <f>O30/J30-1</f>
        <v>-2.0252903125121957E-2</v>
      </c>
      <c r="P31" s="133">
        <f t="shared" ref="P31:Q31" si="26">P30/K30-1</f>
        <v>-0.13138633831131497</v>
      </c>
      <c r="Q31" s="133">
        <f t="shared" si="26"/>
        <v>3.9501359462371211E-2</v>
      </c>
      <c r="R31" s="133">
        <f>R30/M30-1</f>
        <v>0.1197232602020053</v>
      </c>
      <c r="S31" s="133">
        <f>S30/N30-1</f>
        <v>0.13099527584274151</v>
      </c>
      <c r="T31" s="133">
        <f>T30/O30-1</f>
        <v>8.8766773989074288E-2</v>
      </c>
      <c r="U31" s="133">
        <f t="shared" ref="U31:Y31" si="27">U30/P30-1</f>
        <v>9.6457595713837385E-2</v>
      </c>
      <c r="V31" s="133">
        <f t="shared" si="27"/>
        <v>0.10927305927059172</v>
      </c>
      <c r="W31" s="133">
        <f t="shared" si="27"/>
        <v>-0.13576738807203037</v>
      </c>
      <c r="X31" s="133">
        <f t="shared" si="27"/>
        <v>-0.18403539823008852</v>
      </c>
      <c r="Y31" s="133">
        <f t="shared" si="27"/>
        <v>-0.16535605866647163</v>
      </c>
      <c r="Z31" s="133">
        <f t="shared" ref="Z31" si="28">Z30/U30-1</f>
        <v>-4.5457972107048605E-2</v>
      </c>
      <c r="AA31" s="133">
        <f t="shared" ref="AA31" si="29">AA30/V30-1</f>
        <v>-0.13378000818607305</v>
      </c>
      <c r="AB31" s="133">
        <f>AB30/W30-1</f>
        <v>2.0912983636641735E-2</v>
      </c>
      <c r="AC31" s="133">
        <f>AC30/X30-1</f>
        <v>0.17808338033057125</v>
      </c>
      <c r="AD31" s="246"/>
    </row>
    <row r="32" spans="1:30" x14ac:dyDescent="0.25">
      <c r="B32" s="126" t="s">
        <v>181</v>
      </c>
      <c r="C32" s="134">
        <v>0.13502306072919135</v>
      </c>
      <c r="D32" s="134">
        <v>4.5258241443262293E-3</v>
      </c>
      <c r="E32" s="134">
        <v>4.0815849427945139E-2</v>
      </c>
      <c r="F32" s="134">
        <v>3.8181547156444173E-2</v>
      </c>
      <c r="G32" s="134">
        <v>5.465384128904871E-2</v>
      </c>
      <c r="H32" s="134">
        <v>-7.6661845867398548E-2</v>
      </c>
      <c r="I32" s="134">
        <v>2.6975149432786338E-2</v>
      </c>
      <c r="J32" s="134">
        <v>0.18286178794395647</v>
      </c>
      <c r="K32" s="134">
        <v>0.21831034469248523</v>
      </c>
      <c r="L32" s="134">
        <v>8.5416247648292698E-2</v>
      </c>
      <c r="M32" s="133">
        <v>0.21561497984223843</v>
      </c>
      <c r="N32" s="133">
        <v>0.15089951509570332</v>
      </c>
      <c r="O32" s="133">
        <v>-1.9461249231818911E-2</v>
      </c>
      <c r="P32" s="133">
        <v>-0.1308056428564105</v>
      </c>
      <c r="Q32" s="133">
        <v>4.0358540083005323E-2</v>
      </c>
      <c r="R32" s="133">
        <v>0.11964786617880518</v>
      </c>
      <c r="S32" s="133">
        <v>0.13081910310668454</v>
      </c>
      <c r="T32" s="133">
        <v>8.8771489417104776E-2</v>
      </c>
      <c r="U32" s="133">
        <v>9.6635385618634384E-2</v>
      </c>
      <c r="V32" s="133">
        <v>0.10925327271755325</v>
      </c>
      <c r="W32" s="133">
        <v>-0.13528861994991015</v>
      </c>
      <c r="X32" s="133">
        <v>-0.18351476682907242</v>
      </c>
      <c r="Y32" s="133">
        <v>-0.16443188457151503</v>
      </c>
      <c r="Z32" s="133">
        <v>-4.441811054714051E-2</v>
      </c>
      <c r="AA32" s="133">
        <v>-0.1330496353975803</v>
      </c>
      <c r="AB32" s="133">
        <v>2.1960152872428251E-2</v>
      </c>
      <c r="AC32" s="133">
        <v>0.17893810898925566</v>
      </c>
      <c r="AD32" s="246"/>
    </row>
    <row r="33" spans="1:30" x14ac:dyDescent="0.25">
      <c r="B33" s="126" t="s">
        <v>182</v>
      </c>
      <c r="C33" s="195">
        <v>5511.3214201459086</v>
      </c>
      <c r="D33" s="195">
        <v>3496.5549440261566</v>
      </c>
      <c r="E33" s="195">
        <v>5257.7920387148552</v>
      </c>
      <c r="F33" s="195">
        <v>5132.9121908205634</v>
      </c>
      <c r="G33" s="195">
        <v>19398.580593707491</v>
      </c>
      <c r="H33" s="195">
        <v>4446</v>
      </c>
      <c r="I33" s="195">
        <v>3981</v>
      </c>
      <c r="J33" s="195">
        <v>5222</v>
      </c>
      <c r="K33" s="195">
        <v>6768</v>
      </c>
      <c r="L33" s="195">
        <v>20417</v>
      </c>
      <c r="M33" s="129">
        <v>7436</v>
      </c>
      <c r="N33" s="129">
        <v>5338</v>
      </c>
      <c r="O33" s="129">
        <v>7119.2778883515457</v>
      </c>
      <c r="P33" s="129">
        <f>Q33-SUM(M33:O33)</f>
        <v>8278.7221116484543</v>
      </c>
      <c r="Q33" s="129">
        <v>28172</v>
      </c>
      <c r="R33" s="129">
        <v>12874</v>
      </c>
      <c r="S33" s="129">
        <v>10565</v>
      </c>
      <c r="T33" s="129">
        <v>10284</v>
      </c>
      <c r="U33" s="129">
        <f>V33-SUM(R33:T33)</f>
        <v>8903</v>
      </c>
      <c r="V33" s="129">
        <v>42626</v>
      </c>
      <c r="W33" s="129">
        <v>8505</v>
      </c>
      <c r="X33" s="129">
        <v>5357</v>
      </c>
      <c r="Y33" s="129">
        <v>5701</v>
      </c>
      <c r="Z33" s="129">
        <f>AA33-SUM(W33:Y33)</f>
        <v>6837</v>
      </c>
      <c r="AA33" s="129">
        <v>26400</v>
      </c>
      <c r="AB33" s="129">
        <v>7894</v>
      </c>
      <c r="AC33" s="195">
        <v>9616</v>
      </c>
      <c r="AD33" s="161"/>
    </row>
    <row r="34" spans="1:30" x14ac:dyDescent="0.25">
      <c r="B34" s="126" t="s">
        <v>183</v>
      </c>
      <c r="C34" s="134">
        <f t="shared" ref="C34:Q34" si="30">C33/C30</f>
        <v>0.22829983076526691</v>
      </c>
      <c r="D34" s="134">
        <f t="shared" si="30"/>
        <v>0.16514576953868951</v>
      </c>
      <c r="E34" s="134">
        <f t="shared" si="30"/>
        <v>0.24267224711562044</v>
      </c>
      <c r="F34" s="134">
        <f t="shared" si="30"/>
        <v>0.2244826878880567</v>
      </c>
      <c r="G34" s="134">
        <f t="shared" si="30"/>
        <v>0.21591164370277743</v>
      </c>
      <c r="H34" s="134">
        <f t="shared" si="30"/>
        <v>0.19983818770226539</v>
      </c>
      <c r="I34" s="134">
        <f t="shared" si="30"/>
        <v>0.18320294523699954</v>
      </c>
      <c r="J34" s="134">
        <f t="shared" si="30"/>
        <v>0.20373766142561742</v>
      </c>
      <c r="K34" s="134">
        <f t="shared" si="30"/>
        <v>0.24296381390005745</v>
      </c>
      <c r="L34" s="134">
        <f t="shared" si="30"/>
        <v>0.20948032627096907</v>
      </c>
      <c r="M34" s="128">
        <f t="shared" si="30"/>
        <v>0.27511191683007141</v>
      </c>
      <c r="N34" s="128">
        <f t="shared" si="30"/>
        <v>0.21370806309552406</v>
      </c>
      <c r="O34" s="128">
        <f t="shared" si="30"/>
        <v>0.2835021842519389</v>
      </c>
      <c r="P34" s="128">
        <f t="shared" si="30"/>
        <v>0.3421510645352826</v>
      </c>
      <c r="Q34" s="128">
        <f t="shared" si="30"/>
        <v>0.27806346542960075</v>
      </c>
      <c r="R34" s="128">
        <f t="shared" ref="R34:S34" si="31">R33/R30</f>
        <v>0.42537584668759293</v>
      </c>
      <c r="S34" s="128">
        <f t="shared" si="31"/>
        <v>0.37398230088495577</v>
      </c>
      <c r="T34" s="128">
        <f t="shared" ref="T34:AC34" si="32">T33/T30</f>
        <v>0.37613840020482059</v>
      </c>
      <c r="U34" s="128">
        <f t="shared" si="32"/>
        <v>0.33558235959291366</v>
      </c>
      <c r="V34" s="128">
        <f t="shared" si="32"/>
        <v>0.37928211698966063</v>
      </c>
      <c r="W34" s="128">
        <f t="shared" si="32"/>
        <v>0.32516439822602844</v>
      </c>
      <c r="X34" s="128">
        <f t="shared" si="32"/>
        <v>0.23239772677974926</v>
      </c>
      <c r="Y34" s="128">
        <f t="shared" si="32"/>
        <v>0.24982471516213847</v>
      </c>
      <c r="Z34" s="128">
        <f t="shared" ref="Z34" si="33">Z33/Z30</f>
        <v>0.26998104564839676</v>
      </c>
      <c r="AA34" s="128">
        <f t="shared" si="32"/>
        <v>0.27118365502152009</v>
      </c>
      <c r="AB34" s="128">
        <f t="shared" si="32"/>
        <v>0.29562221473242706</v>
      </c>
      <c r="AC34" s="128">
        <f t="shared" si="32"/>
        <v>0.35410222418618353</v>
      </c>
      <c r="AD34" s="246"/>
    </row>
    <row r="35" spans="1:30" x14ac:dyDescent="0.25">
      <c r="B35" s="126"/>
      <c r="C35" s="134"/>
      <c r="D35" s="134"/>
      <c r="E35" s="134"/>
      <c r="F35" s="134"/>
      <c r="G35" s="134"/>
      <c r="H35" s="134"/>
      <c r="I35" s="134"/>
      <c r="J35" s="134"/>
      <c r="K35" s="134"/>
      <c r="L35" s="134"/>
      <c r="M35" s="128"/>
      <c r="N35" s="128"/>
      <c r="O35" s="128"/>
      <c r="P35" s="128"/>
      <c r="Q35" s="128"/>
      <c r="R35" s="128"/>
      <c r="S35" s="128"/>
      <c r="T35" s="128"/>
      <c r="U35" s="128"/>
      <c r="V35" s="128"/>
      <c r="W35" s="128"/>
      <c r="X35" s="128"/>
      <c r="Y35" s="128"/>
      <c r="Z35" s="128"/>
      <c r="AA35" s="128"/>
      <c r="AB35" s="128"/>
      <c r="AC35" s="128"/>
      <c r="AD35" s="161"/>
    </row>
    <row r="36" spans="1:30" x14ac:dyDescent="0.25">
      <c r="A36" s="130"/>
      <c r="B36" s="130" t="s">
        <v>186</v>
      </c>
      <c r="C36" s="131">
        <v>49582.083608125431</v>
      </c>
      <c r="D36" s="131">
        <v>50707.611067890277</v>
      </c>
      <c r="E36" s="131">
        <v>48993.616066006805</v>
      </c>
      <c r="F36" s="131">
        <v>47542.229781760056</v>
      </c>
      <c r="G36" s="131">
        <v>196824.54052378255</v>
      </c>
      <c r="H36" s="131">
        <v>49078</v>
      </c>
      <c r="I36" s="131">
        <v>48327</v>
      </c>
      <c r="J36" s="131">
        <v>45912</v>
      </c>
      <c r="K36" s="131">
        <v>46801</v>
      </c>
      <c r="L36" s="131">
        <v>190118</v>
      </c>
      <c r="M36" s="131">
        <v>42791</v>
      </c>
      <c r="N36" s="131">
        <v>34535</v>
      </c>
      <c r="O36" s="131">
        <v>37577</v>
      </c>
      <c r="P36" s="131">
        <f>Q36-SUM(M36:O36)</f>
        <v>37767</v>
      </c>
      <c r="Q36" s="131">
        <v>152670</v>
      </c>
      <c r="R36" s="131">
        <v>37668</v>
      </c>
      <c r="S36" s="131">
        <v>40690</v>
      </c>
      <c r="T36" s="131">
        <v>44513</v>
      </c>
      <c r="U36" s="131">
        <f>V36-SUM(R36:T36)</f>
        <v>44365</v>
      </c>
      <c r="V36" s="131">
        <v>167236</v>
      </c>
      <c r="W36" s="131">
        <v>50747</v>
      </c>
      <c r="X36" s="131">
        <v>53873</v>
      </c>
      <c r="Y36" s="131">
        <v>56035</v>
      </c>
      <c r="Z36" s="131">
        <f>AA36-SUM(W36:Y36)</f>
        <v>57983</v>
      </c>
      <c r="AA36" s="131">
        <v>218638</v>
      </c>
      <c r="AB36" s="131">
        <v>66161</v>
      </c>
      <c r="AC36" s="131">
        <v>67200</v>
      </c>
      <c r="AD36" s="247"/>
    </row>
    <row r="37" spans="1:30" x14ac:dyDescent="0.25">
      <c r="B37" s="126" t="s">
        <v>180</v>
      </c>
      <c r="C37" s="133">
        <v>-7.1766246416520296E-3</v>
      </c>
      <c r="D37" s="133">
        <v>7.3355111803201645E-3</v>
      </c>
      <c r="E37" s="133">
        <v>-1.7200992854702113E-2</v>
      </c>
      <c r="F37" s="133">
        <v>-1.5358179166956365E-2</v>
      </c>
      <c r="G37" s="133">
        <v>-8.0080471518180207E-3</v>
      </c>
      <c r="H37" s="133">
        <v>-1.0166648342362583E-2</v>
      </c>
      <c r="I37" s="133">
        <v>-4.694780562040235E-2</v>
      </c>
      <c r="J37" s="133">
        <v>-6.2898318463676772E-2</v>
      </c>
      <c r="K37" s="133">
        <v>-1.5590976383788258E-2</v>
      </c>
      <c r="L37" s="133">
        <v>-3.4068793325929936E-2</v>
      </c>
      <c r="M37" s="127">
        <f>M36/H36-1</f>
        <v>-0.12810220465381639</v>
      </c>
      <c r="N37" s="127">
        <f>N36/I36-1</f>
        <v>-0.28538911995364913</v>
      </c>
      <c r="O37" s="127">
        <f>O36/J36-1</f>
        <v>-0.18154295173375157</v>
      </c>
      <c r="P37" s="127">
        <f t="shared" ref="P37:Q37" si="34">P36/K36-1</f>
        <v>-0.19303006346018248</v>
      </c>
      <c r="Q37" s="127">
        <f t="shared" si="34"/>
        <v>-0.19697240661063131</v>
      </c>
      <c r="R37" s="127">
        <f>R36/M36-1</f>
        <v>-0.11972143675071856</v>
      </c>
      <c r="S37" s="127">
        <f>S36/N36-1</f>
        <v>0.17822498914145068</v>
      </c>
      <c r="T37" s="127">
        <f>T36/O36-1</f>
        <v>0.18458099369295056</v>
      </c>
      <c r="U37" s="127">
        <f t="shared" ref="U37:AA37" si="35">U36/P36-1</f>
        <v>0.17470278285275498</v>
      </c>
      <c r="V37" s="127">
        <f t="shared" si="35"/>
        <v>9.5408397196567796E-2</v>
      </c>
      <c r="W37" s="127">
        <f t="shared" si="35"/>
        <v>0.34721779760008498</v>
      </c>
      <c r="X37" s="127">
        <f t="shared" si="35"/>
        <v>0.32398623740476773</v>
      </c>
      <c r="Y37" s="127">
        <f t="shared" si="35"/>
        <v>0.25884573046076431</v>
      </c>
      <c r="Z37" s="127">
        <f t="shared" si="35"/>
        <v>0.30695367970246812</v>
      </c>
      <c r="AA37" s="127">
        <f t="shared" si="35"/>
        <v>0.30736205123298821</v>
      </c>
      <c r="AB37" s="127">
        <f>AB36/W36-1</f>
        <v>0.30374209312865785</v>
      </c>
      <c r="AC37" s="127">
        <f>AC36/X36-1</f>
        <v>0.24737809292224311</v>
      </c>
      <c r="AD37" s="246"/>
    </row>
    <row r="38" spans="1:30" x14ac:dyDescent="0.25">
      <c r="B38" s="126" t="s">
        <v>181</v>
      </c>
      <c r="C38" s="134">
        <v>-1.9987302814858054E-2</v>
      </c>
      <c r="D38" s="134">
        <v>1.6785846230720658E-2</v>
      </c>
      <c r="E38" s="134">
        <v>1.1701728919066845E-2</v>
      </c>
      <c r="F38" s="134">
        <v>2.0109333595353496E-2</v>
      </c>
      <c r="G38" s="134">
        <v>7.0608280109063504E-3</v>
      </c>
      <c r="H38" s="134">
        <v>1.6162810467584166E-2</v>
      </c>
      <c r="I38" s="134">
        <v>-3.5680958427906306E-2</v>
      </c>
      <c r="J38" s="134">
        <v>-6.2191215513976217E-2</v>
      </c>
      <c r="K38" s="134">
        <v>-1.671263092743791E-2</v>
      </c>
      <c r="L38" s="134">
        <v>-2.4642124558533207E-2</v>
      </c>
      <c r="M38" s="133">
        <v>-0.11863677605004952</v>
      </c>
      <c r="N38" s="133">
        <v>-0.26842847954829785</v>
      </c>
      <c r="O38" s="133">
        <v>-0.17341488098325408</v>
      </c>
      <c r="P38" s="133">
        <v>-0.18904768662088101</v>
      </c>
      <c r="Q38" s="133">
        <v>-0.1872749158062964</v>
      </c>
      <c r="R38" s="133">
        <v>-0.1247819651204235</v>
      </c>
      <c r="S38" s="133">
        <v>0.16222161892348419</v>
      </c>
      <c r="T38" s="133">
        <v>0.18208213385117511</v>
      </c>
      <c r="U38" s="133">
        <v>0.179630377826143</v>
      </c>
      <c r="V38" s="133">
        <v>9.096420394757998E-2</v>
      </c>
      <c r="W38" s="133">
        <v>0.36164443510882993</v>
      </c>
      <c r="X38" s="133">
        <v>0.36098382483424607</v>
      </c>
      <c r="Y38" s="133">
        <v>0.31086442959089888</v>
      </c>
      <c r="Z38" s="133">
        <v>0.3583152470456985</v>
      </c>
      <c r="AA38" s="133">
        <v>0.34708458121964569</v>
      </c>
      <c r="AB38" s="133">
        <v>0.34038310088315971</v>
      </c>
      <c r="AC38" s="133">
        <v>0.25399313670169343</v>
      </c>
      <c r="AD38" s="246"/>
    </row>
    <row r="39" spans="1:30" x14ac:dyDescent="0.25">
      <c r="B39" s="126" t="s">
        <v>182</v>
      </c>
      <c r="C39" s="195">
        <v>20086.983382073111</v>
      </c>
      <c r="D39" s="195">
        <v>20199.203012760525</v>
      </c>
      <c r="E39" s="195">
        <v>19922.494664906415</v>
      </c>
      <c r="F39" s="195">
        <v>18631.327774917048</v>
      </c>
      <c r="G39" s="195">
        <v>78839.00883465707</v>
      </c>
      <c r="H39" s="195">
        <v>21785</v>
      </c>
      <c r="I39" s="195">
        <v>20475</v>
      </c>
      <c r="J39" s="195">
        <v>18845</v>
      </c>
      <c r="K39" s="195">
        <v>20396</v>
      </c>
      <c r="L39" s="195">
        <v>81501</v>
      </c>
      <c r="M39" s="129">
        <v>17309</v>
      </c>
      <c r="N39" s="129">
        <v>12119</v>
      </c>
      <c r="O39" s="129">
        <v>16785</v>
      </c>
      <c r="P39" s="129">
        <f>Q39-SUM(M39:O39)</f>
        <v>16998</v>
      </c>
      <c r="Q39" s="129">
        <v>63211</v>
      </c>
      <c r="R39" s="129">
        <v>16824</v>
      </c>
      <c r="S39" s="129">
        <v>18344</v>
      </c>
      <c r="T39" s="129">
        <v>20853</v>
      </c>
      <c r="U39" s="129">
        <f>V39-SUM(R39:T39)</f>
        <v>19478</v>
      </c>
      <c r="V39" s="129">
        <v>75499</v>
      </c>
      <c r="W39" s="129">
        <v>21534</v>
      </c>
      <c r="X39" s="129">
        <v>22659</v>
      </c>
      <c r="Y39" s="129">
        <v>23672</v>
      </c>
      <c r="Z39" s="129">
        <f>AA39-SUM(W39:Y39)</f>
        <v>22756</v>
      </c>
      <c r="AA39" s="129">
        <v>90621</v>
      </c>
      <c r="AB39" s="129">
        <v>30191</v>
      </c>
      <c r="AC39" s="195">
        <v>29355</v>
      </c>
      <c r="AD39" s="161"/>
    </row>
    <row r="40" spans="1:30" x14ac:dyDescent="0.25">
      <c r="B40" s="126" t="s">
        <v>183</v>
      </c>
      <c r="C40" s="134">
        <f t="shared" ref="C40:Q40" si="36">C39/C36</f>
        <v>0.40512584224639742</v>
      </c>
      <c r="D40" s="134">
        <f t="shared" si="36"/>
        <v>0.39834657139963991</v>
      </c>
      <c r="E40" s="134">
        <f t="shared" si="36"/>
        <v>0.40663450189236433</v>
      </c>
      <c r="F40" s="134">
        <f t="shared" si="36"/>
        <v>0.39189007037413087</v>
      </c>
      <c r="G40" s="134">
        <f t="shared" si="36"/>
        <v>0.40055477139615553</v>
      </c>
      <c r="H40" s="134">
        <f t="shared" si="36"/>
        <v>0.44388524389746936</v>
      </c>
      <c r="I40" s="134">
        <f t="shared" si="36"/>
        <v>0.4236762058476628</v>
      </c>
      <c r="J40" s="134">
        <f t="shared" si="36"/>
        <v>0.41045913922286115</v>
      </c>
      <c r="K40" s="134">
        <f t="shared" si="36"/>
        <v>0.43580265378944893</v>
      </c>
      <c r="L40" s="134">
        <f t="shared" si="36"/>
        <v>0.42868639476535625</v>
      </c>
      <c r="M40" s="128">
        <f t="shared" si="36"/>
        <v>0.40450094646070434</v>
      </c>
      <c r="N40" s="128">
        <f t="shared" si="36"/>
        <v>0.35091935717388156</v>
      </c>
      <c r="O40" s="128">
        <f t="shared" si="36"/>
        <v>0.44668281129414267</v>
      </c>
      <c r="P40" s="128">
        <f t="shared" si="36"/>
        <v>0.45007546270553656</v>
      </c>
      <c r="Q40" s="128">
        <f t="shared" si="36"/>
        <v>0.41403681142333137</v>
      </c>
      <c r="R40" s="128">
        <f t="shared" ref="R40:S40" si="37">R39/R36</f>
        <v>0.44663905702453011</v>
      </c>
      <c r="S40" s="128">
        <f t="shared" si="37"/>
        <v>0.45082329810764316</v>
      </c>
      <c r="T40" s="128">
        <f t="shared" ref="T40:AC40" si="38">T39/T36</f>
        <v>0.46846988520207578</v>
      </c>
      <c r="U40" s="128">
        <f t="shared" si="38"/>
        <v>0.43903978361320861</v>
      </c>
      <c r="V40" s="128">
        <f t="shared" si="38"/>
        <v>0.45145184051280823</v>
      </c>
      <c r="W40" s="128">
        <f t="shared" si="38"/>
        <v>0.42434035509488244</v>
      </c>
      <c r="X40" s="128">
        <f t="shared" si="38"/>
        <v>0.42060030070721882</v>
      </c>
      <c r="Y40" s="128">
        <f t="shared" ref="Y40" si="39">Y39/Y36</f>
        <v>0.42245025430534489</v>
      </c>
      <c r="Z40" s="128">
        <f t="shared" si="38"/>
        <v>0.3924598589241674</v>
      </c>
      <c r="AA40" s="128">
        <f t="shared" si="38"/>
        <v>0.41447964214820843</v>
      </c>
      <c r="AB40" s="128">
        <f t="shared" si="38"/>
        <v>0.45632623448859599</v>
      </c>
      <c r="AC40" s="134">
        <f t="shared" si="38"/>
        <v>0.43683035714285712</v>
      </c>
      <c r="AD40" s="246"/>
    </row>
    <row r="41" spans="1:30" x14ac:dyDescent="0.25">
      <c r="B41" s="126"/>
      <c r="C41" s="134"/>
      <c r="D41" s="120"/>
      <c r="E41" s="120"/>
      <c r="F41" s="120"/>
      <c r="G41" s="120"/>
      <c r="H41" s="134"/>
      <c r="AD41" s="161"/>
    </row>
    <row r="42" spans="1:30" hidden="1" x14ac:dyDescent="0.25">
      <c r="A42" s="130"/>
      <c r="B42" s="130" t="s">
        <v>187</v>
      </c>
      <c r="C42" s="264"/>
      <c r="D42" s="194"/>
      <c r="E42" s="194"/>
      <c r="F42" s="194"/>
      <c r="G42" s="194"/>
      <c r="H42" s="264"/>
      <c r="I42" s="194"/>
      <c r="J42" s="194"/>
      <c r="K42" s="194"/>
      <c r="L42" s="194"/>
      <c r="M42" s="194"/>
      <c r="N42" s="194"/>
      <c r="O42" s="194"/>
      <c r="P42" s="194"/>
      <c r="Q42" s="194"/>
      <c r="R42" s="194"/>
      <c r="S42" s="194"/>
      <c r="T42" s="194"/>
      <c r="U42" s="194"/>
      <c r="V42" s="194"/>
      <c r="W42" s="194"/>
      <c r="X42" s="194"/>
      <c r="Y42" s="194"/>
      <c r="Z42" s="194"/>
      <c r="AA42" s="194"/>
      <c r="AB42" s="194"/>
      <c r="AC42" s="194"/>
      <c r="AD42" s="247"/>
    </row>
    <row r="43" spans="1:30" hidden="1" x14ac:dyDescent="0.25">
      <c r="B43" s="126" t="s">
        <v>180</v>
      </c>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246"/>
    </row>
    <row r="44" spans="1:30" hidden="1" x14ac:dyDescent="0.25">
      <c r="B44" s="126" t="s">
        <v>181</v>
      </c>
      <c r="C44" s="133"/>
      <c r="D44" s="215"/>
      <c r="E44" s="133"/>
      <c r="F44" s="133"/>
      <c r="G44" s="133"/>
      <c r="H44" s="133"/>
      <c r="I44" s="215"/>
      <c r="J44" s="133"/>
      <c r="K44" s="133"/>
      <c r="L44" s="133"/>
      <c r="M44" s="133"/>
      <c r="N44" s="133"/>
      <c r="O44" s="133"/>
      <c r="P44" s="133"/>
      <c r="Q44" s="133"/>
      <c r="R44" s="133"/>
      <c r="S44" s="133"/>
      <c r="T44" s="133"/>
      <c r="U44" s="133"/>
      <c r="V44" s="133"/>
      <c r="W44" s="133"/>
      <c r="X44" s="133"/>
      <c r="Y44" s="133"/>
      <c r="Z44" s="133"/>
      <c r="AA44" s="133"/>
      <c r="AB44" s="133"/>
      <c r="AC44" s="133"/>
      <c r="AD44" s="246"/>
    </row>
    <row r="45" spans="1:30" hidden="1" x14ac:dyDescent="0.25">
      <c r="B45" s="126" t="s">
        <v>182</v>
      </c>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61"/>
    </row>
    <row r="46" spans="1:30" hidden="1" x14ac:dyDescent="0.25">
      <c r="B46" s="126" t="s">
        <v>183</v>
      </c>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246"/>
    </row>
    <row r="47" spans="1:30" hidden="1" x14ac:dyDescent="0.25">
      <c r="B47" s="126"/>
      <c r="C47" s="134"/>
      <c r="D47" s="120"/>
      <c r="E47" s="120"/>
      <c r="F47" s="120"/>
      <c r="G47" s="120"/>
      <c r="H47" s="134"/>
      <c r="AD47" s="246"/>
    </row>
    <row r="48" spans="1:30" hidden="1" x14ac:dyDescent="0.25">
      <c r="A48" s="130"/>
      <c r="B48" s="130" t="s">
        <v>188</v>
      </c>
      <c r="C48" s="264"/>
      <c r="D48" s="194"/>
      <c r="E48" s="194"/>
      <c r="F48" s="194"/>
      <c r="G48" s="194"/>
      <c r="H48" s="264"/>
      <c r="I48" s="194"/>
      <c r="J48" s="194"/>
      <c r="K48" s="194"/>
      <c r="L48" s="194"/>
      <c r="M48" s="194"/>
      <c r="N48" s="194"/>
      <c r="O48" s="194"/>
      <c r="P48" s="194"/>
      <c r="Q48" s="194"/>
      <c r="R48" s="194"/>
      <c r="S48" s="194"/>
      <c r="T48" s="194"/>
      <c r="U48" s="194"/>
      <c r="V48" s="194"/>
      <c r="W48" s="194"/>
      <c r="X48" s="194"/>
      <c r="Y48" s="194"/>
      <c r="Z48" s="194"/>
      <c r="AA48" s="194"/>
      <c r="AB48" s="194"/>
      <c r="AC48" s="194"/>
      <c r="AD48" s="247"/>
    </row>
    <row r="49" spans="1:30" hidden="1" x14ac:dyDescent="0.25">
      <c r="B49" s="126" t="s">
        <v>180</v>
      </c>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246"/>
    </row>
    <row r="50" spans="1:30" hidden="1" x14ac:dyDescent="0.25">
      <c r="B50" s="126" t="s">
        <v>181</v>
      </c>
      <c r="C50" s="133"/>
      <c r="D50" s="215"/>
      <c r="E50" s="133"/>
      <c r="F50" s="133"/>
      <c r="G50" s="133"/>
      <c r="H50" s="133"/>
      <c r="I50" s="215"/>
      <c r="J50" s="133"/>
      <c r="K50" s="133"/>
      <c r="L50" s="133"/>
      <c r="M50" s="133"/>
      <c r="N50" s="133"/>
      <c r="O50" s="133"/>
      <c r="P50" s="133"/>
      <c r="Q50" s="133"/>
      <c r="R50" s="133"/>
      <c r="S50" s="133"/>
      <c r="T50" s="133"/>
      <c r="U50" s="133"/>
      <c r="V50" s="133"/>
      <c r="W50" s="133"/>
      <c r="X50" s="133"/>
      <c r="Y50" s="133"/>
      <c r="Z50" s="133"/>
      <c r="AA50" s="133"/>
      <c r="AB50" s="133"/>
      <c r="AC50" s="133"/>
      <c r="AD50" s="246"/>
    </row>
    <row r="51" spans="1:30" hidden="1" x14ac:dyDescent="0.25">
      <c r="B51" s="126" t="s">
        <v>182</v>
      </c>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61"/>
    </row>
    <row r="52" spans="1:30" hidden="1" x14ac:dyDescent="0.25">
      <c r="B52" s="126" t="s">
        <v>183</v>
      </c>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246"/>
    </row>
    <row r="53" spans="1:30" hidden="1" x14ac:dyDescent="0.25">
      <c r="B53" s="126"/>
      <c r="C53" s="134"/>
      <c r="D53" s="120"/>
      <c r="E53" s="120"/>
      <c r="F53" s="120"/>
      <c r="G53" s="120"/>
      <c r="H53" s="134"/>
      <c r="AD53" s="246"/>
    </row>
    <row r="54" spans="1:30" hidden="1" x14ac:dyDescent="0.25">
      <c r="A54" s="130"/>
      <c r="B54" s="130" t="s">
        <v>189</v>
      </c>
      <c r="C54" s="264"/>
      <c r="D54" s="194"/>
      <c r="E54" s="194"/>
      <c r="F54" s="194"/>
      <c r="G54" s="194"/>
      <c r="H54" s="264"/>
      <c r="I54" s="194"/>
      <c r="J54" s="194"/>
      <c r="K54" s="194"/>
      <c r="L54" s="194"/>
      <c r="M54" s="194"/>
      <c r="N54" s="194"/>
      <c r="O54" s="194"/>
      <c r="P54" s="194"/>
      <c r="Q54" s="194"/>
      <c r="R54" s="194"/>
      <c r="S54" s="194"/>
      <c r="T54" s="194"/>
      <c r="U54" s="194"/>
      <c r="V54" s="194"/>
      <c r="W54" s="194"/>
      <c r="X54" s="194"/>
      <c r="Y54" s="194"/>
      <c r="Z54" s="194"/>
      <c r="AA54" s="194"/>
      <c r="AB54" s="194"/>
      <c r="AC54" s="194"/>
      <c r="AD54" s="247"/>
    </row>
    <row r="55" spans="1:30" hidden="1" x14ac:dyDescent="0.25">
      <c r="B55" s="126" t="s">
        <v>180</v>
      </c>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246"/>
    </row>
    <row r="56" spans="1:30" hidden="1" x14ac:dyDescent="0.25">
      <c r="B56" s="126" t="s">
        <v>181</v>
      </c>
      <c r="C56" s="133"/>
      <c r="D56" s="215"/>
      <c r="E56" s="133"/>
      <c r="F56" s="133"/>
      <c r="G56" s="133"/>
      <c r="H56" s="133"/>
      <c r="I56" s="215"/>
      <c r="J56" s="133"/>
      <c r="K56" s="133"/>
      <c r="L56" s="133"/>
      <c r="M56" s="127"/>
      <c r="N56" s="127"/>
      <c r="O56" s="127"/>
      <c r="P56" s="127"/>
      <c r="Q56" s="127"/>
      <c r="R56" s="127"/>
      <c r="S56" s="127"/>
      <c r="T56" s="127"/>
      <c r="U56" s="127"/>
      <c r="V56" s="127"/>
      <c r="W56" s="127"/>
      <c r="X56" s="127"/>
      <c r="Y56" s="127"/>
      <c r="Z56" s="127"/>
      <c r="AA56" s="127"/>
      <c r="AB56" s="127"/>
      <c r="AC56" s="127"/>
      <c r="AD56" s="246"/>
    </row>
    <row r="57" spans="1:30" hidden="1" x14ac:dyDescent="0.25">
      <c r="B57" s="126" t="s">
        <v>182</v>
      </c>
      <c r="C57" s="195"/>
      <c r="D57" s="195"/>
      <c r="E57" s="195"/>
      <c r="F57" s="195"/>
      <c r="G57" s="195"/>
      <c r="H57" s="195"/>
      <c r="I57" s="195"/>
      <c r="J57" s="195"/>
      <c r="K57" s="195"/>
      <c r="L57" s="195"/>
      <c r="M57" s="129"/>
      <c r="N57" s="129"/>
      <c r="O57" s="129"/>
      <c r="P57" s="129"/>
      <c r="Q57" s="129"/>
      <c r="R57" s="129"/>
      <c r="S57" s="129"/>
      <c r="T57" s="129"/>
      <c r="U57" s="129"/>
      <c r="V57" s="129"/>
      <c r="W57" s="129"/>
      <c r="X57" s="129"/>
      <c r="Y57" s="129"/>
      <c r="Z57" s="129"/>
      <c r="AA57" s="129"/>
      <c r="AB57" s="129"/>
      <c r="AC57" s="129"/>
      <c r="AD57" s="161"/>
    </row>
    <row r="58" spans="1:30" hidden="1" x14ac:dyDescent="0.25">
      <c r="B58" s="126" t="s">
        <v>183</v>
      </c>
      <c r="C58" s="134"/>
      <c r="D58" s="134"/>
      <c r="E58" s="134"/>
      <c r="F58" s="134"/>
      <c r="G58" s="134"/>
      <c r="H58" s="134"/>
      <c r="I58" s="134"/>
      <c r="J58" s="134"/>
      <c r="K58" s="134"/>
      <c r="L58" s="134"/>
      <c r="M58" s="128"/>
      <c r="N58" s="128"/>
      <c r="O58" s="128"/>
      <c r="P58" s="128"/>
      <c r="Q58" s="128"/>
      <c r="R58" s="128"/>
      <c r="S58" s="128"/>
      <c r="T58" s="128"/>
      <c r="U58" s="128"/>
      <c r="V58" s="128"/>
      <c r="W58" s="128"/>
      <c r="X58" s="128"/>
      <c r="Y58" s="128"/>
      <c r="Z58" s="128"/>
      <c r="AA58" s="128"/>
      <c r="AB58" s="128"/>
      <c r="AC58" s="128"/>
      <c r="AD58" s="246"/>
    </row>
    <row r="59" spans="1:30" hidden="1" x14ac:dyDescent="0.25">
      <c r="B59" s="126"/>
      <c r="C59" s="134"/>
      <c r="D59" s="120"/>
      <c r="E59" s="120"/>
      <c r="F59" s="120"/>
      <c r="G59" s="120"/>
      <c r="H59" s="134"/>
      <c r="AD59" s="246"/>
    </row>
    <row r="60" spans="1:30" hidden="1" x14ac:dyDescent="0.25">
      <c r="B60" s="119"/>
      <c r="C60" s="197"/>
      <c r="D60" s="120"/>
      <c r="E60" s="120"/>
      <c r="F60" s="120"/>
      <c r="G60" s="120"/>
      <c r="H60" s="197"/>
      <c r="M60" s="175"/>
      <c r="N60" s="175"/>
      <c r="O60" s="175"/>
      <c r="P60" s="175"/>
      <c r="Q60" s="175"/>
      <c r="R60" s="175"/>
      <c r="S60" s="175"/>
      <c r="T60" s="175"/>
      <c r="U60" s="175"/>
      <c r="V60" s="175"/>
      <c r="W60" s="175"/>
      <c r="X60" s="175"/>
      <c r="Y60" s="175"/>
      <c r="Z60" s="255"/>
      <c r="AA60" s="255"/>
      <c r="AB60" s="255"/>
      <c r="AC60" s="255"/>
      <c r="AD60" s="246"/>
    </row>
    <row r="61" spans="1:30" x14ac:dyDescent="0.25">
      <c r="A61" s="123"/>
      <c r="B61" s="124" t="s">
        <v>190</v>
      </c>
      <c r="C61" s="144">
        <v>57102</v>
      </c>
      <c r="D61" s="144">
        <v>59618</v>
      </c>
      <c r="E61" s="144">
        <v>82707</v>
      </c>
      <c r="F61" s="144">
        <v>85863</v>
      </c>
      <c r="G61" s="144">
        <v>285290</v>
      </c>
      <c r="H61" s="144">
        <v>86961</v>
      </c>
      <c r="I61" s="144">
        <v>87871</v>
      </c>
      <c r="J61" s="144">
        <v>88753</v>
      </c>
      <c r="K61" s="144">
        <v>93744</v>
      </c>
      <c r="L61" s="144">
        <v>357329</v>
      </c>
      <c r="M61" s="144">
        <v>92431</v>
      </c>
      <c r="N61" s="144">
        <v>81679</v>
      </c>
      <c r="O61" s="144">
        <v>90498.952496695405</v>
      </c>
      <c r="P61" s="144">
        <v>98069.995171134913</v>
      </c>
      <c r="Q61" s="144">
        <v>362679</v>
      </c>
      <c r="R61" s="144">
        <v>102322</v>
      </c>
      <c r="S61" s="144">
        <v>111405</v>
      </c>
      <c r="T61" s="144">
        <v>120463</v>
      </c>
      <c r="U61" s="144">
        <f>V61-SUM(R61:T61)</f>
        <v>126482</v>
      </c>
      <c r="V61" s="144">
        <v>460672</v>
      </c>
      <c r="W61" s="144">
        <v>149039</v>
      </c>
      <c r="X61" s="144">
        <v>161301</v>
      </c>
      <c r="Y61" s="144">
        <v>166298</v>
      </c>
      <c r="Z61" s="144">
        <f>AA61-SUM(W61:Y61)</f>
        <v>170713</v>
      </c>
      <c r="AA61" s="144">
        <v>647351</v>
      </c>
      <c r="AB61" s="144">
        <v>181842</v>
      </c>
      <c r="AC61" s="144">
        <v>182183</v>
      </c>
      <c r="AD61" s="247"/>
    </row>
    <row r="62" spans="1:30" x14ac:dyDescent="0.25">
      <c r="B62" s="126" t="s">
        <v>180</v>
      </c>
      <c r="C62" s="133">
        <v>0.16518048442059308</v>
      </c>
      <c r="D62" s="133">
        <v>0.15630636746251869</v>
      </c>
      <c r="E62" s="133">
        <v>0.53890666865138437</v>
      </c>
      <c r="F62" s="133">
        <v>0.54338252476048399</v>
      </c>
      <c r="G62" s="133">
        <v>0.35889265181501639</v>
      </c>
      <c r="H62" s="133">
        <v>0.52290637806031315</v>
      </c>
      <c r="I62" s="133">
        <v>0.47390049984903881</v>
      </c>
      <c r="J62" s="133">
        <v>7.3101430350514418E-2</v>
      </c>
      <c r="K62" s="133">
        <v>9.178575172076453E-2</v>
      </c>
      <c r="L62" s="133">
        <v>0.25251147954712749</v>
      </c>
      <c r="M62" s="127">
        <f>M61/H61-1</f>
        <v>6.2901760559331166E-2</v>
      </c>
      <c r="N62" s="127">
        <f>N61/I61-1</f>
        <v>-7.0466934483504273E-2</v>
      </c>
      <c r="O62" s="127">
        <f>O61/J61-1</f>
        <v>1.9672039217777382E-2</v>
      </c>
      <c r="P62" s="127">
        <f t="shared" ref="P62:Q62" si="40">P61/K61-1</f>
        <v>4.6146901893826975E-2</v>
      </c>
      <c r="Q62" s="127">
        <f t="shared" si="40"/>
        <v>1.4972196491188861E-2</v>
      </c>
      <c r="R62" s="127">
        <f>R61/M61-1</f>
        <v>0.1070095530720212</v>
      </c>
      <c r="S62" s="127">
        <f>S61/N61-1</f>
        <v>0.36393687483930992</v>
      </c>
      <c r="T62" s="127">
        <f>T61/O61-1</f>
        <v>0.33109827988781126</v>
      </c>
      <c r="U62" s="127">
        <f t="shared" ref="U62:AA62" si="41">U61/P61-1</f>
        <v>0.28971149411484465</v>
      </c>
      <c r="V62" s="127">
        <f t="shared" si="41"/>
        <v>0.2701920982466588</v>
      </c>
      <c r="W62" s="127">
        <f t="shared" si="41"/>
        <v>0.45656847989679639</v>
      </c>
      <c r="X62" s="127">
        <f t="shared" si="41"/>
        <v>0.44787935909519327</v>
      </c>
      <c r="Y62" s="127">
        <f t="shared" si="41"/>
        <v>0.38049027502220589</v>
      </c>
      <c r="Z62" s="127">
        <f t="shared" si="41"/>
        <v>0.34970193387201332</v>
      </c>
      <c r="AA62" s="127">
        <f t="shared" si="41"/>
        <v>0.40523192206168379</v>
      </c>
      <c r="AB62" s="127">
        <f>AB61/W61-1</f>
        <v>0.22009675319882716</v>
      </c>
      <c r="AC62" s="127">
        <f>AC61/X61-1</f>
        <v>0.12945982975926995</v>
      </c>
      <c r="AD62" s="246"/>
    </row>
    <row r="63" spans="1:30" x14ac:dyDescent="0.25">
      <c r="B63" s="126" t="s">
        <v>181</v>
      </c>
      <c r="C63" s="154">
        <v>0.15791931376504653</v>
      </c>
      <c r="D63" s="154">
        <v>0.1540402023110381</v>
      </c>
      <c r="E63" s="154">
        <v>0.5407405328511683</v>
      </c>
      <c r="F63" s="154">
        <v>0.54969054598859524</v>
      </c>
      <c r="G63" s="154">
        <v>0.35878167493354329</v>
      </c>
      <c r="H63" s="154">
        <v>0.53100000000000003</v>
      </c>
      <c r="I63" s="154">
        <v>0.47899999999999998</v>
      </c>
      <c r="J63" s="154">
        <v>7.8E-2</v>
      </c>
      <c r="K63" s="154">
        <v>0.09</v>
      </c>
      <c r="L63" s="154">
        <v>0.25600000000000001</v>
      </c>
      <c r="M63" s="133">
        <v>6.6205178752887672E-2</v>
      </c>
      <c r="N63" s="133">
        <v>-6.8137737405081777E-2</v>
      </c>
      <c r="O63" s="133">
        <v>1.6102449288212473E-2</v>
      </c>
      <c r="P63" s="133">
        <v>4.4702534273172612E-2</v>
      </c>
      <c r="Q63" s="133">
        <v>1.5083119496305475E-2</v>
      </c>
      <c r="R63" s="133">
        <v>0.10005088587135669</v>
      </c>
      <c r="S63" s="133">
        <v>0.35135000790399151</v>
      </c>
      <c r="T63" s="133">
        <v>0.32679047851373277</v>
      </c>
      <c r="U63" s="133">
        <v>0.28887038058699699</v>
      </c>
      <c r="V63" s="133">
        <v>0.2642814773706359</v>
      </c>
      <c r="W63" s="133">
        <v>0.46000319655332511</v>
      </c>
      <c r="X63" s="133">
        <v>0.45982518231785119</v>
      </c>
      <c r="Y63" s="133">
        <v>0.39445060262651221</v>
      </c>
      <c r="Z63" s="133">
        <v>0.36177775208904817</v>
      </c>
      <c r="AA63" s="133">
        <v>0.41584967954091967</v>
      </c>
      <c r="AB63" s="133">
        <v>0.22708642115163968</v>
      </c>
      <c r="AC63" s="133">
        <v>0.12810372930601188</v>
      </c>
      <c r="AD63" s="246"/>
    </row>
    <row r="64" spans="1:30" x14ac:dyDescent="0.25">
      <c r="B64" s="126" t="s">
        <v>182</v>
      </c>
      <c r="C64" s="195">
        <v>19027</v>
      </c>
      <c r="D64" s="195">
        <v>20962</v>
      </c>
      <c r="E64" s="195">
        <v>29069</v>
      </c>
      <c r="F64" s="195">
        <v>31628</v>
      </c>
      <c r="G64" s="195">
        <v>100686</v>
      </c>
      <c r="H64" s="195">
        <v>30059</v>
      </c>
      <c r="I64" s="195">
        <v>30440</v>
      </c>
      <c r="J64" s="195">
        <v>30920</v>
      </c>
      <c r="K64" s="195">
        <v>34665</v>
      </c>
      <c r="L64" s="195">
        <v>126084</v>
      </c>
      <c r="M64" s="129">
        <v>33815</v>
      </c>
      <c r="N64" s="129">
        <v>24447</v>
      </c>
      <c r="O64" s="129">
        <v>34027.680296218474</v>
      </c>
      <c r="P64" s="129">
        <f>Q64-SUM(M64:O64)</f>
        <v>40939.319703781526</v>
      </c>
      <c r="Q64" s="129">
        <v>133229</v>
      </c>
      <c r="R64" s="129">
        <v>37829</v>
      </c>
      <c r="S64" s="129">
        <v>40094</v>
      </c>
      <c r="T64" s="129">
        <v>44927</v>
      </c>
      <c r="U64" s="129">
        <f>V64-SUM(R64:T64)</f>
        <v>47914</v>
      </c>
      <c r="V64" s="129">
        <v>170764</v>
      </c>
      <c r="W64" s="129">
        <v>53469</v>
      </c>
      <c r="X64" s="129">
        <v>59647</v>
      </c>
      <c r="Y64" s="129">
        <v>60359</v>
      </c>
      <c r="Z64" s="129">
        <f>AA64-SUM(W64:Y64)</f>
        <v>63983</v>
      </c>
      <c r="AA64" s="129">
        <v>237458</v>
      </c>
      <c r="AB64" s="129">
        <v>67476</v>
      </c>
      <c r="AC64" s="195">
        <v>68670</v>
      </c>
      <c r="AD64" s="161"/>
    </row>
    <row r="65" spans="1:32" x14ac:dyDescent="0.25">
      <c r="B65" s="126" t="s">
        <v>183</v>
      </c>
      <c r="C65" s="134">
        <v>0.33321074568316345</v>
      </c>
      <c r="D65" s="134">
        <v>0.35160521990003019</v>
      </c>
      <c r="E65" s="134">
        <v>0.35146964585827078</v>
      </c>
      <c r="F65" s="134">
        <v>0.36835423872913831</v>
      </c>
      <c r="G65" s="134">
        <v>0.35292509376423992</v>
      </c>
      <c r="H65" s="134">
        <v>0.34566069847402858</v>
      </c>
      <c r="I65" s="134">
        <v>0.34641690660172297</v>
      </c>
      <c r="J65" s="134">
        <v>0.34838258988428561</v>
      </c>
      <c r="K65" s="134">
        <v>0.36978366615463387</v>
      </c>
      <c r="L65" s="134">
        <v>0.35285129390561637</v>
      </c>
      <c r="M65" s="128">
        <f t="shared" ref="M65:W65" si="42">M64/M61</f>
        <v>0.36584046477913257</v>
      </c>
      <c r="N65" s="128">
        <f t="shared" si="42"/>
        <v>0.29930581912119392</v>
      </c>
      <c r="O65" s="128">
        <f t="shared" si="42"/>
        <v>0.37600081942894314</v>
      </c>
      <c r="P65" s="128">
        <f t="shared" si="42"/>
        <v>0.41745000223912782</v>
      </c>
      <c r="Q65" s="128">
        <f t="shared" si="42"/>
        <v>0.36734688250491482</v>
      </c>
      <c r="R65" s="128">
        <f t="shared" si="42"/>
        <v>0.36970543969038916</v>
      </c>
      <c r="S65" s="128">
        <f t="shared" si="42"/>
        <v>0.35989408015798213</v>
      </c>
      <c r="T65" s="128">
        <f t="shared" si="42"/>
        <v>0.3729526908677353</v>
      </c>
      <c r="U65" s="128">
        <f t="shared" si="42"/>
        <v>0.37882070175993421</v>
      </c>
      <c r="V65" s="128">
        <f t="shared" si="42"/>
        <v>0.37068456515698806</v>
      </c>
      <c r="W65" s="128">
        <f t="shared" si="42"/>
        <v>0.35875844577593785</v>
      </c>
      <c r="X65" s="128">
        <f t="shared" ref="X65" si="43">X64/X61</f>
        <v>0.36978692010588898</v>
      </c>
      <c r="Y65" s="128">
        <f>Y64/Y61</f>
        <v>0.36295686057559323</v>
      </c>
      <c r="Z65" s="128">
        <f t="shared" ref="Z65:AC65" si="44">Z64/Z61</f>
        <v>0.37479863865083501</v>
      </c>
      <c r="AA65" s="128">
        <f t="shared" si="44"/>
        <v>0.36681491184844078</v>
      </c>
      <c r="AB65" s="128">
        <f t="shared" si="44"/>
        <v>0.37106938990992178</v>
      </c>
      <c r="AC65" s="128">
        <f t="shared" si="44"/>
        <v>0.37692869257834155</v>
      </c>
      <c r="AD65" s="246"/>
    </row>
    <row r="66" spans="1:32" x14ac:dyDescent="0.25">
      <c r="B66" s="126"/>
      <c r="C66" s="134"/>
      <c r="D66" s="120"/>
      <c r="E66" s="120"/>
      <c r="F66" s="120"/>
      <c r="G66" s="120"/>
      <c r="H66" s="134"/>
      <c r="AD66" s="161"/>
    </row>
    <row r="67" spans="1:32" x14ac:dyDescent="0.25">
      <c r="A67" s="123"/>
      <c r="B67" s="124" t="s">
        <v>191</v>
      </c>
      <c r="C67" s="265">
        <f t="shared" ref="C67:W67" si="45">+C61+C17</f>
        <v>206972.96685598622</v>
      </c>
      <c r="D67" s="265">
        <f t="shared" si="45"/>
        <v>210112.46117321268</v>
      </c>
      <c r="E67" s="265">
        <f t="shared" si="45"/>
        <v>231123.88236976153</v>
      </c>
      <c r="F67" s="265">
        <f t="shared" si="45"/>
        <v>234903.3301324464</v>
      </c>
      <c r="G67" s="265">
        <f t="shared" si="45"/>
        <v>883111.64053140674</v>
      </c>
      <c r="H67" s="265">
        <f t="shared" si="45"/>
        <v>239573</v>
      </c>
      <c r="I67" s="265">
        <f t="shared" si="45"/>
        <v>243509</v>
      </c>
      <c r="J67" s="265">
        <f t="shared" si="45"/>
        <v>251392</v>
      </c>
      <c r="K67" s="265">
        <f t="shared" si="45"/>
        <v>256872</v>
      </c>
      <c r="L67" s="265">
        <f t="shared" si="45"/>
        <v>991346</v>
      </c>
      <c r="M67" s="265">
        <f t="shared" si="45"/>
        <v>245990</v>
      </c>
      <c r="N67" s="265">
        <f t="shared" si="45"/>
        <v>222473</v>
      </c>
      <c r="O67" s="265">
        <f t="shared" si="45"/>
        <v>241018.09034936316</v>
      </c>
      <c r="P67" s="265">
        <f t="shared" si="45"/>
        <v>248952.85731846714</v>
      </c>
      <c r="Q67" s="265">
        <f t="shared" si="45"/>
        <v>958434</v>
      </c>
      <c r="R67" s="265">
        <f t="shared" si="45"/>
        <v>261415</v>
      </c>
      <c r="S67" s="265">
        <f t="shared" si="45"/>
        <v>275064</v>
      </c>
      <c r="T67" s="265">
        <f t="shared" si="45"/>
        <v>290325</v>
      </c>
      <c r="U67" s="265">
        <f t="shared" si="45"/>
        <v>295489</v>
      </c>
      <c r="V67" s="265">
        <f t="shared" si="45"/>
        <v>1122293</v>
      </c>
      <c r="W67" s="265">
        <f t="shared" si="45"/>
        <v>329208</v>
      </c>
      <c r="X67" s="265">
        <f t="shared" ref="X67:AC67" si="46">+X61+X17</f>
        <v>346782</v>
      </c>
      <c r="Y67" s="265">
        <f t="shared" si="46"/>
        <v>361351</v>
      </c>
      <c r="Z67" s="265">
        <f t="shared" si="46"/>
        <v>374703</v>
      </c>
      <c r="AA67" s="265">
        <f t="shared" si="46"/>
        <v>1412044</v>
      </c>
      <c r="AB67" s="265">
        <f t="shared" si="46"/>
        <v>400643</v>
      </c>
      <c r="AC67" s="265">
        <f t="shared" si="46"/>
        <v>404996</v>
      </c>
      <c r="AD67" s="198"/>
    </row>
    <row r="68" spans="1:32" x14ac:dyDescent="0.25">
      <c r="B68" s="126"/>
      <c r="C68" s="198"/>
      <c r="D68" s="198"/>
      <c r="E68" s="198"/>
      <c r="F68" s="198"/>
      <c r="G68" s="198"/>
      <c r="H68" s="196"/>
      <c r="I68" s="196"/>
      <c r="J68" s="196"/>
      <c r="K68" s="196"/>
      <c r="L68" s="196"/>
      <c r="AD68" s="161"/>
    </row>
    <row r="69" spans="1:32" hidden="1" x14ac:dyDescent="0.25">
      <c r="B69" s="231"/>
      <c r="C69" s="120"/>
      <c r="D69" s="120"/>
      <c r="E69" s="120"/>
      <c r="F69" s="120"/>
      <c r="G69" s="120"/>
      <c r="H69" s="158"/>
      <c r="AD69" s="161"/>
    </row>
    <row r="70" spans="1:32" hidden="1" x14ac:dyDescent="0.25">
      <c r="B70" s="232"/>
      <c r="C70" s="120"/>
      <c r="D70" s="120"/>
      <c r="E70" s="120"/>
      <c r="F70" s="120"/>
      <c r="G70" s="120"/>
      <c r="H70" s="158"/>
      <c r="AD70" s="161"/>
    </row>
    <row r="71" spans="1:32" x14ac:dyDescent="0.25">
      <c r="B71" s="132"/>
      <c r="C71" s="120"/>
      <c r="D71" s="120"/>
      <c r="E71" s="120"/>
      <c r="F71" s="120"/>
      <c r="G71" s="120"/>
      <c r="H71" s="158"/>
      <c r="AD71" s="161"/>
    </row>
    <row r="72" spans="1:32" x14ac:dyDescent="0.25">
      <c r="B72" s="231" t="s">
        <v>192</v>
      </c>
      <c r="C72" s="120"/>
      <c r="D72" s="120"/>
      <c r="E72" s="120"/>
      <c r="F72" s="120"/>
      <c r="G72" s="120"/>
      <c r="H72" s="158"/>
      <c r="AD72" s="161"/>
    </row>
    <row r="73" spans="1:32" x14ac:dyDescent="0.25">
      <c r="B73" s="231" t="s">
        <v>193</v>
      </c>
      <c r="C73" s="120"/>
      <c r="D73" s="120"/>
      <c r="E73" s="120"/>
      <c r="F73" s="120"/>
      <c r="G73" s="120"/>
      <c r="H73" s="158"/>
      <c r="AD73" s="161"/>
    </row>
    <row r="74" spans="1:32" x14ac:dyDescent="0.25">
      <c r="B74" s="126" t="s">
        <v>194</v>
      </c>
      <c r="C74" s="120"/>
      <c r="D74" s="120"/>
      <c r="E74" s="120"/>
      <c r="F74" s="120"/>
      <c r="G74" s="120"/>
      <c r="H74" s="158"/>
      <c r="AD74" s="161"/>
    </row>
    <row r="75" spans="1:32" x14ac:dyDescent="0.25">
      <c r="B75" s="126"/>
      <c r="C75" s="120"/>
      <c r="D75" s="120"/>
      <c r="E75" s="120"/>
      <c r="F75" s="120"/>
      <c r="G75" s="120"/>
      <c r="H75" s="158"/>
      <c r="AD75" s="161"/>
    </row>
    <row r="76" spans="1:32" ht="25" x14ac:dyDescent="0.25">
      <c r="A76" s="123"/>
      <c r="B76" s="124" t="s">
        <v>195</v>
      </c>
      <c r="C76" s="125"/>
      <c r="D76" s="125"/>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61"/>
    </row>
    <row r="77" spans="1:32" x14ac:dyDescent="0.25">
      <c r="B77" s="209" t="s">
        <v>184</v>
      </c>
      <c r="C77" s="210">
        <v>90659.480287046856</v>
      </c>
      <c r="D77" s="210">
        <v>93663.40367665753</v>
      </c>
      <c r="E77" s="210">
        <v>96028.058361202435</v>
      </c>
      <c r="F77" s="210">
        <v>95227.546474638701</v>
      </c>
      <c r="G77" s="210">
        <f>SUM(C77:F77)</f>
        <v>375578.48879954551</v>
      </c>
      <c r="H77" s="210">
        <v>100958.7534962692</v>
      </c>
      <c r="I77" s="210">
        <v>103525.8957768306</v>
      </c>
      <c r="J77" s="210">
        <v>109286.83625354461</v>
      </c>
      <c r="K77" s="210">
        <v>107198.73751952131</v>
      </c>
      <c r="L77" s="210">
        <v>420970.22304616572</v>
      </c>
      <c r="M77" s="210">
        <v>107827.65817521796</v>
      </c>
      <c r="N77" s="210">
        <v>100706.54271371941</v>
      </c>
      <c r="O77" s="210">
        <v>109678.25203491189</v>
      </c>
      <c r="P77" s="210">
        <v>111185.3843587006</v>
      </c>
      <c r="Q77" s="210">
        <f>M77+N77+O77+P77</f>
        <v>429397.83728254982</v>
      </c>
      <c r="R77" s="210">
        <v>118368.74818935194</v>
      </c>
      <c r="S77" s="210">
        <v>122992.8981440388</v>
      </c>
      <c r="T77" s="210">
        <v>128642.32559993613</v>
      </c>
      <c r="U77" s="210">
        <v>127736.86740445091</v>
      </c>
      <c r="V77" s="210">
        <v>497740.83933777775</v>
      </c>
      <c r="W77" s="210">
        <v>135664.43661664976</v>
      </c>
      <c r="X77" s="210">
        <v>141898.90936728878</v>
      </c>
      <c r="Y77" s="210">
        <v>149334.60774529996</v>
      </c>
      <c r="Z77" s="210">
        <v>155864.80542770005</v>
      </c>
      <c r="AA77" s="210">
        <v>582762.75915693864</v>
      </c>
      <c r="AB77" s="210">
        <v>163576.43557199984</v>
      </c>
      <c r="AC77" s="210">
        <v>164400.45304820029</v>
      </c>
      <c r="AD77" s="161"/>
      <c r="AE77" s="245"/>
      <c r="AF77" s="245"/>
    </row>
    <row r="78" spans="1:32" x14ac:dyDescent="0.25">
      <c r="A78" s="136"/>
      <c r="B78" s="135" t="s">
        <v>20</v>
      </c>
      <c r="C78" s="154">
        <v>0.43802570772505084</v>
      </c>
      <c r="D78" s="154">
        <f>D77/SUM(D$77,D$81,D$85)</f>
        <v>0.44577748103880055</v>
      </c>
      <c r="E78" s="154">
        <f>E77/SUM(E$77,E$81,E$85)</f>
        <v>0.41548306205575408</v>
      </c>
      <c r="F78" s="154">
        <f>F77/SUM(F$77,F$81,F$85)</f>
        <v>0.40539036386136468</v>
      </c>
      <c r="G78" s="154">
        <f>G77/SUM(G$77,G$81,G$85)</f>
        <v>0.4252899311502038</v>
      </c>
      <c r="H78" s="154">
        <f>H77/$H$67</f>
        <v>0.42141123372111716</v>
      </c>
      <c r="I78" s="154">
        <f>I77/$I$67</f>
        <v>0.42514196919551472</v>
      </c>
      <c r="J78" s="154">
        <f>J77/$J$67</f>
        <v>0.43472678626823691</v>
      </c>
      <c r="K78" s="154">
        <f>K77/$K$67</f>
        <v>0.41732356005917853</v>
      </c>
      <c r="L78" s="154">
        <f>L77/$L$67</f>
        <v>0.42464510175676878</v>
      </c>
      <c r="M78" s="154">
        <f>M77/$M$67</f>
        <v>0.43834163248594643</v>
      </c>
      <c r="N78" s="154">
        <f>N77/$N$67</f>
        <v>0.45266860569021594</v>
      </c>
      <c r="O78" s="154">
        <f>O77/$O$67</f>
        <v>0.45506232281539477</v>
      </c>
      <c r="P78" s="154">
        <f>P77/$P$67</f>
        <v>0.44661220423941261</v>
      </c>
      <c r="Q78" s="154">
        <f>Q77/$Q$67</f>
        <v>0.4480202468636858</v>
      </c>
      <c r="R78" s="154">
        <f>R77/$R$67</f>
        <v>0.45280013843640166</v>
      </c>
      <c r="S78" s="154">
        <f>S77/$S$67</f>
        <v>0.44714284000828464</v>
      </c>
      <c r="T78" s="154">
        <f>T77/$T$67</f>
        <v>0.44309765125268624</v>
      </c>
      <c r="U78" s="154">
        <f>U77/$U$67</f>
        <v>0.43228975496363964</v>
      </c>
      <c r="V78" s="154">
        <f>V77/$V$67</f>
        <v>0.44350346953761427</v>
      </c>
      <c r="W78" s="154">
        <f>W77/W$67</f>
        <v>0.4120933774897626</v>
      </c>
      <c r="X78" s="154">
        <f>X77/X$67</f>
        <v>0.40918764343965019</v>
      </c>
      <c r="Y78" s="154">
        <f>Y77/Y$67</f>
        <v>0.41326745393066566</v>
      </c>
      <c r="Z78" s="154">
        <f>Z77/$Z$67</f>
        <v>0.41596892853193074</v>
      </c>
      <c r="AA78" s="154">
        <f>AA77/AA$67</f>
        <v>0.41270864021017661</v>
      </c>
      <c r="AB78" s="154">
        <f>AB77/AB$67</f>
        <v>0.40828477116035933</v>
      </c>
      <c r="AC78" s="154">
        <f>AC77/AC$67</f>
        <v>0.4059310537590502</v>
      </c>
      <c r="AD78" s="246"/>
      <c r="AE78" s="245"/>
      <c r="AF78" s="161"/>
    </row>
    <row r="79" spans="1:32" x14ac:dyDescent="0.25">
      <c r="A79" s="136"/>
      <c r="B79" s="135" t="s">
        <v>12</v>
      </c>
      <c r="C79" s="154">
        <v>8.8546307117963741E-2</v>
      </c>
      <c r="D79" s="154">
        <f>D77/C77-1</f>
        <v>3.3134134236150858E-2</v>
      </c>
      <c r="E79" s="154">
        <f t="shared" ref="E79:F79" si="47">E77/D77-1</f>
        <v>2.5246303163486417E-2</v>
      </c>
      <c r="F79" s="154">
        <f t="shared" si="47"/>
        <v>-8.3362290170719833E-3</v>
      </c>
      <c r="G79" s="211" t="s">
        <v>13</v>
      </c>
      <c r="H79" s="154">
        <f>H77/F77-1</f>
        <v>6.0184339865953174E-2</v>
      </c>
      <c r="I79" s="154">
        <f>I77/H77-1</f>
        <v>2.5427634471103744E-2</v>
      </c>
      <c r="J79" s="154">
        <f>J77/I77-1</f>
        <v>5.5647337639394001E-2</v>
      </c>
      <c r="K79" s="154">
        <f>K77/J77-1</f>
        <v>-1.9106589646157635E-2</v>
      </c>
      <c r="L79" s="211" t="s">
        <v>13</v>
      </c>
      <c r="M79" s="154">
        <f>M77/K77-1</f>
        <v>5.8668662546714767E-3</v>
      </c>
      <c r="N79" s="154">
        <f>N77/M77-1</f>
        <v>-6.60416407256742E-2</v>
      </c>
      <c r="O79" s="154">
        <f>O77/N77-1</f>
        <v>8.9087650905627314E-2</v>
      </c>
      <c r="P79" s="154">
        <f>P77/O77-1</f>
        <v>1.3741396273428741E-2</v>
      </c>
      <c r="Q79" s="208" t="s">
        <v>13</v>
      </c>
      <c r="R79" s="154">
        <f>R77/P77-1</f>
        <v>6.4607087272161134E-2</v>
      </c>
      <c r="S79" s="154">
        <f>S77/R77-1</f>
        <v>3.9065631979901427E-2</v>
      </c>
      <c r="T79" s="154">
        <f>T77/S77-1</f>
        <v>4.5932956627147581E-2</v>
      </c>
      <c r="U79" s="154">
        <f t="shared" ref="U79" si="48">U77/T77-1</f>
        <v>-7.038571413121808E-3</v>
      </c>
      <c r="V79" s="211" t="s">
        <v>13</v>
      </c>
      <c r="W79" s="211">
        <f>W77/U77-1</f>
        <v>6.2061716192694183E-2</v>
      </c>
      <c r="X79" s="211">
        <f>X77/W77-1</f>
        <v>4.5955099996146442E-2</v>
      </c>
      <c r="Y79" s="211">
        <f>Y77/X77-1</f>
        <v>5.2401377932826287E-2</v>
      </c>
      <c r="Z79" s="211">
        <f t="shared" ref="Z79" si="49">Z77/Y77-1</f>
        <v>4.3728629156998711E-2</v>
      </c>
      <c r="AA79" s="211" t="s">
        <v>13</v>
      </c>
      <c r="AB79" s="211">
        <f>AB77/Z77-1</f>
        <v>4.9476404395069951E-2</v>
      </c>
      <c r="AC79" s="211">
        <f>AC77/AB77-1</f>
        <v>5.0375072260193665E-3</v>
      </c>
      <c r="AD79" s="246"/>
      <c r="AF79" s="161"/>
    </row>
    <row r="80" spans="1:32" x14ac:dyDescent="0.25">
      <c r="A80" s="136"/>
      <c r="B80" s="135" t="s">
        <v>14</v>
      </c>
      <c r="C80" s="154">
        <v>0.17373117664990612</v>
      </c>
      <c r="D80" s="154">
        <v>0.17641677440365977</v>
      </c>
      <c r="E80" s="154">
        <v>0.18627486894493694</v>
      </c>
      <c r="F80" s="154">
        <v>0.14339497339565899</v>
      </c>
      <c r="G80" s="154">
        <v>0.16969082565925264</v>
      </c>
      <c r="H80" s="154">
        <v>0.11360392952411269</v>
      </c>
      <c r="I80" s="154">
        <v>0.10529717811900285</v>
      </c>
      <c r="J80" s="154">
        <v>0.13807191479880032</v>
      </c>
      <c r="K80" s="154">
        <v>0.12571143002272778</v>
      </c>
      <c r="L80" s="154">
        <v>0.12085818437500229</v>
      </c>
      <c r="M80" s="154">
        <f t="shared" ref="M80:T80" si="50">M77/H77-1</f>
        <v>6.8036742145420659E-2</v>
      </c>
      <c r="N80" s="154">
        <f t="shared" si="50"/>
        <v>-2.7233312418651567E-2</v>
      </c>
      <c r="O80" s="154">
        <f t="shared" si="50"/>
        <v>3.5815455436847277E-3</v>
      </c>
      <c r="P80" s="154">
        <f t="shared" si="50"/>
        <v>3.7189307742111266E-2</v>
      </c>
      <c r="Q80" s="154">
        <f t="shared" si="50"/>
        <v>2.0019502033662651E-2</v>
      </c>
      <c r="R80" s="154">
        <f t="shared" si="50"/>
        <v>9.7758684483390201E-2</v>
      </c>
      <c r="S80" s="154">
        <f t="shared" si="50"/>
        <v>0.22129997545118085</v>
      </c>
      <c r="T80" s="154">
        <f t="shared" si="50"/>
        <v>0.17290641684358499</v>
      </c>
      <c r="U80" s="154">
        <f t="shared" ref="U80" si="51">U77/P77-1</f>
        <v>0.1488638380054772</v>
      </c>
      <c r="V80" s="154">
        <f t="shared" ref="V80:Y80" si="52">V77/Q77-1</f>
        <v>0.15916009844795109</v>
      </c>
      <c r="W80" s="154">
        <f t="shared" si="52"/>
        <v>0.14611701730282967</v>
      </c>
      <c r="X80" s="154">
        <f t="shared" si="52"/>
        <v>0.15371628369232249</v>
      </c>
      <c r="Y80" s="154">
        <f t="shared" si="52"/>
        <v>0.1608512754170397</v>
      </c>
      <c r="Z80" s="154">
        <f t="shared" ref="Z80" si="53">Z77/U77-1</f>
        <v>0.22020219060318857</v>
      </c>
      <c r="AA80" s="154">
        <f t="shared" ref="AA80" si="54">AA77/V77-1</f>
        <v>0.17081563958520829</v>
      </c>
      <c r="AB80" s="154">
        <f>AB77/W77-1</f>
        <v>0.20574293198313787</v>
      </c>
      <c r="AC80" s="154">
        <f t="shared" ref="AC80" si="55">AC77/X77-1</f>
        <v>0.15857446530944697</v>
      </c>
      <c r="AD80" s="246"/>
    </row>
    <row r="81" spans="1:32" x14ac:dyDescent="0.25">
      <c r="A81" s="136"/>
      <c r="B81" s="209" t="s">
        <v>185</v>
      </c>
      <c r="C81" s="210">
        <v>34104.735787288213</v>
      </c>
      <c r="D81" s="210">
        <v>31671.265590000003</v>
      </c>
      <c r="E81" s="210">
        <v>52232.656980799991</v>
      </c>
      <c r="F81" s="210">
        <v>57047.38757359999</v>
      </c>
      <c r="G81" s="210">
        <v>175056.04593168822</v>
      </c>
      <c r="H81" s="210">
        <v>53248.401116638008</v>
      </c>
      <c r="I81" s="210">
        <v>53986.086069446013</v>
      </c>
      <c r="J81" s="210">
        <v>55980.109864710008</v>
      </c>
      <c r="K81" s="210">
        <v>62630.014391522003</v>
      </c>
      <c r="L81" s="210">
        <v>225844.61144231603</v>
      </c>
      <c r="M81" s="210">
        <v>57262.171140788683</v>
      </c>
      <c r="N81" s="210">
        <v>53513.086060000031</v>
      </c>
      <c r="O81" s="210">
        <v>58187.223970000006</v>
      </c>
      <c r="P81" s="210">
        <v>58248.805019211271</v>
      </c>
      <c r="Q81" s="210">
        <f>M81+N81+O81+P81</f>
        <v>227211.28618999996</v>
      </c>
      <c r="R81" s="210">
        <v>62256.95429999999</v>
      </c>
      <c r="S81" s="210">
        <v>64548.337290000018</v>
      </c>
      <c r="T81" s="210">
        <v>65676.51857</v>
      </c>
      <c r="U81" s="210">
        <v>67653.553387259613</v>
      </c>
      <c r="V81" s="210">
        <v>260135.36354725959</v>
      </c>
      <c r="W81" s="210">
        <v>69547.860097327924</v>
      </c>
      <c r="X81" s="210">
        <v>71490.34009854187</v>
      </c>
      <c r="Y81" s="210">
        <v>71740.345549999998</v>
      </c>
      <c r="Z81" s="210">
        <v>76797.260920000001</v>
      </c>
      <c r="AA81" s="210">
        <v>289575.80666586978</v>
      </c>
      <c r="AB81" s="210">
        <v>82849.84683000001</v>
      </c>
      <c r="AC81" s="210">
        <v>88182.248660000012</v>
      </c>
      <c r="AD81" s="161"/>
      <c r="AE81" s="245"/>
      <c r="AF81" s="245"/>
    </row>
    <row r="82" spans="1:32" x14ac:dyDescent="0.25">
      <c r="A82" s="136"/>
      <c r="B82" s="135" t="s">
        <v>20</v>
      </c>
      <c r="C82" s="154">
        <v>0.16477869697359374</v>
      </c>
      <c r="D82" s="154">
        <f>D81/SUM(D$77,D$81,D$85)</f>
        <v>0.15073482749740777</v>
      </c>
      <c r="E82" s="154">
        <f>E81/SUM(E$77,E$81,E$85)</f>
        <v>0.22599420036236684</v>
      </c>
      <c r="F82" s="154">
        <f>F81/SUM(F$77,F$81,F$85)</f>
        <v>0.24285474174178273</v>
      </c>
      <c r="G82" s="154">
        <f>G81/SUM(G$77,G$81,G$85)</f>
        <v>0.19822640524401805</v>
      </c>
      <c r="H82" s="154">
        <f>+H81/$H$67</f>
        <v>0.22226378229866475</v>
      </c>
      <c r="I82" s="154">
        <f>+I81/$I$67</f>
        <v>0.2217005780872412</v>
      </c>
      <c r="J82" s="154">
        <f>+J81/$J$67</f>
        <v>0.22268055413342511</v>
      </c>
      <c r="K82" s="154">
        <f>+K81/$K$67</f>
        <v>0.24381798869289764</v>
      </c>
      <c r="L82" s="154">
        <f>+L81/$L$67</f>
        <v>0.22781613225081457</v>
      </c>
      <c r="M82" s="154">
        <f>+M81/$M$67</f>
        <v>0.23278251612174755</v>
      </c>
      <c r="N82" s="154">
        <f>+N81/$N$67</f>
        <v>0.24053744076809336</v>
      </c>
      <c r="O82" s="154">
        <f>+O81/$O$67</f>
        <v>0.24142264128661806</v>
      </c>
      <c r="P82" s="154">
        <f>P81/$P$67</f>
        <v>0.23397524192581506</v>
      </c>
      <c r="Q82" s="154">
        <f>+Q81/$Q$67</f>
        <v>0.23706513561705861</v>
      </c>
      <c r="R82" s="154">
        <f>+R81/$R$67</f>
        <v>0.23815371841707625</v>
      </c>
      <c r="S82" s="154">
        <f>+S81/$S$67</f>
        <v>0.23466661318820353</v>
      </c>
      <c r="T82" s="154">
        <f>+T81/T$67</f>
        <v>0.22621723437526908</v>
      </c>
      <c r="U82" s="154">
        <f>+U81/U$67</f>
        <v>0.22895455799457717</v>
      </c>
      <c r="V82" s="154">
        <f>+V81/V$67</f>
        <v>0.23178917051719969</v>
      </c>
      <c r="W82" s="154">
        <f>+W81/W$67</f>
        <v>0.21125811066963113</v>
      </c>
      <c r="X82" s="154">
        <f>X81/X$67</f>
        <v>0.20615354919961784</v>
      </c>
      <c r="Y82" s="154">
        <f>Y81/Y$67</f>
        <v>0.19853368483828743</v>
      </c>
      <c r="Z82" s="154">
        <f>+Z81/Z$67</f>
        <v>0.20495502016263548</v>
      </c>
      <c r="AA82" s="154">
        <f>+AA81/AA$67</f>
        <v>0.2050756255937278</v>
      </c>
      <c r="AB82" s="154">
        <f>+AB81/AB$67</f>
        <v>0.20679219861572526</v>
      </c>
      <c r="AC82" s="154">
        <f>+AC81/AC$67</f>
        <v>0.21773609778862016</v>
      </c>
      <c r="AD82" s="246"/>
    </row>
    <row r="83" spans="1:32" x14ac:dyDescent="0.25">
      <c r="A83" s="136"/>
      <c r="B83" s="135" t="s">
        <v>12</v>
      </c>
      <c r="C83" s="154">
        <v>2.6885578731911552E-2</v>
      </c>
      <c r="D83" s="154">
        <f>D81/C81-1</f>
        <v>-7.1352852942940359E-2</v>
      </c>
      <c r="E83" s="154">
        <f t="shared" ref="E83:F83" si="56">E81/D81-1</f>
        <v>0.64921281192160873</v>
      </c>
      <c r="F83" s="154">
        <f t="shared" si="56"/>
        <v>9.2178550184989216E-2</v>
      </c>
      <c r="G83" s="211" t="s">
        <v>13</v>
      </c>
      <c r="H83" s="154">
        <f>H81/F81-1</f>
        <v>-6.6593521956823998E-2</v>
      </c>
      <c r="I83" s="154">
        <f>I81/H81-1</f>
        <v>1.3853654519919711E-2</v>
      </c>
      <c r="J83" s="154">
        <f>J81/I81-1</f>
        <v>3.6935883677489567E-2</v>
      </c>
      <c r="K83" s="154">
        <f>K81/J81-1</f>
        <v>0.1187904872441865</v>
      </c>
      <c r="L83" s="211" t="s">
        <v>13</v>
      </c>
      <c r="M83" s="154">
        <f>M81/K81-1</f>
        <v>-8.5707201297720692E-2</v>
      </c>
      <c r="N83" s="154">
        <f>N81/M81-1</f>
        <v>-6.5472283116385754E-2</v>
      </c>
      <c r="O83" s="154">
        <f>O81/N81-1</f>
        <v>8.7345699045635827E-2</v>
      </c>
      <c r="P83" s="154">
        <f>P81/O81-1</f>
        <v>1.058325952154382E-3</v>
      </c>
      <c r="Q83" s="208" t="s">
        <v>13</v>
      </c>
      <c r="R83" s="154">
        <f>R81/P81-1</f>
        <v>6.8810841346303553E-2</v>
      </c>
      <c r="S83" s="154">
        <f>S81/R81-1</f>
        <v>3.6805253577912866E-2</v>
      </c>
      <c r="T83" s="154">
        <f>T81/S81-1</f>
        <v>1.7478084291022711E-2</v>
      </c>
      <c r="U83" s="154">
        <f>U81/T81-1</f>
        <v>3.0102612932389583E-2</v>
      </c>
      <c r="V83" s="211" t="s">
        <v>13</v>
      </c>
      <c r="W83" s="211">
        <f>W81/U81-1</f>
        <v>2.8000106649609391E-2</v>
      </c>
      <c r="X83" s="211">
        <f>X81/W81-1</f>
        <v>2.7930118892163902E-2</v>
      </c>
      <c r="Y83" s="211">
        <f>Y81/X81-1</f>
        <v>3.4970522047248487E-3</v>
      </c>
      <c r="Z83" s="211">
        <f>Z81/Y81-1</f>
        <v>7.0489141517663167E-2</v>
      </c>
      <c r="AA83" s="211" t="s">
        <v>13</v>
      </c>
      <c r="AB83" s="211">
        <f>AB81/Z81-1</f>
        <v>7.8812523226642339E-2</v>
      </c>
      <c r="AC83" s="211">
        <f>AC81/AB81-1</f>
        <v>6.4362241259680042E-2</v>
      </c>
      <c r="AD83" s="246"/>
    </row>
    <row r="84" spans="1:32" x14ac:dyDescent="0.25">
      <c r="A84" s="136"/>
      <c r="B84" s="135" t="s">
        <v>14</v>
      </c>
      <c r="C84" s="154">
        <v>0.19390303535110442</v>
      </c>
      <c r="D84" s="154">
        <v>0.12481294747684712</v>
      </c>
      <c r="E84" s="154">
        <v>0.72781267144031769</v>
      </c>
      <c r="F84" s="154">
        <v>0.71768343168032134</v>
      </c>
      <c r="G84" s="154">
        <v>0.45679735959868739</v>
      </c>
      <c r="H84" s="154">
        <v>0.5613198544844078</v>
      </c>
      <c r="I84" s="154">
        <v>0.70457621644560264</v>
      </c>
      <c r="J84" s="154">
        <v>7.1745400301721718E-2</v>
      </c>
      <c r="K84" s="154">
        <v>9.7859464830349241E-2</v>
      </c>
      <c r="L84" s="154">
        <v>0.29012745741125068</v>
      </c>
      <c r="M84" s="154">
        <f t="shared" ref="M84:T84" si="57">M81/H81-1</f>
        <v>7.5378226199857234E-2</v>
      </c>
      <c r="N84" s="154">
        <f t="shared" si="57"/>
        <v>-8.761516973790795E-3</v>
      </c>
      <c r="O84" s="154">
        <f t="shared" si="57"/>
        <v>3.9426755514128997E-2</v>
      </c>
      <c r="P84" s="154">
        <f t="shared" si="57"/>
        <v>-6.9953829882941854E-2</v>
      </c>
      <c r="Q84" s="154">
        <f t="shared" si="57"/>
        <v>6.0513940932922505E-3</v>
      </c>
      <c r="R84" s="154">
        <f t="shared" si="57"/>
        <v>8.7226576633477437E-2</v>
      </c>
      <c r="S84" s="154">
        <f t="shared" si="57"/>
        <v>0.20621593786661863</v>
      </c>
      <c r="T84" s="154">
        <f t="shared" si="57"/>
        <v>0.12871029220884123</v>
      </c>
      <c r="U84" s="154">
        <f t="shared" ref="U84" si="58">U81/P81-1</f>
        <v>0.16145821987157549</v>
      </c>
      <c r="V84" s="154">
        <f t="shared" ref="V84:Y84" si="59">V81/Q81-1</f>
        <v>0.1449051141312041</v>
      </c>
      <c r="W84" s="154">
        <f t="shared" si="59"/>
        <v>0.1171099016857613</v>
      </c>
      <c r="X84" s="154">
        <f t="shared" si="59"/>
        <v>0.10754735288305128</v>
      </c>
      <c r="Y84" s="154">
        <f t="shared" si="59"/>
        <v>9.23286908628842E-2</v>
      </c>
      <c r="Z84" s="154">
        <f t="shared" ref="Z84" si="60">Z81/U81-1</f>
        <v>0.13515487472476662</v>
      </c>
      <c r="AA84" s="154">
        <f t="shared" ref="AA84" si="61">AA81/V81-1</f>
        <v>0.11317355209670166</v>
      </c>
      <c r="AB84" s="154">
        <f>AB81/W81-1</f>
        <v>0.19126378171890224</v>
      </c>
      <c r="AC84" s="154">
        <f t="shared" ref="AC84" si="62">AC81/X81-1</f>
        <v>0.23348481121295706</v>
      </c>
      <c r="AD84" s="246"/>
    </row>
    <row r="85" spans="1:32" x14ac:dyDescent="0.25">
      <c r="A85" s="136"/>
      <c r="B85" s="209" t="s">
        <v>196</v>
      </c>
      <c r="C85" s="210">
        <v>82208.75078165115</v>
      </c>
      <c r="D85" s="210">
        <v>84777.791906555154</v>
      </c>
      <c r="E85" s="210">
        <v>82863.167027759118</v>
      </c>
      <c r="F85" s="210">
        <v>82628.396084207692</v>
      </c>
      <c r="G85" s="210">
        <v>332477.10580017301</v>
      </c>
      <c r="H85" s="210">
        <v>85365.845387092791</v>
      </c>
      <c r="I85" s="210">
        <v>85997.018153723373</v>
      </c>
      <c r="J85" s="210">
        <v>86125.053881745378</v>
      </c>
      <c r="K85" s="210">
        <v>87043.248088956665</v>
      </c>
      <c r="L85" s="210">
        <v>344531.16551151831</v>
      </c>
      <c r="M85" s="210">
        <v>80900.367339627395</v>
      </c>
      <c r="N85" s="210">
        <v>68253.371226280564</v>
      </c>
      <c r="O85" s="210">
        <v>73152.783378038745</v>
      </c>
      <c r="P85" s="210">
        <v>79518.623723887344</v>
      </c>
      <c r="Q85" s="210">
        <f>M85+N85+O85+P85</f>
        <v>301825.14566783409</v>
      </c>
      <c r="R85" s="210">
        <v>80788.873072383198</v>
      </c>
      <c r="S85" s="210">
        <v>87522.885930257893</v>
      </c>
      <c r="T85" s="210">
        <v>96006.384880064012</v>
      </c>
      <c r="U85" s="210">
        <v>100098.85978899083</v>
      </c>
      <c r="V85" s="210">
        <v>364417.00367169589</v>
      </c>
      <c r="W85" s="210">
        <v>123995.45277107442</v>
      </c>
      <c r="X85" s="210">
        <v>133393.1215039602</v>
      </c>
      <c r="Y85" s="210">
        <v>140276.30279210003</v>
      </c>
      <c r="Z85" s="210">
        <v>142040.53426130002</v>
      </c>
      <c r="AA85" s="210">
        <v>539705.41132843459</v>
      </c>
      <c r="AB85" s="210">
        <v>154216.77565230004</v>
      </c>
      <c r="AC85" s="210">
        <v>152413.46229310002</v>
      </c>
      <c r="AD85" s="161"/>
      <c r="AF85" s="245"/>
    </row>
    <row r="86" spans="1:32" x14ac:dyDescent="0.25">
      <c r="A86" s="136"/>
      <c r="B86" s="135" t="s">
        <v>20</v>
      </c>
      <c r="C86" s="154">
        <v>0.3971955953013554</v>
      </c>
      <c r="D86" s="154">
        <f>D85/SUM(D$77,D$81,D$85)</f>
        <v>0.40348769146379171</v>
      </c>
      <c r="E86" s="154">
        <f>E85/SUM(E$77,E$81,E$85)</f>
        <v>0.35852273758187914</v>
      </c>
      <c r="F86" s="154">
        <f>F85/SUM(F$77,F$81,F$85)</f>
        <v>0.35175489439685265</v>
      </c>
      <c r="G86" s="154">
        <f>G85/SUM(G$77,G$81,G$85)</f>
        <v>0.37648366360577817</v>
      </c>
      <c r="H86" s="154">
        <f>+H85/$H$67</f>
        <v>0.35632498398021811</v>
      </c>
      <c r="I86" s="154">
        <f>+I85/$I$67</f>
        <v>0.35315745271724402</v>
      </c>
      <c r="J86" s="154">
        <f>+J85/$J$67</f>
        <v>0.34259265959833796</v>
      </c>
      <c r="K86" s="154">
        <f>+K85/$K$67</f>
        <v>0.33885845124792374</v>
      </c>
      <c r="L86" s="154">
        <f>+L85/$L$67</f>
        <v>0.34753876599241668</v>
      </c>
      <c r="M86" s="154">
        <f>+M85/$M$67</f>
        <v>0.32887665083795031</v>
      </c>
      <c r="N86" s="154">
        <f>+N85/$N$67</f>
        <v>0.30679395354169076</v>
      </c>
      <c r="O86" s="154">
        <f>+O85/$O$67</f>
        <v>0.30351573722952302</v>
      </c>
      <c r="P86" s="154">
        <f>P85/$P$67</f>
        <v>0.31941237622416602</v>
      </c>
      <c r="Q86" s="154">
        <f>+Q85/$Q$67</f>
        <v>0.31491489833189773</v>
      </c>
      <c r="R86" s="154">
        <f>+R85/$R$67</f>
        <v>0.30904451952788936</v>
      </c>
      <c r="S86" s="154">
        <f>+S85/$S$67</f>
        <v>0.31819098802554274</v>
      </c>
      <c r="T86" s="154">
        <f>+T85/T$67</f>
        <v>0.33068590331547065</v>
      </c>
      <c r="U86" s="154">
        <f t="shared" ref="U86:V86" si="63">+U85/U$67</f>
        <v>0.33875663658880983</v>
      </c>
      <c r="V86" s="154">
        <f t="shared" si="63"/>
        <v>0.32470754399403357</v>
      </c>
      <c r="W86" s="154">
        <f>+W85/W$67</f>
        <v>0.37664775087809049</v>
      </c>
      <c r="X86" s="154">
        <f>X85/X$67</f>
        <v>0.38465987711000049</v>
      </c>
      <c r="Y86" s="154">
        <f>Y85/Y$67</f>
        <v>0.38819956992536353</v>
      </c>
      <c r="Z86" s="154">
        <f t="shared" ref="Z86:AC86" si="64">+Z85/Z$67</f>
        <v>0.37907498541858492</v>
      </c>
      <c r="AA86" s="154">
        <f t="shared" si="64"/>
        <v>0.38221571801476056</v>
      </c>
      <c r="AB86" s="154">
        <f t="shared" si="64"/>
        <v>0.38492317512673391</v>
      </c>
      <c r="AC86" s="154">
        <f t="shared" si="64"/>
        <v>0.37633325339781137</v>
      </c>
      <c r="AD86" s="246"/>
    </row>
    <row r="87" spans="1:32" x14ac:dyDescent="0.25">
      <c r="A87" s="136"/>
      <c r="B87" s="135" t="s">
        <v>12</v>
      </c>
      <c r="C87" s="154">
        <v>1.0205141430092546E-2</v>
      </c>
      <c r="D87" s="154">
        <f>D85/C85-1</f>
        <v>3.1250214855197855E-2</v>
      </c>
      <c r="E87" s="154">
        <f t="shared" ref="E87:F87" si="65">E85/D85-1</f>
        <v>-2.2584038056881695E-2</v>
      </c>
      <c r="F87" s="154">
        <f t="shared" si="65"/>
        <v>-2.8332364302799951E-3</v>
      </c>
      <c r="G87" s="211" t="s">
        <v>13</v>
      </c>
      <c r="H87" s="154">
        <f>H85/F85-1</f>
        <v>3.3129643471420334E-2</v>
      </c>
      <c r="I87" s="154">
        <f>I85/H85-1</f>
        <v>7.3937388397962156E-3</v>
      </c>
      <c r="J87" s="154">
        <f>J85/I85-1</f>
        <v>1.4888391571103998E-3</v>
      </c>
      <c r="K87" s="154">
        <f>K85/J85-1</f>
        <v>1.0661174255658823E-2</v>
      </c>
      <c r="L87" s="211" t="s">
        <v>13</v>
      </c>
      <c r="M87" s="154">
        <f>M85/K85-1</f>
        <v>-7.0572742679034128E-2</v>
      </c>
      <c r="N87" s="154">
        <f>N85/M85-1</f>
        <v>-0.15632804311324755</v>
      </c>
      <c r="O87" s="154">
        <f>O85/N85-1</f>
        <v>7.1782712908277313E-2</v>
      </c>
      <c r="P87" s="154">
        <f>P85/O85-1</f>
        <v>8.7021163814795965E-2</v>
      </c>
      <c r="Q87" s="208" t="s">
        <v>13</v>
      </c>
      <c r="R87" s="154">
        <f>R85/P85-1</f>
        <v>1.5974237090754295E-2</v>
      </c>
      <c r="S87" s="154">
        <f>S85/R85-1</f>
        <v>8.3353221821046208E-2</v>
      </c>
      <c r="T87" s="154">
        <f>T85/S85-1</f>
        <v>9.6928921614469532E-2</v>
      </c>
      <c r="U87" s="154">
        <f>U85/T85-1</f>
        <v>4.2627111874271151E-2</v>
      </c>
      <c r="V87" s="208" t="s">
        <v>13</v>
      </c>
      <c r="W87" s="154">
        <f>W85/U85-1</f>
        <v>0.23872992192376419</v>
      </c>
      <c r="X87" s="154">
        <f>X85/W85-1</f>
        <v>7.579043039776745E-2</v>
      </c>
      <c r="Y87" s="154">
        <f>Y85/X85-1</f>
        <v>5.1600721315570031E-2</v>
      </c>
      <c r="Z87" s="154">
        <f>Z85/Y85-1</f>
        <v>1.2576831824650414E-2</v>
      </c>
      <c r="AA87" s="211" t="s">
        <v>13</v>
      </c>
      <c r="AB87" s="211">
        <f>AB85/Z85-1</f>
        <v>8.5723708759081418E-2</v>
      </c>
      <c r="AC87" s="211">
        <f>AC85/AB85-1</f>
        <v>-1.1693367025555013E-2</v>
      </c>
      <c r="AD87" s="246"/>
    </row>
    <row r="88" spans="1:32" x14ac:dyDescent="0.25">
      <c r="A88" s="136"/>
      <c r="B88" s="135" t="s">
        <v>14</v>
      </c>
      <c r="C88" s="154">
        <v>6.4510131661843939E-2</v>
      </c>
      <c r="D88" s="154">
        <v>4.3001169285445728E-2</v>
      </c>
      <c r="E88" s="154">
        <v>2.0919350050641494E-2</v>
      </c>
      <c r="F88" s="154">
        <v>1.5361865479404102E-2</v>
      </c>
      <c r="G88" s="154">
        <v>3.5583557080323125E-2</v>
      </c>
      <c r="H88" s="154">
        <v>3.840338863470838E-2</v>
      </c>
      <c r="I88" s="154">
        <v>1.4381434332614962E-2</v>
      </c>
      <c r="J88" s="154">
        <v>3.9364737928656801E-2</v>
      </c>
      <c r="K88" s="154">
        <v>5.3430203343772353E-2</v>
      </c>
      <c r="L88" s="154">
        <v>3.6255307511579682E-2</v>
      </c>
      <c r="M88" s="154">
        <f t="shared" ref="M88:T88" si="66">M85/H85-1</f>
        <v>-5.2309890767397782E-2</v>
      </c>
      <c r="N88" s="154">
        <f t="shared" si="66"/>
        <v>-0.20632862985697109</v>
      </c>
      <c r="O88" s="154">
        <f t="shared" si="66"/>
        <v>-0.15062133396767796</v>
      </c>
      <c r="P88" s="154">
        <f t="shared" si="66"/>
        <v>-8.6446962059357979E-2</v>
      </c>
      <c r="Q88" s="154">
        <f t="shared" si="66"/>
        <v>-0.12395401089558755</v>
      </c>
      <c r="R88" s="154">
        <f t="shared" si="66"/>
        <v>-1.3781676265588461E-3</v>
      </c>
      <c r="S88" s="154">
        <f t="shared" si="66"/>
        <v>0.28232326634962934</v>
      </c>
      <c r="T88" s="154">
        <f t="shared" si="66"/>
        <v>0.31240918590783462</v>
      </c>
      <c r="U88" s="154">
        <f t="shared" ref="U88" si="67">U85/P85-1</f>
        <v>0.25881026483260405</v>
      </c>
      <c r="V88" s="154">
        <f t="shared" ref="V88:Y88" si="68">V85/Q85-1</f>
        <v>0.20737787723209</v>
      </c>
      <c r="W88" s="154">
        <f t="shared" si="68"/>
        <v>0.53480854547853474</v>
      </c>
      <c r="X88" s="154">
        <f t="shared" si="68"/>
        <v>0.52409418503697114</v>
      </c>
      <c r="Y88" s="154">
        <f t="shared" si="68"/>
        <v>0.46111430992157687</v>
      </c>
      <c r="Z88" s="154">
        <f t="shared" ref="Z88" si="69">Z85/U85-1</f>
        <v>0.41900251971623437</v>
      </c>
      <c r="AA88" s="154">
        <f>AA85/V85-1</f>
        <v>0.48101050689351599</v>
      </c>
      <c r="AB88" s="154">
        <f>AB85/W85-1</f>
        <v>0.24372928366188962</v>
      </c>
      <c r="AC88" s="154">
        <f t="shared" ref="AC88" si="70">AC85/X85-1</f>
        <v>0.14258861757407137</v>
      </c>
      <c r="AD88" s="246"/>
    </row>
    <row r="89" spans="1:32" hidden="1" x14ac:dyDescent="0.25">
      <c r="A89" s="136"/>
      <c r="B89" s="126" t="s">
        <v>197</v>
      </c>
      <c r="C89" s="152"/>
      <c r="D89" s="152"/>
      <c r="E89" s="152"/>
      <c r="F89" s="152"/>
      <c r="G89" s="152"/>
      <c r="H89" s="152"/>
      <c r="I89" s="152"/>
      <c r="J89" s="152"/>
      <c r="K89" s="152"/>
      <c r="L89" s="152"/>
      <c r="M89" s="189"/>
      <c r="N89" s="189"/>
      <c r="O89" s="189"/>
      <c r="P89" s="189"/>
      <c r="Q89" s="189"/>
      <c r="R89" s="189"/>
      <c r="S89" s="189"/>
      <c r="T89" s="189"/>
      <c r="U89" s="189"/>
      <c r="V89" s="189"/>
      <c r="W89" s="189"/>
      <c r="X89" s="189"/>
      <c r="Y89" s="189"/>
      <c r="Z89" s="189"/>
      <c r="AA89" s="189"/>
      <c r="AB89" s="189"/>
      <c r="AC89" s="189"/>
      <c r="AD89" s="161"/>
    </row>
    <row r="90" spans="1:32" hidden="1" x14ac:dyDescent="0.25">
      <c r="B90" s="126"/>
      <c r="C90" s="153"/>
      <c r="D90" s="153"/>
      <c r="E90" s="153"/>
      <c r="F90" s="153"/>
      <c r="G90" s="153"/>
      <c r="H90" s="153"/>
      <c r="I90" s="153"/>
      <c r="J90" s="153"/>
      <c r="K90" s="153"/>
      <c r="L90" s="153"/>
      <c r="M90" s="154"/>
      <c r="N90" s="154"/>
      <c r="O90" s="154"/>
      <c r="P90" s="154"/>
      <c r="Q90" s="154"/>
      <c r="R90" s="154"/>
      <c r="S90" s="154"/>
      <c r="T90" s="154"/>
      <c r="U90" s="154"/>
      <c r="V90" s="154"/>
      <c r="W90" s="154"/>
      <c r="X90" s="154"/>
      <c r="Y90" s="154"/>
      <c r="Z90" s="154"/>
      <c r="AA90" s="154"/>
      <c r="AB90" s="154"/>
      <c r="AC90" s="154"/>
      <c r="AD90" s="248"/>
    </row>
    <row r="91" spans="1:32" hidden="1" x14ac:dyDescent="0.25">
      <c r="B91" s="126" t="s">
        <v>198</v>
      </c>
      <c r="C91" s="152"/>
      <c r="D91" s="152"/>
      <c r="E91" s="152"/>
      <c r="F91" s="152"/>
      <c r="G91" s="152"/>
      <c r="H91" s="152"/>
      <c r="I91" s="152"/>
      <c r="J91" s="152"/>
      <c r="K91" s="152"/>
      <c r="L91" s="152"/>
      <c r="M91" s="189"/>
      <c r="N91" s="189"/>
      <c r="O91" s="189"/>
      <c r="P91" s="189"/>
      <c r="Q91" s="189"/>
      <c r="R91" s="189"/>
      <c r="S91" s="189"/>
      <c r="T91" s="189"/>
      <c r="U91" s="189"/>
      <c r="V91" s="189"/>
      <c r="W91" s="189"/>
      <c r="X91" s="189"/>
      <c r="Y91" s="189"/>
      <c r="Z91" s="189"/>
      <c r="AA91" s="189"/>
      <c r="AB91" s="189"/>
      <c r="AC91" s="189"/>
      <c r="AD91" s="161"/>
    </row>
    <row r="92" spans="1:32" hidden="1" x14ac:dyDescent="0.25">
      <c r="B92" s="126"/>
      <c r="C92" s="153"/>
      <c r="D92" s="153"/>
      <c r="E92" s="153"/>
      <c r="F92" s="153"/>
      <c r="G92" s="153"/>
      <c r="H92" s="153"/>
      <c r="I92" s="153"/>
      <c r="J92" s="153"/>
      <c r="K92" s="153"/>
      <c r="L92" s="153"/>
      <c r="M92" s="154"/>
      <c r="N92" s="154"/>
      <c r="O92" s="154"/>
      <c r="P92" s="154"/>
      <c r="Q92" s="154"/>
      <c r="R92" s="154"/>
      <c r="S92" s="154"/>
      <c r="T92" s="154"/>
      <c r="U92" s="154"/>
      <c r="V92" s="154"/>
      <c r="W92" s="154"/>
      <c r="X92" s="154"/>
      <c r="Y92" s="154"/>
      <c r="Z92" s="154"/>
      <c r="AA92" s="154"/>
      <c r="AB92" s="154"/>
      <c r="AC92" s="154"/>
      <c r="AD92" s="248"/>
    </row>
    <row r="93" spans="1:32" hidden="1" x14ac:dyDescent="0.25">
      <c r="B93" s="126" t="s">
        <v>187</v>
      </c>
      <c r="C93" s="152"/>
      <c r="D93" s="152"/>
      <c r="E93" s="152"/>
      <c r="F93" s="152"/>
      <c r="G93" s="152"/>
      <c r="H93" s="152"/>
      <c r="I93" s="152"/>
      <c r="J93" s="152"/>
      <c r="K93" s="152"/>
      <c r="L93" s="152"/>
      <c r="M93" s="189"/>
      <c r="N93" s="189"/>
      <c r="O93" s="189"/>
      <c r="P93" s="189"/>
      <c r="Q93" s="189"/>
      <c r="R93" s="189"/>
      <c r="S93" s="189"/>
      <c r="T93" s="189"/>
      <c r="U93" s="189"/>
      <c r="V93" s="189"/>
      <c r="W93" s="189"/>
      <c r="X93" s="189"/>
      <c r="Y93" s="189"/>
      <c r="Z93" s="189"/>
      <c r="AA93" s="189"/>
      <c r="AB93" s="189"/>
      <c r="AC93" s="189"/>
      <c r="AD93" s="161"/>
    </row>
    <row r="94" spans="1:32" hidden="1" x14ac:dyDescent="0.25">
      <c r="B94" s="126"/>
      <c r="C94" s="153"/>
      <c r="D94" s="153"/>
      <c r="E94" s="153"/>
      <c r="F94" s="153"/>
      <c r="G94" s="153"/>
      <c r="H94" s="153"/>
      <c r="I94" s="153"/>
      <c r="J94" s="153"/>
      <c r="K94" s="153"/>
      <c r="L94" s="153"/>
      <c r="M94" s="154"/>
      <c r="N94" s="154"/>
      <c r="O94" s="154"/>
      <c r="P94" s="154"/>
      <c r="Q94" s="154"/>
      <c r="R94" s="154"/>
      <c r="S94" s="154"/>
      <c r="T94" s="154"/>
      <c r="U94" s="154"/>
      <c r="V94" s="154"/>
      <c r="W94" s="154"/>
      <c r="X94" s="154"/>
      <c r="Y94" s="154"/>
      <c r="Z94" s="154"/>
      <c r="AA94" s="154"/>
      <c r="AB94" s="154"/>
      <c r="AC94" s="154"/>
      <c r="AD94" s="248"/>
    </row>
    <row r="95" spans="1:32" hidden="1" x14ac:dyDescent="0.25">
      <c r="B95" s="126" t="s">
        <v>199</v>
      </c>
      <c r="C95" s="152"/>
      <c r="D95" s="152"/>
      <c r="E95" s="152"/>
      <c r="F95" s="152"/>
      <c r="G95" s="152"/>
      <c r="H95" s="152"/>
      <c r="I95" s="152"/>
      <c r="J95" s="152"/>
      <c r="K95" s="152"/>
      <c r="L95" s="152"/>
      <c r="M95" s="189"/>
      <c r="N95" s="189"/>
      <c r="O95" s="189"/>
      <c r="P95" s="189"/>
      <c r="Q95" s="189"/>
      <c r="R95" s="189"/>
      <c r="S95" s="189"/>
      <c r="T95" s="189"/>
      <c r="U95" s="189"/>
      <c r="V95" s="189"/>
      <c r="W95" s="189"/>
      <c r="X95" s="189"/>
      <c r="Y95" s="189"/>
      <c r="Z95" s="189"/>
      <c r="AA95" s="189"/>
      <c r="AB95" s="189"/>
      <c r="AC95" s="189"/>
      <c r="AD95" s="161"/>
    </row>
    <row r="96" spans="1:32" hidden="1" x14ac:dyDescent="0.25">
      <c r="B96" s="126"/>
      <c r="C96" s="153"/>
      <c r="D96" s="153"/>
      <c r="E96" s="153"/>
      <c r="F96" s="153"/>
      <c r="G96" s="153"/>
      <c r="H96" s="153"/>
      <c r="I96" s="153"/>
      <c r="J96" s="153"/>
      <c r="K96" s="153"/>
      <c r="L96" s="153"/>
      <c r="M96" s="154"/>
      <c r="N96" s="154"/>
      <c r="O96" s="154"/>
      <c r="P96" s="154"/>
      <c r="Q96" s="154"/>
      <c r="R96" s="154"/>
      <c r="S96" s="154"/>
      <c r="T96" s="154"/>
      <c r="U96" s="154"/>
      <c r="V96" s="154"/>
      <c r="W96" s="154"/>
      <c r="X96" s="154"/>
      <c r="Y96" s="154"/>
      <c r="Z96" s="154"/>
      <c r="AA96" s="154"/>
      <c r="AB96" s="154"/>
      <c r="AC96" s="154"/>
      <c r="AD96" s="248"/>
    </row>
    <row r="97" spans="1:30" x14ac:dyDescent="0.25">
      <c r="B97" s="126"/>
      <c r="C97" s="120"/>
      <c r="D97" s="120"/>
      <c r="E97" s="120"/>
      <c r="F97" s="120"/>
      <c r="G97" s="120"/>
      <c r="H97" s="197"/>
      <c r="AD97" s="161"/>
    </row>
    <row r="98" spans="1:30" x14ac:dyDescent="0.25">
      <c r="A98" s="123"/>
      <c r="B98" s="124" t="s">
        <v>200</v>
      </c>
      <c r="C98" s="125"/>
      <c r="D98" s="125"/>
      <c r="E98" s="125"/>
      <c r="F98" s="125"/>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61"/>
    </row>
    <row r="99" spans="1:30" x14ac:dyDescent="0.25">
      <c r="B99" s="126" t="s">
        <v>201</v>
      </c>
      <c r="C99" s="205">
        <v>0.82715136756968299</v>
      </c>
      <c r="D99" s="205">
        <v>0.82854382424611639</v>
      </c>
      <c r="E99" s="205">
        <v>0.82929942368598675</v>
      </c>
      <c r="F99" s="205">
        <v>0.82836862801966649</v>
      </c>
      <c r="G99" s="205">
        <v>0.82955389576860017</v>
      </c>
      <c r="H99" s="205">
        <v>0.81855634816945144</v>
      </c>
      <c r="I99" s="205">
        <v>0.81270507455576591</v>
      </c>
      <c r="J99" s="205">
        <v>0.83038839740325865</v>
      </c>
      <c r="K99" s="205">
        <v>0.83745990220810362</v>
      </c>
      <c r="L99" s="205">
        <v>0.8250177032035233</v>
      </c>
      <c r="M99" s="215">
        <v>0.84507458179113126</v>
      </c>
      <c r="N99" s="215">
        <v>0.84968513033042214</v>
      </c>
      <c r="O99" s="215">
        <v>0.84610925274915805</v>
      </c>
      <c r="P99" s="215">
        <v>0.85892786847547209</v>
      </c>
      <c r="Q99" s="215">
        <v>0.85000351799429719</v>
      </c>
      <c r="R99" s="215">
        <v>0.85828202509147322</v>
      </c>
      <c r="S99" s="215">
        <v>0.85539427073740448</v>
      </c>
      <c r="T99" s="215">
        <v>0.86016039054776272</v>
      </c>
      <c r="U99" s="215">
        <v>0.86123715176185733</v>
      </c>
      <c r="V99" s="215">
        <v>0.85900829818951019</v>
      </c>
      <c r="W99" s="215">
        <v>0.85775195649255742</v>
      </c>
      <c r="X99" s="215">
        <v>0.86082951267316399</v>
      </c>
      <c r="Y99" s="215">
        <v>0.85969496377656596</v>
      </c>
      <c r="Z99" s="215">
        <v>0.85915004044672627</v>
      </c>
      <c r="AA99" s="215">
        <v>0.8593761950760741</v>
      </c>
      <c r="AB99" s="215">
        <v>0.84632203732500011</v>
      </c>
      <c r="AC99" s="215">
        <v>0.84118114746812311</v>
      </c>
      <c r="AD99" s="246"/>
    </row>
    <row r="100" spans="1:30" x14ac:dyDescent="0.25">
      <c r="B100" s="126" t="s">
        <v>202</v>
      </c>
      <c r="C100" s="205">
        <v>0.13536065090615684</v>
      </c>
      <c r="D100" s="205">
        <v>0.13078738958269875</v>
      </c>
      <c r="E100" s="205">
        <v>0.12937211193991105</v>
      </c>
      <c r="F100" s="205">
        <v>0.13174300264266617</v>
      </c>
      <c r="G100" s="205">
        <v>0.12967211406933662</v>
      </c>
      <c r="H100" s="205">
        <v>0.12147028254436018</v>
      </c>
      <c r="I100" s="205">
        <v>0.12383525865573757</v>
      </c>
      <c r="J100" s="205">
        <v>0.11091840631364562</v>
      </c>
      <c r="K100" s="205">
        <v>0.10081285620853966</v>
      </c>
      <c r="L100" s="205">
        <v>0.114022752903628</v>
      </c>
      <c r="M100" s="215">
        <v>9.4629318894951228E-2</v>
      </c>
      <c r="N100" s="215">
        <v>8.4639484341920146E-2</v>
      </c>
      <c r="O100" s="215">
        <v>9.5027448940333908E-2</v>
      </c>
      <c r="P100" s="215">
        <v>9.4985781730874436E-2</v>
      </c>
      <c r="Q100" s="215">
        <v>9.2503463849838291E-2</v>
      </c>
      <c r="R100" s="215">
        <v>9.4679987238737287E-2</v>
      </c>
      <c r="S100" s="215">
        <v>9.5157845905182364E-2</v>
      </c>
      <c r="T100" s="215">
        <v>9.4491814778412342E-2</v>
      </c>
      <c r="U100" s="215">
        <v>9.3090449127121971E-2</v>
      </c>
      <c r="V100" s="215">
        <v>9.4212473926149412E-2</v>
      </c>
      <c r="W100" s="215">
        <v>9.9550595682622325E-2</v>
      </c>
      <c r="X100" s="215">
        <v>9.2536940797546763E-2</v>
      </c>
      <c r="Y100" s="215">
        <v>9.4454488940220349E-2</v>
      </c>
      <c r="Z100" s="215">
        <v>9.5104275923194911E-2</v>
      </c>
      <c r="AA100" s="215">
        <v>9.5344054434564368E-2</v>
      </c>
      <c r="AB100" s="215">
        <v>0.10376819263034671</v>
      </c>
      <c r="AC100" s="215">
        <v>0.107773903939792</v>
      </c>
      <c r="AD100" s="246"/>
    </row>
    <row r="101" spans="1:30" x14ac:dyDescent="0.25">
      <c r="B101" s="126" t="s">
        <v>203</v>
      </c>
      <c r="C101" s="205">
        <v>3.7999999999999999E-2</v>
      </c>
      <c r="D101" s="205">
        <v>0.04</v>
      </c>
      <c r="E101" s="205">
        <v>4.2000000000000003E-2</v>
      </c>
      <c r="F101" s="205">
        <v>3.9888369337667325E-2</v>
      </c>
      <c r="G101" s="205">
        <v>0.04</v>
      </c>
      <c r="H101" s="205">
        <v>5.9973369286188342E-2</v>
      </c>
      <c r="I101" s="205">
        <v>6.345966678849653E-2</v>
      </c>
      <c r="J101" s="205">
        <v>5.8693196283095724E-2</v>
      </c>
      <c r="K101" s="205">
        <v>6.1727241583356691E-2</v>
      </c>
      <c r="L101" s="205">
        <v>6.095954389284871E-2</v>
      </c>
      <c r="M101" s="215">
        <v>6.0296099313917398E-2</v>
      </c>
      <c r="N101" s="215">
        <v>6.5000000000000002E-2</v>
      </c>
      <c r="O101" s="215">
        <v>5.8863298310508079E-2</v>
      </c>
      <c r="P101" s="215">
        <v>4.6086349793653482E-2</v>
      </c>
      <c r="Q101" s="215">
        <v>5.749301815586453E-2</v>
      </c>
      <c r="R101" s="215">
        <v>4.7037987669789338E-2</v>
      </c>
      <c r="S101" s="215">
        <v>5.0447883357413167E-2</v>
      </c>
      <c r="T101" s="215">
        <v>4.5347794673824958E-2</v>
      </c>
      <c r="U101" s="215">
        <v>4.5672399111020612E-2</v>
      </c>
      <c r="V101" s="215">
        <v>4.6779227884340364E-2</v>
      </c>
      <c r="W101" s="215">
        <v>4.2697447824820427E-2</v>
      </c>
      <c r="X101" s="215">
        <v>4.6633546529289263E-2</v>
      </c>
      <c r="Y101" s="215">
        <v>4.5850547283213784E-2</v>
      </c>
      <c r="Z101" s="215">
        <v>4.5745683630078825E-2</v>
      </c>
      <c r="AA101" s="215">
        <v>4.5279750489361524E-2</v>
      </c>
      <c r="AB101" s="215">
        <v>4.9909770044653218E-2</v>
      </c>
      <c r="AC101" s="215">
        <v>5.104494859208486E-2</v>
      </c>
      <c r="AD101" s="246"/>
    </row>
    <row r="102" spans="1:30" x14ac:dyDescent="0.25">
      <c r="B102" s="119"/>
    </row>
    <row r="104" spans="1:30" x14ac:dyDescent="0.25">
      <c r="B104" s="119" t="s">
        <v>204</v>
      </c>
    </row>
    <row r="105" spans="1:30" x14ac:dyDescent="0.25">
      <c r="B105" s="119" t="s">
        <v>205</v>
      </c>
    </row>
    <row r="107" spans="1:30" x14ac:dyDescent="0.25">
      <c r="M107" s="206"/>
      <c r="N107" s="206"/>
      <c r="O107" s="206"/>
      <c r="P107" s="206"/>
      <c r="Q107" s="206"/>
      <c r="R107" s="206"/>
      <c r="S107" s="206"/>
      <c r="T107" s="206"/>
      <c r="U107" s="206"/>
      <c r="V107" s="206"/>
      <c r="W107" s="206"/>
      <c r="X107" s="206"/>
      <c r="Y107" s="206"/>
      <c r="Z107" s="206"/>
      <c r="AA107" s="206"/>
      <c r="AB107" s="206"/>
      <c r="AC107" s="206"/>
    </row>
    <row r="108" spans="1:30" x14ac:dyDescent="0.25">
      <c r="C108" s="168"/>
      <c r="D108" s="168"/>
      <c r="E108" s="168"/>
      <c r="F108" s="168"/>
      <c r="G108" s="168"/>
      <c r="H108" s="168"/>
      <c r="I108" s="168"/>
      <c r="J108" s="168"/>
      <c r="K108" s="168"/>
      <c r="L108" s="168"/>
      <c r="M108" s="168"/>
      <c r="N108" s="168"/>
      <c r="O108" s="168"/>
      <c r="P108" s="168"/>
      <c r="Q108" s="168"/>
      <c r="R108" s="168"/>
      <c r="S108" s="168"/>
      <c r="T108" s="168"/>
      <c r="U108" s="168"/>
      <c r="V108" s="168"/>
      <c r="W108" s="168"/>
      <c r="X108" s="168"/>
      <c r="Y108" s="168"/>
      <c r="Z108" s="168"/>
      <c r="AA108" s="168"/>
      <c r="AB108" s="168"/>
      <c r="AC108" s="168"/>
    </row>
    <row r="109" spans="1:30" x14ac:dyDescent="0.25">
      <c r="G109" s="246"/>
      <c r="H109" s="246"/>
      <c r="I109" s="246"/>
      <c r="J109" s="246"/>
      <c r="K109" s="246"/>
      <c r="L109" s="246"/>
      <c r="M109" s="246"/>
      <c r="N109" s="246"/>
      <c r="O109" s="246"/>
      <c r="P109" s="246"/>
      <c r="Q109" s="246"/>
      <c r="R109" s="246"/>
      <c r="S109" s="246"/>
      <c r="T109" s="246"/>
      <c r="U109" s="246"/>
      <c r="V109" s="246"/>
      <c r="W109" s="246"/>
      <c r="X109" s="246"/>
      <c r="Y109" s="246"/>
      <c r="Z109" s="246"/>
      <c r="AA109" s="246"/>
      <c r="AB109" s="246"/>
      <c r="AC109" s="246"/>
    </row>
  </sheetData>
  <mergeCells count="8">
    <mergeCell ref="A5:B5"/>
    <mergeCell ref="A6:B6"/>
    <mergeCell ref="AB2:AC2"/>
    <mergeCell ref="W2:AA2"/>
    <mergeCell ref="C2:G2"/>
    <mergeCell ref="R2:V2"/>
    <mergeCell ref="M2:Q2"/>
    <mergeCell ref="H2:L2"/>
  </mergeCells>
  <pageMargins left="0.7" right="0.7" top="0.35" bottom="1.25" header="0.55000000000000004" footer="0.3"/>
  <pageSetup paperSize="9" scale="3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X30"/>
  <sheetViews>
    <sheetView showGridLines="0" view="pageBreakPreview" zoomScale="90" zoomScaleNormal="85" zoomScaleSheetLayoutView="90" workbookViewId="0">
      <pane xSplit="2" ySplit="4" topLeftCell="N5" activePane="bottomRight" state="frozen"/>
      <selection pane="topRight" activeCell="I106" sqref="I106"/>
      <selection pane="bottomLeft" activeCell="I106" sqref="I106"/>
      <selection pane="bottomRight" activeCell="AC3" sqref="AC3"/>
    </sheetView>
  </sheetViews>
  <sheetFormatPr baseColWidth="10" defaultColWidth="9.1640625" defaultRowHeight="13" outlineLevelCol="1" x14ac:dyDescent="0.15"/>
  <cols>
    <col min="1" max="1" width="2.5" style="6" customWidth="1"/>
    <col min="2" max="2" width="32.83203125" style="2" bestFit="1" customWidth="1"/>
    <col min="3" max="6" width="9.1640625" style="2" hidden="1" customWidth="1" outlineLevel="1"/>
    <col min="7" max="7" width="9.1640625" style="2" customWidth="1" collapsed="1"/>
    <col min="8" max="11" width="9.1640625" style="2" hidden="1" customWidth="1" outlineLevel="1"/>
    <col min="12" max="12" width="9.1640625" style="2" customWidth="1" collapsed="1"/>
    <col min="13" max="16" width="9.1640625" style="2" customWidth="1"/>
    <col min="17" max="20" width="9.1640625" style="2"/>
    <col min="21" max="21" width="11.6640625" style="2" customWidth="1"/>
    <col min="22" max="22" width="9.1640625" style="2"/>
    <col min="23" max="26" width="11.6640625" style="2" customWidth="1"/>
    <col min="27" max="29" width="9.1640625" style="2"/>
    <col min="30" max="30" width="9.1640625" style="2" customWidth="1"/>
    <col min="31" max="31" width="9.1640625" style="2"/>
    <col min="32" max="33" width="9.1640625" style="2" customWidth="1"/>
    <col min="34" max="16384" width="9.1640625" style="2"/>
  </cols>
  <sheetData>
    <row r="1" spans="1:206" ht="16" x14ac:dyDescent="0.2">
      <c r="AA1" s="251"/>
      <c r="AB1" s="251"/>
      <c r="AC1" s="251"/>
      <c r="AF1" s="212"/>
      <c r="AH1" s="266"/>
    </row>
    <row r="3" spans="1:206" ht="23.25" customHeight="1" x14ac:dyDescent="0.15">
      <c r="C3" s="116">
        <v>2018</v>
      </c>
      <c r="D3" s="116">
        <v>2018</v>
      </c>
      <c r="E3" s="116">
        <v>2018</v>
      </c>
      <c r="F3" s="116">
        <v>2018</v>
      </c>
      <c r="G3" s="116">
        <v>2018</v>
      </c>
      <c r="H3" s="116">
        <v>2019</v>
      </c>
      <c r="I3" s="116">
        <v>2019</v>
      </c>
      <c r="J3" s="116">
        <v>2019</v>
      </c>
      <c r="K3" s="116">
        <v>2019</v>
      </c>
      <c r="L3" s="116">
        <v>2019</v>
      </c>
      <c r="M3" s="116">
        <v>2020</v>
      </c>
      <c r="N3" s="116">
        <v>2020</v>
      </c>
      <c r="O3" s="116">
        <v>2020</v>
      </c>
      <c r="P3" s="116">
        <v>2020</v>
      </c>
      <c r="Q3" s="116">
        <v>2020</v>
      </c>
      <c r="R3" s="116">
        <v>2021</v>
      </c>
      <c r="S3" s="116">
        <v>2021</v>
      </c>
      <c r="T3" s="116">
        <v>2021</v>
      </c>
      <c r="U3" s="116">
        <v>2021</v>
      </c>
      <c r="V3" s="116">
        <v>2021</v>
      </c>
      <c r="W3" s="116">
        <v>2022</v>
      </c>
      <c r="X3" s="116">
        <v>2022</v>
      </c>
      <c r="Y3" s="116">
        <v>2022</v>
      </c>
      <c r="Z3" s="116">
        <v>2022</v>
      </c>
      <c r="AA3" s="116">
        <v>2022</v>
      </c>
      <c r="AB3" s="116">
        <v>2023</v>
      </c>
      <c r="AC3" s="116">
        <v>2023</v>
      </c>
    </row>
    <row r="4" spans="1:206" ht="15.75" customHeight="1" x14ac:dyDescent="0.2">
      <c r="C4" s="116" t="s">
        <v>6</v>
      </c>
      <c r="D4" s="116" t="s">
        <v>7</v>
      </c>
      <c r="E4" s="116" t="s">
        <v>8</v>
      </c>
      <c r="F4" s="116" t="s">
        <v>9</v>
      </c>
      <c r="G4" s="116" t="s">
        <v>10</v>
      </c>
      <c r="H4" s="116" t="s">
        <v>6</v>
      </c>
      <c r="I4" s="116" t="s">
        <v>7</v>
      </c>
      <c r="J4" s="116" t="s">
        <v>8</v>
      </c>
      <c r="K4" s="116" t="s">
        <v>9</v>
      </c>
      <c r="L4" s="116" t="s">
        <v>10</v>
      </c>
      <c r="M4" s="116" t="s">
        <v>6</v>
      </c>
      <c r="N4" s="116" t="s">
        <v>7</v>
      </c>
      <c r="O4" s="116" t="s">
        <v>8</v>
      </c>
      <c r="P4" s="116" t="s">
        <v>9</v>
      </c>
      <c r="Q4" s="116" t="s">
        <v>10</v>
      </c>
      <c r="R4" s="116" t="s">
        <v>6</v>
      </c>
      <c r="S4" s="116" t="s">
        <v>7</v>
      </c>
      <c r="T4" s="116" t="s">
        <v>8</v>
      </c>
      <c r="U4" s="116" t="s">
        <v>9</v>
      </c>
      <c r="V4" s="116" t="s">
        <v>10</v>
      </c>
      <c r="W4" s="116" t="s">
        <v>6</v>
      </c>
      <c r="X4" s="116" t="s">
        <v>7</v>
      </c>
      <c r="Y4" s="116" t="s">
        <v>8</v>
      </c>
      <c r="Z4" s="116" t="s">
        <v>9</v>
      </c>
      <c r="AA4" s="116" t="s">
        <v>10</v>
      </c>
      <c r="AB4" s="116" t="s">
        <v>6</v>
      </c>
      <c r="AC4" s="116" t="s">
        <v>7</v>
      </c>
      <c r="AD4" s="239"/>
    </row>
    <row r="6" spans="1:206" s="60" customFormat="1" x14ac:dyDescent="0.15">
      <c r="A6" s="67"/>
      <c r="B6" s="60" t="s">
        <v>206</v>
      </c>
      <c r="C6" s="65">
        <v>27095</v>
      </c>
      <c r="D6" s="65">
        <v>27094</v>
      </c>
      <c r="E6" s="65">
        <v>28812</v>
      </c>
      <c r="F6" s="65">
        <v>29152</v>
      </c>
      <c r="G6" s="65">
        <v>29152</v>
      </c>
      <c r="H6" s="65">
        <v>29122</v>
      </c>
      <c r="I6" s="65">
        <v>30019</v>
      </c>
      <c r="J6" s="65">
        <v>31496</v>
      </c>
      <c r="K6" s="65">
        <v>31728</v>
      </c>
      <c r="L6" s="65">
        <f>K6</f>
        <v>31728</v>
      </c>
      <c r="M6" s="65">
        <v>32780</v>
      </c>
      <c r="N6" s="65">
        <v>31622</v>
      </c>
      <c r="O6" s="65">
        <v>31816</v>
      </c>
      <c r="P6" s="65">
        <v>31936</v>
      </c>
      <c r="Q6" s="65">
        <f>P6</f>
        <v>31936</v>
      </c>
      <c r="R6" s="65">
        <v>31631</v>
      </c>
      <c r="S6" s="65">
        <v>32994</v>
      </c>
      <c r="T6" s="65">
        <v>34548</v>
      </c>
      <c r="U6" s="65">
        <v>37431</v>
      </c>
      <c r="V6" s="65">
        <f>U6</f>
        <v>37431</v>
      </c>
      <c r="W6" s="65">
        <v>39110</v>
      </c>
      <c r="X6" s="65">
        <v>40617</v>
      </c>
      <c r="Y6" s="65">
        <v>43111</v>
      </c>
      <c r="Z6" s="65">
        <v>45420</v>
      </c>
      <c r="AA6" s="65">
        <f>Z6</f>
        <v>45420</v>
      </c>
      <c r="AB6" s="65">
        <v>47796</v>
      </c>
      <c r="AC6" s="65">
        <v>48831</v>
      </c>
      <c r="AD6" s="187"/>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row>
    <row r="7" spans="1:206" s="1" customFormat="1" x14ac:dyDescent="0.15">
      <c r="A7" s="3"/>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row>
    <row r="8" spans="1:206" s="61" customFormat="1" x14ac:dyDescent="0.15">
      <c r="A8" s="67"/>
      <c r="B8" s="60" t="s">
        <v>207</v>
      </c>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row>
    <row r="9" spans="1:206" x14ac:dyDescent="0.15">
      <c r="A9" s="3"/>
      <c r="B9" s="66" t="s">
        <v>208</v>
      </c>
      <c r="C9" s="155">
        <v>8.0392074175461611E-2</v>
      </c>
      <c r="D9" s="155">
        <v>8.3199807659539757E-2</v>
      </c>
      <c r="E9" s="155">
        <v>7.85834865138509E-2</v>
      </c>
      <c r="F9" s="75">
        <v>8.6041315523410405E-2</v>
      </c>
      <c r="G9" s="155">
        <v>8.2089428257938343E-2</v>
      </c>
      <c r="H9" s="75">
        <v>7.9081549855751734E-2</v>
      </c>
      <c r="I9" s="75">
        <v>8.4175051580166541E-2</v>
      </c>
      <c r="J9" s="75">
        <v>7.5242799743906075E-2</v>
      </c>
      <c r="K9" s="75">
        <v>8.1402448811873057E-2</v>
      </c>
      <c r="L9" s="75">
        <v>7.996062015913441E-2</v>
      </c>
      <c r="M9" s="75">
        <v>8.0666291683971769E-2</v>
      </c>
      <c r="N9" s="75">
        <v>8.9891554169399771E-2</v>
      </c>
      <c r="O9" s="201">
        <v>8.4717007371973033E-2</v>
      </c>
      <c r="P9" s="201">
        <v>8.7893571549537419E-2</v>
      </c>
      <c r="Q9" s="201">
        <v>8.2128349430730371E-2</v>
      </c>
      <c r="R9" s="201">
        <v>8.2573813172722055E-2</v>
      </c>
      <c r="S9" s="201">
        <v>7.2942283209148681E-2</v>
      </c>
      <c r="T9" s="201">
        <v>7.7332515560155815E-2</v>
      </c>
      <c r="U9" s="201">
        <v>8.0701826775208776E-2</v>
      </c>
      <c r="V9" s="201">
        <v>7.6672052583416167E-2</v>
      </c>
      <c r="W9" s="201">
        <v>8.0545732206175391E-2</v>
      </c>
      <c r="X9" s="201">
        <v>7.373476496833492E-2</v>
      </c>
      <c r="Y9" s="201">
        <v>6.6654494331300676E-2</v>
      </c>
      <c r="Z9" s="201">
        <v>6.7503964859730203E-2</v>
      </c>
      <c r="AA9" s="201">
        <v>7.185738820838046E-2</v>
      </c>
      <c r="AB9" s="201">
        <v>7.0908437780770286E-2</v>
      </c>
      <c r="AC9" s="201">
        <v>6.9615094398895447E-2</v>
      </c>
      <c r="AD9" s="187"/>
    </row>
    <row r="10" spans="1:206" x14ac:dyDescent="0.15">
      <c r="A10" s="3"/>
      <c r="B10" s="66" t="s">
        <v>209</v>
      </c>
      <c r="C10" s="155">
        <v>0.16875311796250148</v>
      </c>
      <c r="D10" s="155">
        <v>0.17246104394198541</v>
      </c>
      <c r="E10" s="155">
        <v>0.15646660865059261</v>
      </c>
      <c r="F10" s="75">
        <v>0.16347290863176006</v>
      </c>
      <c r="G10" s="155">
        <v>0.16387840170410725</v>
      </c>
      <c r="H10" s="75">
        <v>0.15658657950420171</v>
      </c>
      <c r="I10" s="75">
        <v>0.15782506406378663</v>
      </c>
      <c r="J10" s="75">
        <v>0.14878314416660995</v>
      </c>
      <c r="K10" s="75">
        <v>0.16350984859168816</v>
      </c>
      <c r="L10" s="75">
        <v>0.15225578197830744</v>
      </c>
      <c r="M10" s="75">
        <v>0.17756147197119954</v>
      </c>
      <c r="N10" s="75">
        <v>0.1974545126171123</v>
      </c>
      <c r="O10" s="201">
        <v>0.19667141217386097</v>
      </c>
      <c r="P10" s="201">
        <v>0.20412117815548159</v>
      </c>
      <c r="Q10" s="201">
        <v>0.19182918602069332</v>
      </c>
      <c r="R10" s="201">
        <v>0.19682799792728145</v>
      </c>
      <c r="S10" s="201">
        <v>0.18612988897315338</v>
      </c>
      <c r="T10" s="201">
        <v>0.1837367368366993</v>
      </c>
      <c r="U10" s="201">
        <v>0.18387836907072522</v>
      </c>
      <c r="V10" s="201">
        <v>0.18740996099057888</v>
      </c>
      <c r="W10" s="201">
        <v>0.17278516058807039</v>
      </c>
      <c r="X10" s="201">
        <v>0.16869183068986821</v>
      </c>
      <c r="Y10" s="201">
        <v>0.15346954938992724</v>
      </c>
      <c r="Z10" s="201">
        <v>0.15854227778015331</v>
      </c>
      <c r="AA10" s="201">
        <v>0.16305737552960911</v>
      </c>
      <c r="AB10" s="201">
        <v>0.15588143026561296</v>
      </c>
      <c r="AC10" s="201">
        <v>0.16250070580575421</v>
      </c>
      <c r="AD10" s="187"/>
    </row>
    <row r="11" spans="1:206" x14ac:dyDescent="0.15">
      <c r="A11" s="3"/>
      <c r="B11" s="66" t="s">
        <v>210</v>
      </c>
      <c r="C11" s="155">
        <v>0.24735224929156971</v>
      </c>
      <c r="D11" s="155">
        <v>0.24907263736585927</v>
      </c>
      <c r="E11" s="155">
        <v>0.22620406291789719</v>
      </c>
      <c r="F11" s="75">
        <v>0.23435108111157243</v>
      </c>
      <c r="G11" s="155">
        <v>0.23670661738731769</v>
      </c>
      <c r="H11" s="75">
        <v>0.22627728301993461</v>
      </c>
      <c r="I11" s="75">
        <v>0.22404913040086827</v>
      </c>
      <c r="J11" s="75">
        <v>0.21674863331481722</v>
      </c>
      <c r="K11" s="75">
        <v>0.22833874714387031</v>
      </c>
      <c r="L11" s="75">
        <v>0.21954984667495586</v>
      </c>
      <c r="M11" s="75">
        <v>0.24349506187494788</v>
      </c>
      <c r="N11" s="75">
        <v>0.26353252217925593</v>
      </c>
      <c r="O11" s="201">
        <v>0.25893702285417286</v>
      </c>
      <c r="P11" s="201">
        <v>0.26637160193390208</v>
      </c>
      <c r="Q11" s="201">
        <v>0.25396202207835289</v>
      </c>
      <c r="R11" s="201">
        <v>0.26503966246249155</v>
      </c>
      <c r="S11" s="201">
        <v>0.24937191673295264</v>
      </c>
      <c r="T11" s="201">
        <v>0.25311726064773865</v>
      </c>
      <c r="U11" s="201">
        <v>0.24958701817168855</v>
      </c>
      <c r="V11" s="201">
        <v>0.2520823855353348</v>
      </c>
      <c r="W11" s="201">
        <v>0.24162594438343749</v>
      </c>
      <c r="X11" s="201">
        <v>0.23810419909738464</v>
      </c>
      <c r="Y11" s="201">
        <v>0.22274688856274488</v>
      </c>
      <c r="Z11" s="201">
        <v>0.22632745544697888</v>
      </c>
      <c r="AA11" s="201">
        <v>0.22868386638633081</v>
      </c>
      <c r="AB11" s="201">
        <v>0.22440770703796106</v>
      </c>
      <c r="AC11" s="201">
        <v>0.22723109463880042</v>
      </c>
      <c r="AD11" s="187"/>
    </row>
    <row r="12" spans="1:206" x14ac:dyDescent="0.15">
      <c r="A12" s="3"/>
      <c r="B12" s="66" t="s">
        <v>211</v>
      </c>
      <c r="C12" s="155">
        <v>0.39566771616851942</v>
      </c>
      <c r="D12" s="155">
        <v>0.38953687892037764</v>
      </c>
      <c r="E12" s="155">
        <v>0.36698213657314627</v>
      </c>
      <c r="F12" s="75">
        <v>0.37112622445702192</v>
      </c>
      <c r="G12" s="155">
        <v>0.372235222510376</v>
      </c>
      <c r="H12" s="75">
        <v>0.36560196961153252</v>
      </c>
      <c r="I12" s="75">
        <v>0.36501842011120145</v>
      </c>
      <c r="J12" s="75">
        <v>0.35706193682575654</v>
      </c>
      <c r="K12" s="159">
        <v>0.36199840679369394</v>
      </c>
      <c r="L12" s="204">
        <v>0.36146546649661448</v>
      </c>
      <c r="M12" s="75">
        <v>0.37293535284921092</v>
      </c>
      <c r="N12" s="75">
        <v>0.38745042926556528</v>
      </c>
      <c r="O12" s="201">
        <v>0.38677134006324027</v>
      </c>
      <c r="P12" s="201">
        <v>0.37850956690687021</v>
      </c>
      <c r="Q12" s="201">
        <v>0.37386473773063189</v>
      </c>
      <c r="R12" s="201">
        <v>0.39280543210797381</v>
      </c>
      <c r="S12" s="201">
        <v>0.37829173543400607</v>
      </c>
      <c r="T12" s="201">
        <v>0.38651250204940735</v>
      </c>
      <c r="U12" s="201">
        <v>0.37369405006205575</v>
      </c>
      <c r="V12" s="201">
        <v>0.38120342608068464</v>
      </c>
      <c r="W12" s="201">
        <v>0.362362235076923</v>
      </c>
      <c r="X12" s="201">
        <v>0.36212131172504652</v>
      </c>
      <c r="Y12" s="201">
        <v>0.34187408577290018</v>
      </c>
      <c r="Z12" s="201">
        <v>0.3380918081110692</v>
      </c>
      <c r="AA12" s="201">
        <v>0.34901761710985973</v>
      </c>
      <c r="AB12" s="201">
        <v>0.34751782125228747</v>
      </c>
      <c r="AC12" s="201">
        <v>0.33796241673065225</v>
      </c>
      <c r="AD12" s="187"/>
    </row>
    <row r="13" spans="1:206" x14ac:dyDescent="0.15">
      <c r="A13" s="3"/>
      <c r="F13" s="164"/>
    </row>
    <row r="14" spans="1:206" s="61" customFormat="1" x14ac:dyDescent="0.15">
      <c r="A14" s="67"/>
      <c r="B14" s="68" t="s">
        <v>212</v>
      </c>
      <c r="C14" s="76">
        <v>0.34771793917908539</v>
      </c>
      <c r="D14" s="76">
        <v>0.32887684750491686</v>
      </c>
      <c r="E14" s="76">
        <v>0.32664985108232508</v>
      </c>
      <c r="F14" s="76">
        <v>0.29138218163140767</v>
      </c>
      <c r="G14" s="76">
        <v>0.3182750662449782</v>
      </c>
      <c r="H14" s="76">
        <v>0.31946164643712327</v>
      </c>
      <c r="I14" s="76">
        <v>0.37242299219705011</v>
      </c>
      <c r="J14" s="76">
        <v>0.34489076991892847</v>
      </c>
      <c r="K14" s="76">
        <v>0.30887759596046266</v>
      </c>
      <c r="L14" s="76">
        <v>0.33160055826371893</v>
      </c>
      <c r="M14" s="76">
        <v>0.31995558781720007</v>
      </c>
      <c r="N14" s="76">
        <v>0.14480475861212913</v>
      </c>
      <c r="O14" s="76">
        <v>0.2187065381701101</v>
      </c>
      <c r="P14" s="76">
        <v>0.22339677692447238</v>
      </c>
      <c r="Q14" s="76">
        <v>0.23403179596651874</v>
      </c>
      <c r="R14" s="76">
        <v>0.26809255500268453</v>
      </c>
      <c r="S14" s="76">
        <v>0.29480874988485051</v>
      </c>
      <c r="T14" s="76">
        <v>0.29731422620433601</v>
      </c>
      <c r="U14" s="76">
        <v>0.29391266675770744</v>
      </c>
      <c r="V14" s="76">
        <v>0.28288000000000002</v>
      </c>
      <c r="W14" s="76">
        <v>0.34057937472275257</v>
      </c>
      <c r="X14" s="76">
        <v>0.37968018909629725</v>
      </c>
      <c r="Y14" s="76">
        <v>0.34208603380353286</v>
      </c>
      <c r="Z14" s="76">
        <v>0.24190978878072927</v>
      </c>
      <c r="AA14" s="76">
        <v>0.31554772541370413</v>
      </c>
      <c r="AB14" s="76">
        <v>0.255</v>
      </c>
      <c r="AC14" s="76">
        <v>0.27300000000000002</v>
      </c>
      <c r="AD14" s="268"/>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row>
    <row r="15" spans="1:206" x14ac:dyDescent="0.15">
      <c r="A15" s="3"/>
      <c r="B15" s="7"/>
    </row>
    <row r="16" spans="1:206" x14ac:dyDescent="0.15">
      <c r="B16" s="109" t="s">
        <v>213</v>
      </c>
    </row>
    <row r="17" spans="2:30" x14ac:dyDescent="0.15">
      <c r="B17" s="107" t="s">
        <v>214</v>
      </c>
      <c r="C17" s="110">
        <v>64.64</v>
      </c>
      <c r="D17" s="110">
        <v>67.510000000000005</v>
      </c>
      <c r="E17" s="110">
        <v>70.67</v>
      </c>
      <c r="F17" s="110">
        <v>71.099999999999994</v>
      </c>
      <c r="G17" s="110">
        <v>68.47999999999999</v>
      </c>
      <c r="H17" s="110">
        <v>70.316666666666677</v>
      </c>
      <c r="I17" s="110">
        <v>69.416666666666671</v>
      </c>
      <c r="J17" s="110">
        <v>70.353333333333339</v>
      </c>
      <c r="K17" s="110">
        <v>71.346666666666664</v>
      </c>
      <c r="L17" s="110">
        <v>70.358333333333348</v>
      </c>
      <c r="M17" s="190">
        <v>73.081666666666663</v>
      </c>
      <c r="N17" s="190">
        <v>75.408333333333331</v>
      </c>
      <c r="O17" s="200">
        <v>74.061666666666667</v>
      </c>
      <c r="P17" s="200">
        <v>73.73833333333333</v>
      </c>
      <c r="Q17" s="200">
        <v>74.072500000000005</v>
      </c>
      <c r="R17" s="190">
        <v>73.173333333333346</v>
      </c>
      <c r="S17" s="190">
        <v>73.665000000000006</v>
      </c>
      <c r="T17" s="190">
        <v>73.879166666666663</v>
      </c>
      <c r="U17" s="190">
        <v>74.788333333333341</v>
      </c>
      <c r="V17" s="200">
        <v>73.87645833333336</v>
      </c>
      <c r="W17" s="190">
        <v>75.245833333333323</v>
      </c>
      <c r="X17" s="190">
        <v>77.677499999999995</v>
      </c>
      <c r="Y17" s="190">
        <v>80.013333333333335</v>
      </c>
      <c r="Z17" s="190">
        <v>82.30749999999999</v>
      </c>
      <c r="AA17" s="200">
        <v>78.811041666666668</v>
      </c>
      <c r="AB17" s="200">
        <v>82.25</v>
      </c>
      <c r="AC17" s="200">
        <v>82.195000000000007</v>
      </c>
      <c r="AD17" s="187"/>
    </row>
    <row r="18" spans="2:30" x14ac:dyDescent="0.15">
      <c r="B18" s="29" t="s">
        <v>215</v>
      </c>
      <c r="C18" s="176">
        <v>-4.4025482985445841E-3</v>
      </c>
      <c r="D18" s="176">
        <v>-4.4399752475247523E-2</v>
      </c>
      <c r="E18" s="176">
        <v>-4.6807880314027495E-2</v>
      </c>
      <c r="F18" s="177">
        <v>-6.0846186500636001E-3</v>
      </c>
      <c r="H18" s="176">
        <f>-(H17/F17-1)</f>
        <v>1.1017346460384214E-2</v>
      </c>
      <c r="I18" s="176">
        <f>-(I17/H17-1)</f>
        <v>1.2799241526428196E-2</v>
      </c>
      <c r="J18" s="176">
        <f>-(J17/I17-1)</f>
        <v>-1.3493397358943504E-2</v>
      </c>
      <c r="K18" s="176">
        <f>-(K17/J17-1)</f>
        <v>-1.4119207808206191E-2</v>
      </c>
      <c r="L18" s="202" t="s">
        <v>13</v>
      </c>
      <c r="M18" s="176">
        <f>-(M17/K17-1)</f>
        <v>-2.4317884507568666E-2</v>
      </c>
      <c r="N18" s="176">
        <f>-(N17/M17-1)</f>
        <v>-3.1836529909462064E-2</v>
      </c>
      <c r="O18" s="176">
        <f>-(O17/N17-1)</f>
        <v>1.7858326886948772E-2</v>
      </c>
      <c r="P18" s="176">
        <f>-(P17/O17-1)</f>
        <v>4.365731259986072E-3</v>
      </c>
      <c r="Q18" s="202" t="s">
        <v>13</v>
      </c>
      <c r="R18" s="176">
        <f>-(R17/P17-1)</f>
        <v>7.662229053183367E-3</v>
      </c>
      <c r="S18" s="176">
        <f>-(S17/R17-1)</f>
        <v>-6.7192055393585637E-3</v>
      </c>
      <c r="T18" s="176">
        <f>-(T17/S17-1)</f>
        <v>-2.9073055951491789E-3</v>
      </c>
      <c r="U18" s="176">
        <f>-(U17/T17-1)</f>
        <v>-1.2306130505893798E-2</v>
      </c>
      <c r="V18" s="202" t="s">
        <v>13</v>
      </c>
      <c r="W18" s="176">
        <f>-(W17/U17-1)</f>
        <v>-6.1172642791877951E-3</v>
      </c>
      <c r="X18" s="176">
        <f>-(X17/W17-1)</f>
        <v>-3.2316296583421167E-2</v>
      </c>
      <c r="Y18" s="176">
        <f>-(Y17/X17-1)</f>
        <v>-3.0070912855503007E-2</v>
      </c>
      <c r="Z18" s="176">
        <f>-(Z17/Y17-1)</f>
        <v>-2.8672304615897204E-2</v>
      </c>
      <c r="AA18" s="202" t="s">
        <v>13</v>
      </c>
      <c r="AB18" s="176">
        <f>-(AB17/Z17-1)</f>
        <v>6.9859976308339622E-4</v>
      </c>
      <c r="AC18" s="176">
        <f>-(AC17/AB17-1)</f>
        <v>6.6869300911842622E-4</v>
      </c>
      <c r="AD18" s="187"/>
    </row>
    <row r="19" spans="2:30" x14ac:dyDescent="0.15">
      <c r="B19" s="29" t="s">
        <v>216</v>
      </c>
      <c r="C19" s="177">
        <v>2.7433672701740131E-2</v>
      </c>
      <c r="D19" s="177">
        <v>-4.7478665632273209E-2</v>
      </c>
      <c r="E19" s="177">
        <v>-9.6452213487794758E-2</v>
      </c>
      <c r="F19" s="177">
        <v>-0.1047806495053607</v>
      </c>
      <c r="G19" s="177">
        <v>-5.466072872415495E-2</v>
      </c>
      <c r="H19" s="177">
        <f t="shared" ref="H19:Y19" si="0">-(H17/C17-1)</f>
        <v>-8.7819719471947444E-2</v>
      </c>
      <c r="I19" s="177">
        <f t="shared" si="0"/>
        <v>-2.8242729472176986E-2</v>
      </c>
      <c r="J19" s="177">
        <f t="shared" si="0"/>
        <v>4.4809207112871396E-3</v>
      </c>
      <c r="K19" s="177">
        <f t="shared" si="0"/>
        <v>-3.469292076887065E-3</v>
      </c>
      <c r="L19" s="177">
        <f t="shared" si="0"/>
        <v>-2.7428933021807156E-2</v>
      </c>
      <c r="M19" s="177">
        <f t="shared" si="0"/>
        <v>-3.9322114245081474E-2</v>
      </c>
      <c r="N19" s="177">
        <f t="shared" si="0"/>
        <v>-8.631452581032395E-2</v>
      </c>
      <c r="O19" s="177">
        <f t="shared" si="0"/>
        <v>-5.2710129820903839E-2</v>
      </c>
      <c r="P19" s="177">
        <f t="shared" si="0"/>
        <v>-3.3521771631470632E-2</v>
      </c>
      <c r="Q19" s="177">
        <f t="shared" si="0"/>
        <v>-5.278929290536527E-2</v>
      </c>
      <c r="R19" s="177">
        <f t="shared" si="0"/>
        <v>-1.2543045451438584E-3</v>
      </c>
      <c r="S19" s="177">
        <f t="shared" si="0"/>
        <v>2.3118576638302413E-2</v>
      </c>
      <c r="T19" s="177">
        <f t="shared" si="0"/>
        <v>2.4641627472602456E-3</v>
      </c>
      <c r="U19" s="177">
        <f t="shared" si="0"/>
        <v>-1.4239540718305799E-2</v>
      </c>
      <c r="V19" s="177">
        <f t="shared" si="0"/>
        <v>2.6466187406479769E-3</v>
      </c>
      <c r="W19" s="177">
        <f t="shared" si="0"/>
        <v>-2.8323159620990968E-2</v>
      </c>
      <c r="X19" s="177">
        <f t="shared" si="0"/>
        <v>-5.4469558134799367E-2</v>
      </c>
      <c r="Y19" s="177">
        <f t="shared" si="0"/>
        <v>-8.302972195589664E-2</v>
      </c>
      <c r="Z19" s="177">
        <f t="shared" ref="Z19" si="1">-(Z17/U17-1)</f>
        <v>-0.10053929980166232</v>
      </c>
      <c r="AA19" s="177">
        <f t="shared" ref="AA19" si="2">-(AA17/V17-1)</f>
        <v>-6.6795071727292044E-2</v>
      </c>
      <c r="AB19" s="177">
        <f>-(AB17/W17-1)</f>
        <v>-9.3083780940251604E-2</v>
      </c>
      <c r="AC19" s="177">
        <f t="shared" ref="AC19" si="3">-(AC17/X17-1)</f>
        <v>-5.8157124006308347E-2</v>
      </c>
      <c r="AD19" s="187"/>
    </row>
    <row r="20" spans="2:30" x14ac:dyDescent="0.15">
      <c r="B20" s="29"/>
      <c r="F20" s="21"/>
      <c r="AD20" s="187"/>
    </row>
    <row r="21" spans="2:30" x14ac:dyDescent="0.15">
      <c r="B21" s="110" t="s">
        <v>217</v>
      </c>
      <c r="C21" s="110">
        <v>1.4</v>
      </c>
      <c r="D21" s="110">
        <v>1.34</v>
      </c>
      <c r="E21" s="110">
        <v>1.31</v>
      </c>
      <c r="F21" s="110">
        <v>1.28</v>
      </c>
      <c r="G21" s="110">
        <v>1.3325000000000002</v>
      </c>
      <c r="H21" s="110">
        <v>1.3152666666666666</v>
      </c>
      <c r="I21" s="110">
        <v>1.2756666666666667</v>
      </c>
      <c r="J21" s="110">
        <v>1.2212333333333334</v>
      </c>
      <c r="K21" s="110">
        <v>1.3024</v>
      </c>
      <c r="L21" s="110">
        <v>1.2786416666666667</v>
      </c>
      <c r="M21" s="190">
        <v>1.2763666666666669</v>
      </c>
      <c r="N21" s="190">
        <v>1.2370666666666665</v>
      </c>
      <c r="O21" s="200">
        <v>1.3096333333333332</v>
      </c>
      <c r="P21" s="200">
        <v>1.3313333333333333</v>
      </c>
      <c r="Q21" s="200">
        <v>1.2886</v>
      </c>
      <c r="R21" s="190">
        <v>1.3805333333333332</v>
      </c>
      <c r="S21" s="190">
        <v>1.3984333333333332</v>
      </c>
      <c r="T21" s="190">
        <v>1.3710666666666667</v>
      </c>
      <c r="U21" s="190">
        <v>1.3503999999999998</v>
      </c>
      <c r="V21" s="200">
        <v>1.3751083333333334</v>
      </c>
      <c r="W21" s="190">
        <v>1.3318000000000001</v>
      </c>
      <c r="X21" s="190">
        <v>1.2416666666666665</v>
      </c>
      <c r="Y21" s="190">
        <v>1.1623999999999999</v>
      </c>
      <c r="Z21" s="190">
        <v>1.1877000000000002</v>
      </c>
      <c r="AA21" s="200">
        <v>1.2308916666666667</v>
      </c>
      <c r="AB21" s="200">
        <v>1.2261</v>
      </c>
      <c r="AC21" s="200">
        <v>1.2528666666666666</v>
      </c>
      <c r="AD21" s="187"/>
    </row>
    <row r="22" spans="2:30" x14ac:dyDescent="0.15">
      <c r="B22" s="29" t="s">
        <v>218</v>
      </c>
      <c r="C22" s="156">
        <v>-4.7381546134663166E-2</v>
      </c>
      <c r="D22" s="156">
        <v>4.2857142857142705E-2</v>
      </c>
      <c r="E22" s="156">
        <v>2.2388059701492602E-2</v>
      </c>
      <c r="F22" s="78">
        <v>2.2900763358778664E-2</v>
      </c>
      <c r="H22" s="156">
        <f>-(H21/F21-1)</f>
        <v>-2.7552083333333144E-2</v>
      </c>
      <c r="I22" s="176">
        <f>-(I21/H21-1)</f>
        <v>3.0107962897257701E-2</v>
      </c>
      <c r="J22" s="176">
        <f>-(J21/I21-1)</f>
        <v>4.2670499085445512E-2</v>
      </c>
      <c r="K22" s="176">
        <f>-(K21/J21-1)</f>
        <v>-6.6462865409285588E-2</v>
      </c>
      <c r="L22" s="202" t="s">
        <v>13</v>
      </c>
      <c r="M22" s="156">
        <f>-(M21/K21-1)</f>
        <v>1.9988738738738632E-2</v>
      </c>
      <c r="N22" s="176">
        <f>-(N21/M21-1)</f>
        <v>3.0790525188686857E-2</v>
      </c>
      <c r="O22" s="176">
        <f>-(O21/N21-1)</f>
        <v>-5.8660271610260883E-2</v>
      </c>
      <c r="P22" s="176">
        <f>-(P21/O21-1)</f>
        <v>-1.6569523276235065E-2</v>
      </c>
      <c r="Q22" s="202" t="s">
        <v>13</v>
      </c>
      <c r="R22" s="156">
        <f>-(R21/P21-1)</f>
        <v>-3.6955433149724604E-2</v>
      </c>
      <c r="S22" s="156">
        <f>-(S21/R21-1)</f>
        <v>-1.2966003476917232E-2</v>
      </c>
      <c r="T22" s="176">
        <f>-(T21/S21-1)</f>
        <v>1.9569518270445396E-2</v>
      </c>
      <c r="U22" s="176">
        <f>-(U21/T21-1)</f>
        <v>1.5073422153068283E-2</v>
      </c>
      <c r="V22" s="202" t="s">
        <v>13</v>
      </c>
      <c r="W22" s="156">
        <f>-(W21/U21-1)</f>
        <v>1.3773696682464309E-2</v>
      </c>
      <c r="X22" s="176">
        <f>-(X21/W21-1)</f>
        <v>6.7677829503929754E-2</v>
      </c>
      <c r="Y22" s="176">
        <f>-(Y21/X21-1)</f>
        <v>6.3838926174496602E-2</v>
      </c>
      <c r="Z22" s="176">
        <f>-(Z21/Y21-1)</f>
        <v>-2.1765313145217124E-2</v>
      </c>
      <c r="AA22" s="202" t="s">
        <v>13</v>
      </c>
      <c r="AB22" s="156">
        <f>-(AB21/Z21-1)</f>
        <v>-3.2331396817377955E-2</v>
      </c>
      <c r="AC22" s="176">
        <f>-(AC21/AB21-1)</f>
        <v>-2.1830737025256175E-2</v>
      </c>
      <c r="AD22" s="187"/>
    </row>
    <row r="23" spans="2:30" x14ac:dyDescent="0.15">
      <c r="B23" s="29" t="s">
        <v>219</v>
      </c>
      <c r="C23" s="78">
        <v>-0.12903225806451601</v>
      </c>
      <c r="D23" s="78">
        <v>-3.8759689922480689E-2</v>
      </c>
      <c r="E23" s="78">
        <v>2.5380710659899108E-3</v>
      </c>
      <c r="F23" s="78">
        <v>4.239401496259354E-2</v>
      </c>
      <c r="G23" s="78">
        <v>-2.8957528957529011E-2</v>
      </c>
      <c r="H23" s="78">
        <f t="shared" ref="H23:Y23" si="4">-(H21/C21-1)</f>
        <v>6.0523809523809535E-2</v>
      </c>
      <c r="I23" s="78">
        <f t="shared" si="4"/>
        <v>4.8009950248756206E-2</v>
      </c>
      <c r="J23" s="78">
        <f t="shared" si="4"/>
        <v>6.7760814249363865E-2</v>
      </c>
      <c r="K23" s="78">
        <f t="shared" si="4"/>
        <v>-1.7500000000000071E-2</v>
      </c>
      <c r="L23" s="78">
        <f t="shared" si="4"/>
        <v>4.0419011882426692E-2</v>
      </c>
      <c r="M23" s="78">
        <f t="shared" si="4"/>
        <v>2.9575751431902053E-2</v>
      </c>
      <c r="N23" s="78">
        <f t="shared" si="4"/>
        <v>3.0258688267572609E-2</v>
      </c>
      <c r="O23" s="78">
        <f t="shared" si="4"/>
        <v>-7.238583945192012E-2</v>
      </c>
      <c r="P23" s="78">
        <f t="shared" si="4"/>
        <v>-2.2215397215397115E-2</v>
      </c>
      <c r="Q23" s="78">
        <f t="shared" si="4"/>
        <v>-7.7882127518134059E-3</v>
      </c>
      <c r="R23" s="78">
        <f t="shared" si="4"/>
        <v>-8.1611867018359208E-2</v>
      </c>
      <c r="S23" s="213">
        <f t="shared" si="4"/>
        <v>-0.13044298340159521</v>
      </c>
      <c r="T23" s="177">
        <f t="shared" si="4"/>
        <v>-4.6908803990939107E-2</v>
      </c>
      <c r="U23" s="177">
        <f t="shared" si="4"/>
        <v>-1.4321482223334847E-2</v>
      </c>
      <c r="V23" s="78">
        <f t="shared" si="4"/>
        <v>-6.7133581664855946E-2</v>
      </c>
      <c r="W23" s="78">
        <f t="shared" si="4"/>
        <v>3.5300367007919498E-2</v>
      </c>
      <c r="X23" s="177">
        <f t="shared" si="4"/>
        <v>0.1121016375467786</v>
      </c>
      <c r="Y23" s="177">
        <f t="shared" si="4"/>
        <v>0.1521929398035593</v>
      </c>
      <c r="Z23" s="177">
        <f t="shared" ref="Z23" si="5">-(Z21/U21-1)</f>
        <v>0.12048281990521303</v>
      </c>
      <c r="AA23" s="78">
        <f t="shared" ref="AA23" si="6">-(AA21/V21-1)</f>
        <v>0.10487658548114387</v>
      </c>
      <c r="AB23" s="78">
        <f>-(AB21/W21-1)</f>
        <v>7.9366271211893769E-2</v>
      </c>
      <c r="AC23" s="177">
        <f t="shared" ref="AC23" si="7">-(AC21/X21-1)</f>
        <v>-9.020134228187926E-3</v>
      </c>
      <c r="AD23" s="187"/>
    </row>
    <row r="24" spans="2:30" x14ac:dyDescent="0.15">
      <c r="B24" s="108"/>
      <c r="F24" s="21"/>
      <c r="AD24" s="187"/>
    </row>
    <row r="25" spans="2:30" x14ac:dyDescent="0.15">
      <c r="B25" s="107" t="s">
        <v>220</v>
      </c>
      <c r="C25" s="110">
        <v>51.85</v>
      </c>
      <c r="D25" s="110">
        <v>52.53</v>
      </c>
      <c r="E25" s="110">
        <v>53.53</v>
      </c>
      <c r="F25" s="110">
        <v>52.86</v>
      </c>
      <c r="G25" s="110">
        <v>52.692499999999995</v>
      </c>
      <c r="H25" s="110">
        <v>52.106666666666662</v>
      </c>
      <c r="I25" s="110">
        <v>51.835000000000001</v>
      </c>
      <c r="J25" s="110">
        <v>51.589999999999996</v>
      </c>
      <c r="K25" s="110">
        <v>50.728333333333332</v>
      </c>
      <c r="L25" s="110">
        <v>51.565000000000005</v>
      </c>
      <c r="M25" s="190">
        <v>50.826666666666661</v>
      </c>
      <c r="N25" s="190">
        <v>50.279999999999994</v>
      </c>
      <c r="O25" s="200">
        <v>48.71</v>
      </c>
      <c r="P25" s="200">
        <v>48.161000000000001</v>
      </c>
      <c r="Q25" s="200">
        <v>49.494416666666666</v>
      </c>
      <c r="R25" s="190">
        <v>48.386666666666663</v>
      </c>
      <c r="S25" s="190">
        <v>48.198333333333331</v>
      </c>
      <c r="T25" s="190">
        <v>50.243333333333332</v>
      </c>
      <c r="U25" s="190">
        <v>50.601333333333336</v>
      </c>
      <c r="V25" s="200">
        <v>49.357416666666673</v>
      </c>
      <c r="W25" s="190">
        <v>51.32</v>
      </c>
      <c r="X25" s="190">
        <v>53.178333333333335</v>
      </c>
      <c r="Y25" s="190">
        <v>56.633333333333333</v>
      </c>
      <c r="Z25" s="190">
        <v>56.761666666666663</v>
      </c>
      <c r="AA25" s="200">
        <v>54.473333333333336</v>
      </c>
      <c r="AB25" s="200">
        <v>54.776666666666664</v>
      </c>
      <c r="AC25" s="200">
        <v>55.576666666666675</v>
      </c>
      <c r="AD25" s="187"/>
    </row>
    <row r="26" spans="2:30" x14ac:dyDescent="0.15">
      <c r="B26" s="29" t="s">
        <v>215</v>
      </c>
      <c r="C26" s="156">
        <v>-2.4636058230683044E-2</v>
      </c>
      <c r="D26" s="156">
        <v>-1.3114754098360715E-2</v>
      </c>
      <c r="E26" s="156">
        <v>-1.9036740909956107E-2</v>
      </c>
      <c r="F26" s="78">
        <v>1.2516345974220133E-2</v>
      </c>
      <c r="H26" s="156">
        <f>-(H25/F25-1)</f>
        <v>1.4251481901879304E-2</v>
      </c>
      <c r="I26" s="176">
        <f>-(I25/H25-1)</f>
        <v>5.2136642784031961E-3</v>
      </c>
      <c r="J26" s="176">
        <f>-(J25/I25-1)</f>
        <v>4.7265361242404547E-3</v>
      </c>
      <c r="K26" s="176">
        <f>-(K25/J25-1)</f>
        <v>1.6702203269367444E-2</v>
      </c>
      <c r="L26" s="202" t="s">
        <v>13</v>
      </c>
      <c r="M26" s="156">
        <f>-(M25/K25-1)</f>
        <v>-1.9384302000853282E-3</v>
      </c>
      <c r="N26" s="176">
        <f>-(N25/M25-1)</f>
        <v>1.0755508919202517E-2</v>
      </c>
      <c r="O26" s="176">
        <f>-(O25/N25-1)</f>
        <v>3.122513922036585E-2</v>
      </c>
      <c r="P26" s="176">
        <f>-(P25/O25-1)</f>
        <v>1.1270786286183498E-2</v>
      </c>
      <c r="Q26" s="202" t="s">
        <v>13</v>
      </c>
      <c r="R26" s="156">
        <f>-(R25/P25-1)</f>
        <v>-4.6856723628383445E-3</v>
      </c>
      <c r="S26" s="156">
        <f>-(S25/R25-1)</f>
        <v>3.8922568200605578E-3</v>
      </c>
      <c r="T26" s="156">
        <f>-(T25/S25-1)</f>
        <v>-4.2428853003215972E-2</v>
      </c>
      <c r="U26" s="156">
        <f>-(U25/T25-1)</f>
        <v>-7.1253234259935905E-3</v>
      </c>
      <c r="V26" s="202" t="s">
        <v>13</v>
      </c>
      <c r="W26" s="156">
        <f>-(W25/U25-1)</f>
        <v>-1.4202524307659781E-2</v>
      </c>
      <c r="X26" s="156">
        <f>-(X25/W25-1)</f>
        <v>-3.6210704078981637E-2</v>
      </c>
      <c r="Y26" s="156">
        <f>-(Y25/X25-1)</f>
        <v>-6.4970069263797781E-2</v>
      </c>
      <c r="Z26" s="156">
        <f>-(Z25/Y25-1)</f>
        <v>-2.2660388463802139E-3</v>
      </c>
      <c r="AA26" s="202" t="s">
        <v>13</v>
      </c>
      <c r="AB26" s="156">
        <f>-(AB25/Z25-1)</f>
        <v>3.4970784273423927E-2</v>
      </c>
      <c r="AC26" s="156">
        <f>-(AC25/AB25-1)</f>
        <v>-1.460475871721556E-2</v>
      </c>
      <c r="AD26" s="187"/>
    </row>
    <row r="27" spans="2:30" x14ac:dyDescent="0.15">
      <c r="B27" s="29" t="s">
        <v>216</v>
      </c>
      <c r="C27" s="78">
        <v>-3.6033035833222149E-2</v>
      </c>
      <c r="D27" s="78">
        <v>-4.9298869401941614E-2</v>
      </c>
      <c r="E27" s="78">
        <v>-5.3429105579061442E-2</v>
      </c>
      <c r="F27" s="78">
        <v>-4.459521770634356E-2</v>
      </c>
      <c r="G27" s="78">
        <v>-4.5864822083393264E-2</v>
      </c>
      <c r="H27" s="78">
        <f t="shared" ref="H27:Y27" si="8">-(H25/C25-1)</f>
        <v>-4.9501767920281381E-3</v>
      </c>
      <c r="I27" s="78">
        <f t="shared" si="8"/>
        <v>1.3230534932419546E-2</v>
      </c>
      <c r="J27" s="78">
        <f t="shared" si="8"/>
        <v>3.6241359985055177E-2</v>
      </c>
      <c r="K27" s="78">
        <f t="shared" si="8"/>
        <v>4.0326649009963411E-2</v>
      </c>
      <c r="L27" s="78">
        <f t="shared" si="8"/>
        <v>2.1397732125065017E-2</v>
      </c>
      <c r="M27" s="78">
        <f t="shared" si="8"/>
        <v>2.4564994882292801E-2</v>
      </c>
      <c r="N27" s="78">
        <f t="shared" si="8"/>
        <v>2.9999035400791074E-2</v>
      </c>
      <c r="O27" s="78">
        <f t="shared" si="8"/>
        <v>5.5824772242682563E-2</v>
      </c>
      <c r="P27" s="78">
        <f t="shared" si="8"/>
        <v>5.0609455596806407E-2</v>
      </c>
      <c r="Q27" s="78">
        <f t="shared" si="8"/>
        <v>4.0154820776366451E-2</v>
      </c>
      <c r="R27" s="78">
        <f t="shared" si="8"/>
        <v>4.8006295907660035E-2</v>
      </c>
      <c r="S27" s="78">
        <f t="shared" si="8"/>
        <v>4.1401485017236728E-2</v>
      </c>
      <c r="T27" s="78">
        <f t="shared" si="8"/>
        <v>-3.1478820228563631E-2</v>
      </c>
      <c r="U27" s="78">
        <f t="shared" si="8"/>
        <v>-5.0670321075835911E-2</v>
      </c>
      <c r="V27" s="78">
        <f t="shared" si="8"/>
        <v>2.7679889819220982E-3</v>
      </c>
      <c r="W27" s="78">
        <f t="shared" si="8"/>
        <v>-6.0622761091209787E-2</v>
      </c>
      <c r="X27" s="78">
        <f t="shared" si="8"/>
        <v>-0.10332307479511749</v>
      </c>
      <c r="Y27" s="78">
        <f t="shared" si="8"/>
        <v>-0.12718105221256559</v>
      </c>
      <c r="Z27" s="78">
        <f t="shared" ref="Z27" si="9">-(Z25/U25-1)</f>
        <v>-0.12174251007878567</v>
      </c>
      <c r="AA27" s="78">
        <f t="shared" ref="AA27" si="10">-(AA25/V25-1)</f>
        <v>-0.10365041390267238</v>
      </c>
      <c r="AB27" s="78">
        <f>-(AB25/W25-1)</f>
        <v>-6.73551571836839E-2</v>
      </c>
      <c r="AC27" s="78">
        <f t="shared" ref="AC27" si="11">-(AC25/X25-1)</f>
        <v>-4.5099821355815584E-2</v>
      </c>
      <c r="AD27" s="187"/>
    </row>
    <row r="30" spans="2:30" x14ac:dyDescent="0.15">
      <c r="Y30" s="254"/>
    </row>
  </sheetData>
  <customSheetViews>
    <customSheetView guid="{168DC811-186D-42DC-8A72-3741D1063270}" scale="80" showGridLines="0" hiddenRows="1">
      <pane xSplit="2" ySplit="4" topLeftCell="C5" activePane="bottomRight" state="frozen"/>
      <selection pane="bottomRight" activeCell="A7" sqref="A7"/>
      <pageMargins left="0" right="0" top="0" bottom="0" header="0" footer="0"/>
      <printOptions horizontalCentered="1"/>
      <pageSetup scale="65" orientation="landscape" horizontalDpi="300" verticalDpi="300" r:id="rId1"/>
    </customSheetView>
  </customSheetViews>
  <phoneticPr fontId="0" type="noConversion"/>
  <pageMargins left="0.25" right="0.25" top="0.5" bottom="0.25" header="0.3" footer="0.3"/>
  <pageSetup paperSize="9" scale="52" fitToHeight="0"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F149212BDADD429E2028B87BF5C05A" ma:contentTypeVersion="5" ma:contentTypeDescription="Create a new document." ma:contentTypeScope="" ma:versionID="e9227795548925d36a556472352f9cf0">
  <xsd:schema xmlns:xsd="http://www.w3.org/2001/XMLSchema" xmlns:xs="http://www.w3.org/2001/XMLSchema" xmlns:p="http://schemas.microsoft.com/office/2006/metadata/properties" xmlns:ns2="4da3ad68-5083-4f56-a2f3-b749011fc705" xmlns:ns3="8cf0e1d4-898c-4bee-a6ca-2316e1a8d012" targetNamespace="http://schemas.microsoft.com/office/2006/metadata/properties" ma:root="true" ma:fieldsID="fc4f834b102b79a297713d3f5769d90e" ns2:_="" ns3:_="">
    <xsd:import namespace="4da3ad68-5083-4f56-a2f3-b749011fc705"/>
    <xsd:import namespace="8cf0e1d4-898c-4bee-a6ca-2316e1a8d01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3ad68-5083-4f56-a2f3-b749011fc7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f0e1d4-898c-4bee-a6ca-2316e1a8d01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960C233-D184-4E9B-9A00-99D770398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3ad68-5083-4f56-a2f3-b749011fc705"/>
    <ds:schemaRef ds:uri="8cf0e1d4-898c-4bee-a6ca-2316e1a8d0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412C04-49FC-431D-A787-FDBDD481B766}">
  <ds:schemaRefs>
    <ds:schemaRef ds:uri="http://schemas.microsoft.com/sharepoint/v3/contenttype/forms"/>
  </ds:schemaRefs>
</ds:datastoreItem>
</file>

<file path=customXml/itemProps3.xml><?xml version="1.0" encoding="utf-8"?>
<ds:datastoreItem xmlns:ds="http://schemas.openxmlformats.org/officeDocument/2006/customXml" ds:itemID="{F0811419-5D0B-4C23-9D18-9DFF761D01DB}">
  <ds:schemaRefs>
    <ds:schemaRef ds:uri="http://schemas.openxmlformats.org/package/2006/metadata/core-properties"/>
    <ds:schemaRef ds:uri="http://schemas.microsoft.com/office/2006/documentManagement/types"/>
    <ds:schemaRef ds:uri="http://www.w3.org/XML/1998/namespace"/>
    <ds:schemaRef ds:uri="4da3ad68-5083-4f56-a2f3-b749011fc705"/>
    <ds:schemaRef ds:uri="http://schemas.microsoft.com/office/infopath/2007/PartnerControls"/>
    <ds:schemaRef ds:uri="http://purl.org/dc/elements/1.1/"/>
    <ds:schemaRef ds:uri="http://purl.org/dc/dcmitype/"/>
    <ds:schemaRef ds:uri="http://schemas.microsoft.com/office/2006/metadata/properties"/>
    <ds:schemaRef ds:uri="8cf0e1d4-898c-4bee-a6ca-2316e1a8d012"/>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Contents</vt:lpstr>
      <vt:lpstr>Income Statement</vt:lpstr>
      <vt:lpstr>Balance Sheet</vt:lpstr>
      <vt:lpstr>Cashflow</vt:lpstr>
      <vt:lpstr>Revenues and Margins</vt:lpstr>
      <vt:lpstr>Other Metrics</vt:lpstr>
      <vt:lpstr>'Balance Sheet'!Print_Area</vt:lpstr>
      <vt:lpstr>Cashflow!Print_Area</vt:lpstr>
      <vt:lpstr>'Income Statement'!Print_Area</vt:lpstr>
      <vt:lpstr>'Other Metrics'!Print_Area</vt:lpstr>
      <vt:lpstr>'Revenues and Margins'!Print_Area</vt:lpstr>
      <vt:lpstr>'Income Statement'!Print_Titles</vt:lpstr>
      <vt:lpstr>'Other Metrics'!Print_Titles</vt:lpstr>
      <vt:lpstr>'Revenues and Margins'!Print_Titles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rahul13232</dc:creator>
  <cp:keywords/>
  <dc:description/>
  <cp:lastModifiedBy>John Kristoff</cp:lastModifiedBy>
  <cp:revision/>
  <dcterms:created xsi:type="dcterms:W3CDTF">2009-03-23T17:27:54Z</dcterms:created>
  <dcterms:modified xsi:type="dcterms:W3CDTF">2023-07-26T18:16:55Z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0x010100EAF149212BDADD429E2028B87BF5C05A</vt:lpwstr>
  </property>
</Properties>
</file>