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inancial Planning &amp; Budgeting\2020\Q1 2020\FactSheet\"/>
    </mc:Choice>
  </mc:AlternateContent>
  <bookViews>
    <workbookView xWindow="0" yWindow="0" windowWidth="20490" windowHeight="7620" tabRatio="889" activeTab="4"/>
  </bookViews>
  <sheets>
    <sheet name="Contents" sheetId="9" r:id="rId1"/>
    <sheet name="Income Statement" sheetId="2" r:id="rId2"/>
    <sheet name="Balance Sheet" sheetId="6" r:id="rId3"/>
    <sheet name="Cashflow" sheetId="7" r:id="rId4"/>
    <sheet name="Revenues and Margins" sheetId="8" r:id="rId5"/>
    <sheet name="Other Metrics" sheetId="5" r:id="rId6"/>
  </sheets>
  <definedNames>
    <definedName name="_xlnm._FilterDatabase" localSheetId="1" hidden="1">'Income Statement'!#REF!</definedName>
    <definedName name="_xlnm.Print_Area" localSheetId="2">'Balance Sheet'!$A$1:$M$60</definedName>
    <definedName name="_xlnm.Print_Area" localSheetId="3">Cashflow!$A$1:$N$86</definedName>
    <definedName name="_xlnm.Print_Area" localSheetId="1">'Income Statement'!$A$1:$N$122</definedName>
    <definedName name="_xlnm.Print_Area" localSheetId="5">'Other Metrics'!$A$1:$O$33</definedName>
    <definedName name="_xlnm.Print_Area" localSheetId="4">'Revenues and Margins'!$A$1:$O$98</definedName>
    <definedName name="_xlnm.Print_Titles" localSheetId="1">'Income Statement'!$A:$A,'Income Statement'!$4:$5</definedName>
    <definedName name="_xlnm.Print_Titles" localSheetId="5">'Other Metrics'!$B:$B</definedName>
    <definedName name="_xlnm.Print_Titles" localSheetId="4">'Revenues and Margins'!$1:$4</definedName>
    <definedName name="Z_168DC811_186D_42DC_8A72_3741D1063270_.wvu.PrintArea" localSheetId="5" hidden="1">'Other Metrics'!$A$1:$B$19</definedName>
    <definedName name="Z_168DC811_186D_42DC_8A72_3741D1063270_.wvu.PrintTitles" localSheetId="1" hidden="1">'Income Statement'!$A:$A,'Income Statement'!$4:$5</definedName>
    <definedName name="Z_168DC811_186D_42DC_8A72_3741D1063270_.wvu.PrintTitles" localSheetId="5" hidden="1">'Other Metrics'!$B:$B</definedName>
    <definedName name="Z_168DC811_186D_42DC_8A72_3741D1063270_.wvu.Rows" localSheetId="5" hidden="1">'Other Metrics'!#REF!</definedName>
  </definedNames>
  <calcPr calcId="162913"/>
  <customWorkbookViews>
    <customWorkbookView name="rahul13232 - Personal View" guid="{168DC811-186D-42DC-8A72-3741D1063270}" mergeInterval="0" personalView="1" maximized="1" xWindow="1" yWindow="1" windowWidth="1276" windowHeight="803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7" l="1"/>
  <c r="E83" i="7"/>
  <c r="D83" i="7"/>
  <c r="C83" i="7"/>
  <c r="B83" i="7"/>
  <c r="F71" i="7"/>
  <c r="F74" i="7" s="1"/>
  <c r="E71" i="7"/>
  <c r="E74" i="7" s="1"/>
  <c r="D71" i="7"/>
  <c r="D74" i="7" s="1"/>
  <c r="C71" i="7"/>
  <c r="C74" i="7" s="1"/>
  <c r="B71" i="7"/>
  <c r="B74" i="7" s="1"/>
  <c r="F50" i="7"/>
  <c r="F53" i="7" s="1"/>
  <c r="E50" i="7"/>
  <c r="E53" i="7" s="1"/>
  <c r="D50" i="7"/>
  <c r="D53" i="7" s="1"/>
  <c r="C50" i="7"/>
  <c r="C53" i="7" s="1"/>
  <c r="B50" i="7"/>
  <c r="B53" i="7" s="1"/>
  <c r="F39" i="7"/>
  <c r="F41" i="7" s="1"/>
  <c r="E39" i="7"/>
  <c r="E41" i="7" s="1"/>
  <c r="D39" i="7"/>
  <c r="D41" i="7" s="1"/>
  <c r="C39" i="7"/>
  <c r="C41" i="7" s="1"/>
  <c r="B39" i="7"/>
  <c r="B41" i="7" s="1"/>
  <c r="D78" i="7" l="1"/>
  <c r="E78" i="7"/>
  <c r="F78" i="7"/>
  <c r="B78" i="7"/>
  <c r="C78" i="7"/>
  <c r="U76" i="8"/>
  <c r="T76" i="8"/>
  <c r="S76" i="8"/>
  <c r="R76" i="8"/>
  <c r="V75" i="8"/>
  <c r="U74" i="8"/>
  <c r="T74" i="8"/>
  <c r="S74" i="8"/>
  <c r="R74" i="8"/>
  <c r="V73" i="8"/>
  <c r="U72" i="8"/>
  <c r="T72" i="8"/>
  <c r="S72" i="8"/>
  <c r="R72" i="8"/>
  <c r="V71" i="8"/>
  <c r="V72" i="8" l="1"/>
  <c r="V74" i="8"/>
  <c r="V76" i="8"/>
  <c r="AA63" i="8" l="1"/>
  <c r="Z63" i="8"/>
  <c r="Y63" i="8"/>
  <c r="X63" i="8"/>
  <c r="W63" i="8"/>
  <c r="V63" i="8"/>
  <c r="U63" i="8"/>
  <c r="T63" i="8"/>
  <c r="S63" i="8"/>
  <c r="R63" i="8"/>
  <c r="V64" i="8"/>
  <c r="T64" i="8"/>
  <c r="S64" i="8"/>
  <c r="R64" i="8"/>
  <c r="V61" i="8"/>
  <c r="T61" i="8"/>
  <c r="S61" i="8"/>
  <c r="R61" i="8"/>
  <c r="V19" i="8"/>
  <c r="U19" i="8"/>
  <c r="T19" i="8"/>
  <c r="S19" i="8"/>
  <c r="R19" i="8"/>
  <c r="R88" i="8"/>
  <c r="S88" i="8"/>
  <c r="T88" i="8"/>
  <c r="U88" i="8"/>
  <c r="V88" i="8"/>
  <c r="R89" i="8"/>
  <c r="S89" i="8"/>
  <c r="T89" i="8"/>
  <c r="U89" i="8"/>
  <c r="V89" i="8"/>
  <c r="V87" i="8"/>
  <c r="U87" i="8"/>
  <c r="T87" i="8"/>
  <c r="S87" i="8"/>
  <c r="R87" i="8"/>
  <c r="U34" i="8" l="1"/>
  <c r="U27" i="8"/>
  <c r="R27" i="8"/>
  <c r="V27" i="8"/>
  <c r="R34" i="8"/>
  <c r="T27" i="8"/>
  <c r="S27" i="8"/>
  <c r="T34" i="8"/>
  <c r="S34" i="8" l="1"/>
  <c r="S20" i="8"/>
  <c r="V34" i="8" l="1"/>
  <c r="U20" i="8"/>
  <c r="U40" i="8"/>
  <c r="T20" i="8"/>
  <c r="T40" i="8"/>
  <c r="S40" i="8"/>
  <c r="R20" i="8"/>
  <c r="R40" i="8"/>
  <c r="V40" i="8"/>
  <c r="V20" i="8" l="1"/>
  <c r="S17" i="8"/>
  <c r="R17" i="8"/>
  <c r="R21" i="8" s="1"/>
  <c r="V17" i="8"/>
  <c r="U17" i="8"/>
  <c r="T17" i="8"/>
  <c r="T21" i="8" s="1"/>
  <c r="S21" i="8" l="1"/>
  <c r="S67" i="8"/>
  <c r="T67" i="8"/>
  <c r="R67" i="8"/>
  <c r="V67" i="8"/>
  <c r="V21" i="8"/>
  <c r="U21" i="8"/>
  <c r="AA19" i="8" l="1"/>
  <c r="Z19" i="8"/>
  <c r="Y19" i="8"/>
  <c r="X19" i="8"/>
  <c r="W19" i="8"/>
  <c r="X89" i="8" l="1"/>
  <c r="W89" i="8"/>
  <c r="X88" i="8"/>
  <c r="W88" i="8"/>
  <c r="X87" i="8"/>
  <c r="W87" i="8"/>
  <c r="X64" i="8" l="1"/>
  <c r="W64" i="8"/>
  <c r="X61" i="8"/>
  <c r="W61" i="8"/>
  <c r="N20" i="8" l="1"/>
  <c r="M20" i="8"/>
  <c r="N17" i="8"/>
  <c r="M17" i="8"/>
  <c r="Y17" i="8" l="1"/>
  <c r="Z17" i="8" l="1"/>
  <c r="W17" i="8"/>
  <c r="X17" i="8"/>
  <c r="W27" i="8"/>
  <c r="Y27" i="8"/>
  <c r="Z27" i="8"/>
  <c r="X27" i="8"/>
  <c r="W20" i="8" l="1"/>
  <c r="W67" i="8"/>
  <c r="Z20" i="8"/>
  <c r="X20" i="8"/>
  <c r="Y20" i="8"/>
  <c r="AA17" i="8"/>
  <c r="AA27" i="8"/>
  <c r="W76" i="8" l="1"/>
  <c r="W72" i="8"/>
  <c r="W74" i="8"/>
  <c r="AA20" i="8"/>
  <c r="X67" i="8"/>
  <c r="AA34" i="8"/>
  <c r="Z34" i="8"/>
  <c r="Y34" i="8"/>
  <c r="X34" i="8"/>
  <c r="AA40" i="8"/>
  <c r="Z40" i="8"/>
  <c r="Y40" i="8"/>
  <c r="X40" i="8"/>
  <c r="X76" i="8" l="1"/>
  <c r="X72" i="8"/>
  <c r="X74" i="8"/>
  <c r="AB20" i="8"/>
  <c r="AB17" i="8"/>
  <c r="AB67" i="8" s="1"/>
  <c r="Z21" i="8"/>
  <c r="AB40" i="8"/>
  <c r="AB31" i="8"/>
  <c r="AA21" i="8"/>
  <c r="Y21" i="8"/>
  <c r="W40" i="8"/>
  <c r="X21" i="8"/>
  <c r="W34" i="8"/>
  <c r="AB24" i="8"/>
  <c r="AB37" i="8"/>
  <c r="AB34" i="8"/>
  <c r="AB27" i="8"/>
  <c r="AB65" i="8"/>
  <c r="AB62" i="8"/>
  <c r="AB74" i="8" l="1"/>
  <c r="AB72" i="8"/>
  <c r="AB76" i="8"/>
  <c r="W21" i="8"/>
  <c r="AB18" i="8" l="1"/>
  <c r="AB21" i="8"/>
  <c r="R31" i="5" l="1"/>
  <c r="R27" i="5"/>
  <c r="R23" i="5"/>
  <c r="Q84" i="2" l="1"/>
  <c r="Q83" i="2"/>
  <c r="Q93" i="2" l="1"/>
  <c r="Q81" i="2"/>
  <c r="Q21" i="2" l="1"/>
  <c r="Q64" i="2"/>
  <c r="Q66" i="2" s="1"/>
  <c r="Q13" i="2"/>
  <c r="AB101" i="8" s="1"/>
  <c r="Q73" i="2"/>
  <c r="Q27" i="2"/>
  <c r="Q85" i="2" l="1"/>
  <c r="Q98" i="2" s="1"/>
  <c r="Q107" i="2" s="1"/>
  <c r="Q14" i="2"/>
  <c r="Q80" i="2"/>
  <c r="Q24" i="2"/>
  <c r="Q29" i="2"/>
  <c r="Q31" i="2" s="1"/>
  <c r="Q18" i="2"/>
  <c r="Q33" i="2" l="1"/>
  <c r="Q68" i="2"/>
  <c r="Q39" i="2"/>
  <c r="Q43" i="2" s="1"/>
  <c r="Q79" i="2" l="1"/>
  <c r="Q46" i="2"/>
  <c r="Q91" i="2" l="1"/>
  <c r="Q47" i="2"/>
  <c r="Q92" i="2" l="1"/>
  <c r="Q82" i="2"/>
  <c r="Q86" i="2" s="1"/>
  <c r="Q74" i="2"/>
  <c r="Q75" i="2" l="1"/>
  <c r="Q87" i="2"/>
  <c r="O36" i="6" l="1"/>
  <c r="O45" i="6" l="1"/>
  <c r="O15" i="6" l="1"/>
  <c r="O25" i="6" s="1"/>
  <c r="Q10" i="5" l="1"/>
  <c r="R27" i="7" l="1"/>
  <c r="R24" i="7"/>
  <c r="R22" i="7"/>
  <c r="R18" i="7"/>
  <c r="R16" i="7"/>
  <c r="Q6" i="5" l="1"/>
  <c r="AA64" i="8" l="1"/>
  <c r="AA61" i="8"/>
  <c r="AA67" i="8" s="1"/>
  <c r="R102" i="2"/>
  <c r="R99" i="2"/>
  <c r="AA72" i="8" l="1"/>
  <c r="AA76" i="8"/>
  <c r="AA74" i="8"/>
  <c r="Q17" i="8"/>
  <c r="Q20" i="8"/>
  <c r="Q65" i="8"/>
  <c r="AA65" i="8" s="1"/>
  <c r="Q46" i="8"/>
  <c r="Q27" i="8"/>
  <c r="Q58" i="8"/>
  <c r="O95" i="2" l="1"/>
  <c r="R95" i="2" s="1"/>
  <c r="O72" i="2"/>
  <c r="O69" i="7"/>
  <c r="R69" i="7" s="1"/>
  <c r="O68" i="7"/>
  <c r="R68" i="7" s="1"/>
  <c r="O67" i="7"/>
  <c r="R67" i="7" s="1"/>
  <c r="O66" i="7"/>
  <c r="R66" i="7" s="1"/>
  <c r="O64" i="7"/>
  <c r="R64" i="7" s="1"/>
  <c r="O63" i="7"/>
  <c r="R63" i="7" s="1"/>
  <c r="O62" i="7"/>
  <c r="R62" i="7" s="1"/>
  <c r="O59" i="7"/>
  <c r="R59" i="7" s="1"/>
  <c r="O56" i="7"/>
  <c r="R56" i="7" s="1"/>
  <c r="O45" i="7"/>
  <c r="R45" i="7" s="1"/>
  <c r="O30" i="7"/>
  <c r="R72" i="2" l="1"/>
  <c r="P103" i="2"/>
  <c r="R103" i="2" s="1"/>
  <c r="P94" i="2"/>
  <c r="R94" i="2" s="1"/>
  <c r="P84" i="2"/>
  <c r="P71" i="2"/>
  <c r="R71" i="2" s="1"/>
  <c r="O84" i="2"/>
  <c r="O83" i="2"/>
  <c r="Q62" i="8"/>
  <c r="AA62" i="8" s="1"/>
  <c r="Q43" i="8"/>
  <c r="Q55" i="8"/>
  <c r="Q52" i="8"/>
  <c r="Q49" i="8"/>
  <c r="Q34" i="8"/>
  <c r="Q31" i="8"/>
  <c r="Q24" i="8"/>
  <c r="R30" i="5"/>
  <c r="R26" i="5"/>
  <c r="R22" i="5"/>
  <c r="Q8" i="5"/>
  <c r="P83" i="2" l="1"/>
  <c r="Q67" i="8"/>
  <c r="Q21" i="8"/>
  <c r="Q84" i="8" l="1"/>
  <c r="Q72" i="8"/>
  <c r="Q82" i="8"/>
  <c r="Q80" i="8"/>
  <c r="Q78" i="8"/>
  <c r="Q74" i="8"/>
  <c r="P31" i="5" l="1"/>
  <c r="P27" i="5"/>
  <c r="P23" i="5"/>
  <c r="O96" i="2" l="1"/>
  <c r="R96" i="2" s="1"/>
  <c r="O104" i="2" l="1"/>
  <c r="R104" i="2" s="1"/>
  <c r="P30" i="5" l="1"/>
  <c r="P26" i="5"/>
  <c r="P22" i="5"/>
  <c r="Y88" i="8" l="1"/>
  <c r="Y89" i="8"/>
  <c r="Y87" i="8"/>
  <c r="P57" i="8"/>
  <c r="P54" i="8"/>
  <c r="P51" i="8"/>
  <c r="P48" i="8"/>
  <c r="P45" i="8"/>
  <c r="P42" i="8"/>
  <c r="P33" i="8"/>
  <c r="P30" i="8"/>
  <c r="P61" i="8" l="1"/>
  <c r="Z61" i="8" s="1"/>
  <c r="Z67" i="8" s="1"/>
  <c r="Y61" i="8"/>
  <c r="Y67" i="8" s="1"/>
  <c r="P64" i="8"/>
  <c r="Z64" i="8" s="1"/>
  <c r="Y64" i="8"/>
  <c r="P23" i="8"/>
  <c r="P17" i="8" s="1"/>
  <c r="P67" i="8" s="1"/>
  <c r="P84" i="8" s="1"/>
  <c r="O17" i="8"/>
  <c r="P26" i="8"/>
  <c r="P20" i="8" s="1"/>
  <c r="O20" i="8"/>
  <c r="P46" i="8"/>
  <c r="P58" i="8"/>
  <c r="P52" i="8"/>
  <c r="P34" i="8"/>
  <c r="N84" i="2"/>
  <c r="N83" i="2"/>
  <c r="Y76" i="8" l="1"/>
  <c r="Y72" i="8"/>
  <c r="Y74" i="8"/>
  <c r="Z76" i="8"/>
  <c r="Z74" i="8"/>
  <c r="Z72" i="8"/>
  <c r="P65" i="8"/>
  <c r="Z65" i="8" s="1"/>
  <c r="P27" i="8"/>
  <c r="P21" i="8"/>
  <c r="O26" i="7"/>
  <c r="R26" i="7" s="1"/>
  <c r="M84" i="2"/>
  <c r="M83" i="2"/>
  <c r="M73" i="2"/>
  <c r="M57" i="2"/>
  <c r="M53" i="2"/>
  <c r="M27" i="2"/>
  <c r="M21" i="2"/>
  <c r="M18" i="2"/>
  <c r="M64" i="2"/>
  <c r="M66" i="2" s="1"/>
  <c r="M93" i="2" l="1"/>
  <c r="M82" i="2"/>
  <c r="M85" i="2"/>
  <c r="P82" i="8"/>
  <c r="P74" i="8"/>
  <c r="P80" i="8"/>
  <c r="P78" i="8"/>
  <c r="P72" i="8"/>
  <c r="M80" i="2"/>
  <c r="M81" i="2"/>
  <c r="M71" i="7"/>
  <c r="L15" i="6"/>
  <c r="L25" i="6" s="1"/>
  <c r="M50" i="7"/>
  <c r="M53" i="7" s="1"/>
  <c r="M39" i="7"/>
  <c r="M41" i="7" s="1"/>
  <c r="L56" i="6"/>
  <c r="L58" i="6" s="1"/>
  <c r="L36" i="6"/>
  <c r="L45" i="6" s="1"/>
  <c r="M24" i="2"/>
  <c r="M92" i="2"/>
  <c r="M10" i="2"/>
  <c r="M13" i="2"/>
  <c r="X101" i="8" s="1"/>
  <c r="M29" i="2"/>
  <c r="M74" i="7" l="1"/>
  <c r="M78" i="7" s="1"/>
  <c r="L60" i="6"/>
  <c r="L66" i="6" s="1"/>
  <c r="M31" i="2"/>
  <c r="M14" i="2"/>
  <c r="M68" i="2" l="1"/>
  <c r="M39" i="2"/>
  <c r="M33" i="2"/>
  <c r="M43" i="2" l="1"/>
  <c r="M56" i="2" s="1"/>
  <c r="M58" i="2" s="1"/>
  <c r="M79" i="2"/>
  <c r="M86" i="2" s="1"/>
  <c r="M74" i="2"/>
  <c r="M46" i="2" l="1"/>
  <c r="M47" i="2" s="1"/>
  <c r="M52" i="2"/>
  <c r="M54" i="2" s="1"/>
  <c r="M75" i="2"/>
  <c r="M87" i="2"/>
  <c r="M91" i="2" l="1"/>
  <c r="M109" i="2" s="1"/>
  <c r="M112" i="2" s="1"/>
  <c r="M110" i="2" l="1"/>
  <c r="O58" i="8" l="1"/>
  <c r="O55" i="8"/>
  <c r="O52" i="8"/>
  <c r="O43" i="8"/>
  <c r="O34" i="8"/>
  <c r="O31" i="8"/>
  <c r="O27" i="8"/>
  <c r="O24" i="8"/>
  <c r="O46" i="8" l="1"/>
  <c r="O49" i="8"/>
  <c r="O62" i="8"/>
  <c r="Y62" i="8" s="1"/>
  <c r="O65" i="8"/>
  <c r="Y65" i="8" s="1"/>
  <c r="O22" i="5"/>
  <c r="O31" i="5"/>
  <c r="O26" i="5"/>
  <c r="O67" i="8" l="1"/>
  <c r="O21" i="8"/>
  <c r="O27" i="5"/>
  <c r="O30" i="5"/>
  <c r="O23" i="5"/>
  <c r="O78" i="8" l="1"/>
  <c r="O74" i="8"/>
  <c r="O72" i="8"/>
  <c r="O84" i="8"/>
  <c r="O82" i="8"/>
  <c r="O80" i="8"/>
  <c r="L39" i="7"/>
  <c r="K39" i="7"/>
  <c r="I39" i="7"/>
  <c r="H17" i="2" l="1"/>
  <c r="N62" i="8"/>
  <c r="X62" i="8" s="1"/>
  <c r="N55" i="8"/>
  <c r="N49" i="8"/>
  <c r="N43" i="8"/>
  <c r="N31" i="8"/>
  <c r="N30" i="5"/>
  <c r="N26" i="5"/>
  <c r="N22" i="5"/>
  <c r="N34" i="8"/>
  <c r="N31" i="5"/>
  <c r="N27" i="5"/>
  <c r="N23" i="5"/>
  <c r="L83" i="2"/>
  <c r="R83" i="2" s="1"/>
  <c r="L84" i="2"/>
  <c r="R84" i="2" s="1"/>
  <c r="K36" i="6"/>
  <c r="K45" i="6" s="1"/>
  <c r="K60" i="6" s="1"/>
  <c r="K66" i="6" s="1"/>
  <c r="L93" i="2"/>
  <c r="L92" i="2"/>
  <c r="M31" i="5"/>
  <c r="M27" i="5"/>
  <c r="M23" i="5"/>
  <c r="M58" i="8"/>
  <c r="M55" i="8"/>
  <c r="M46" i="8"/>
  <c r="M34" i="8"/>
  <c r="M27" i="8"/>
  <c r="M24" i="8"/>
  <c r="L71" i="7"/>
  <c r="L74" i="7" s="1"/>
  <c r="L50" i="7"/>
  <c r="L53" i="7" s="1"/>
  <c r="K15" i="6"/>
  <c r="K25" i="6"/>
  <c r="M67" i="8"/>
  <c r="M43" i="8"/>
  <c r="L41" i="7"/>
  <c r="M52" i="8"/>
  <c r="M49" i="8"/>
  <c r="M62" i="8"/>
  <c r="W62" i="8" s="1"/>
  <c r="M31" i="8"/>
  <c r="M65" i="8"/>
  <c r="W65" i="8" s="1"/>
  <c r="E36" i="2"/>
  <c r="E35" i="2"/>
  <c r="C36" i="6"/>
  <c r="D36" i="6"/>
  <c r="E36" i="6"/>
  <c r="F36" i="6"/>
  <c r="G36" i="6"/>
  <c r="H36" i="6"/>
  <c r="I36" i="6"/>
  <c r="I45" i="6" s="1"/>
  <c r="J95" i="2"/>
  <c r="J108" i="2"/>
  <c r="J99" i="2"/>
  <c r="J13" i="7"/>
  <c r="J22" i="7"/>
  <c r="I29" i="2"/>
  <c r="H29" i="2"/>
  <c r="G29" i="2"/>
  <c r="F29" i="2"/>
  <c r="D29" i="2"/>
  <c r="C29" i="2"/>
  <c r="B29" i="2"/>
  <c r="J106" i="2"/>
  <c r="J43" i="8"/>
  <c r="K71" i="2"/>
  <c r="K83" i="2" s="1"/>
  <c r="M30" i="5"/>
  <c r="M26" i="5"/>
  <c r="M22" i="5"/>
  <c r="E17" i="2"/>
  <c r="J57" i="2"/>
  <c r="J53" i="2"/>
  <c r="J69" i="7"/>
  <c r="J68" i="7"/>
  <c r="J67" i="7"/>
  <c r="J66" i="7"/>
  <c r="J64" i="7"/>
  <c r="J63" i="7"/>
  <c r="J62" i="7"/>
  <c r="J30" i="7"/>
  <c r="J27" i="7"/>
  <c r="J24" i="7"/>
  <c r="J18" i="7"/>
  <c r="J16" i="7"/>
  <c r="J83" i="2"/>
  <c r="L83" i="8"/>
  <c r="L81" i="8"/>
  <c r="L79" i="8"/>
  <c r="L77" i="8"/>
  <c r="L73" i="8"/>
  <c r="L71" i="8"/>
  <c r="L29" i="5"/>
  <c r="Q31" i="5" s="1"/>
  <c r="L25" i="5"/>
  <c r="Q27" i="5" s="1"/>
  <c r="K22" i="5"/>
  <c r="L8" i="5"/>
  <c r="L21" i="5"/>
  <c r="Q23" i="5" s="1"/>
  <c r="K26" i="5"/>
  <c r="K30" i="5"/>
  <c r="H26" i="7"/>
  <c r="G26" i="7"/>
  <c r="H19" i="7"/>
  <c r="G19" i="7"/>
  <c r="H17" i="7"/>
  <c r="G17" i="7"/>
  <c r="H12" i="7"/>
  <c r="J12" i="7" s="1"/>
  <c r="G12" i="7"/>
  <c r="J30" i="5"/>
  <c r="J26" i="5"/>
  <c r="J22" i="5"/>
  <c r="I83" i="2"/>
  <c r="I31" i="5"/>
  <c r="I27" i="5"/>
  <c r="I23" i="5"/>
  <c r="I30" i="5"/>
  <c r="I26" i="5"/>
  <c r="I22" i="5"/>
  <c r="C25" i="5"/>
  <c r="E23" i="6"/>
  <c r="D23" i="6"/>
  <c r="D25" i="6" s="1"/>
  <c r="D66" i="6" s="1"/>
  <c r="C23" i="6"/>
  <c r="F23" i="6"/>
  <c r="H96" i="2"/>
  <c r="H84" i="2"/>
  <c r="H83" i="2"/>
  <c r="E96" i="2"/>
  <c r="E104" i="2" s="1"/>
  <c r="E84" i="2"/>
  <c r="F96" i="2"/>
  <c r="F104" i="2" s="1"/>
  <c r="F84" i="2"/>
  <c r="G83" i="2"/>
  <c r="G94" i="2" s="1"/>
  <c r="G103" i="2" s="1"/>
  <c r="K103" i="2" s="1"/>
  <c r="D84" i="2"/>
  <c r="D96" i="2" s="1"/>
  <c r="D104" i="2" s="1"/>
  <c r="G53" i="2"/>
  <c r="G57" i="2"/>
  <c r="G93" i="2"/>
  <c r="G92" i="2"/>
  <c r="G64" i="2"/>
  <c r="G66" i="2" s="1"/>
  <c r="G80" i="2"/>
  <c r="C96" i="2"/>
  <c r="C104" i="2" s="1"/>
  <c r="C84" i="2"/>
  <c r="G96" i="2"/>
  <c r="G84" i="2"/>
  <c r="G21" i="2"/>
  <c r="G18" i="2"/>
  <c r="G24" i="2"/>
  <c r="G13" i="2"/>
  <c r="G82" i="2"/>
  <c r="G81" i="2"/>
  <c r="G57" i="8"/>
  <c r="E64" i="8"/>
  <c r="E65" i="8" s="1"/>
  <c r="E57" i="8"/>
  <c r="E58" i="8" s="1"/>
  <c r="E33" i="8"/>
  <c r="E34" i="8" s="1"/>
  <c r="G26" i="8"/>
  <c r="G33" i="8"/>
  <c r="G34" i="8" s="1"/>
  <c r="G45" i="8"/>
  <c r="G51" i="8"/>
  <c r="G52" i="8" s="1"/>
  <c r="E26" i="8"/>
  <c r="E45" i="8"/>
  <c r="E46" i="8" s="1"/>
  <c r="E51" i="8"/>
  <c r="E52" i="8" s="1"/>
  <c r="C57" i="8"/>
  <c r="C58" i="8" s="1"/>
  <c r="C51" i="8"/>
  <c r="C52" i="8" s="1"/>
  <c r="C45" i="8"/>
  <c r="C46" i="8" s="1"/>
  <c r="C33" i="8"/>
  <c r="C34" i="8" s="1"/>
  <c r="C26" i="8"/>
  <c r="C27" i="8" s="1"/>
  <c r="G64" i="8"/>
  <c r="G65" i="8" s="1"/>
  <c r="D64" i="8"/>
  <c r="D65" i="8" s="1"/>
  <c r="C64" i="8"/>
  <c r="C65" i="8" s="1"/>
  <c r="D20" i="8"/>
  <c r="G83" i="8"/>
  <c r="G81" i="8"/>
  <c r="G79" i="8"/>
  <c r="G77" i="8"/>
  <c r="G73" i="8"/>
  <c r="G71" i="8"/>
  <c r="F61" i="8"/>
  <c r="F54" i="8"/>
  <c r="F48" i="8"/>
  <c r="F42" i="8"/>
  <c r="F30" i="8"/>
  <c r="F23" i="8"/>
  <c r="E101" i="2"/>
  <c r="E100" i="2"/>
  <c r="E102" i="2"/>
  <c r="E95" i="2"/>
  <c r="E94" i="2"/>
  <c r="E70" i="2"/>
  <c r="E92" i="2" s="1"/>
  <c r="E69" i="2"/>
  <c r="E81" i="2" s="1"/>
  <c r="E44" i="2"/>
  <c r="E57" i="2" s="1"/>
  <c r="E42" i="2"/>
  <c r="G17" i="8"/>
  <c r="G67" i="8" s="1"/>
  <c r="E41" i="2"/>
  <c r="G10" i="2"/>
  <c r="E23" i="2"/>
  <c r="E8" i="2"/>
  <c r="E64" i="2" s="1"/>
  <c r="E66" i="2" s="1"/>
  <c r="E20" i="2"/>
  <c r="F93" i="2"/>
  <c r="F92" i="2"/>
  <c r="F82" i="2"/>
  <c r="F81" i="2"/>
  <c r="F80" i="2"/>
  <c r="F64" i="2"/>
  <c r="F66" i="2" s="1"/>
  <c r="F57" i="2"/>
  <c r="F53" i="2"/>
  <c r="F24" i="2"/>
  <c r="F21" i="2"/>
  <c r="F18" i="2"/>
  <c r="F13" i="2"/>
  <c r="H43" i="8"/>
  <c r="H49" i="8"/>
  <c r="H24" i="8"/>
  <c r="H55" i="8"/>
  <c r="H31" i="8"/>
  <c r="H62" i="8"/>
  <c r="R62" i="8" s="1"/>
  <c r="H20" i="8"/>
  <c r="H27" i="8"/>
  <c r="H58" i="8"/>
  <c r="H34" i="8"/>
  <c r="H65" i="8"/>
  <c r="R65" i="8" s="1"/>
  <c r="H46" i="8"/>
  <c r="H52" i="8"/>
  <c r="H17" i="8"/>
  <c r="G8" i="5"/>
  <c r="E17" i="8"/>
  <c r="D58" i="8"/>
  <c r="D52" i="8"/>
  <c r="D46" i="8"/>
  <c r="D34" i="8"/>
  <c r="D27" i="8"/>
  <c r="D17" i="8"/>
  <c r="D67" i="8" s="1"/>
  <c r="C17" i="8"/>
  <c r="E67" i="8"/>
  <c r="E84" i="8" s="1"/>
  <c r="D93" i="2"/>
  <c r="D92" i="2"/>
  <c r="D82" i="2"/>
  <c r="D81" i="2"/>
  <c r="D57" i="2"/>
  <c r="D53" i="2"/>
  <c r="C93" i="2"/>
  <c r="C92" i="2"/>
  <c r="C82" i="2"/>
  <c r="C81" i="2"/>
  <c r="C57" i="2"/>
  <c r="C53" i="2"/>
  <c r="B93" i="2"/>
  <c r="B92" i="2"/>
  <c r="B82" i="2"/>
  <c r="B81" i="2"/>
  <c r="B57" i="2"/>
  <c r="B53" i="2"/>
  <c r="D24" i="2"/>
  <c r="B80" i="2"/>
  <c r="C24" i="2"/>
  <c r="C18" i="2"/>
  <c r="C64" i="2"/>
  <c r="C66" i="2" s="1"/>
  <c r="D18" i="2"/>
  <c r="C80" i="2"/>
  <c r="D21" i="2"/>
  <c r="D13" i="2"/>
  <c r="D64" i="2"/>
  <c r="D66" i="2" s="1"/>
  <c r="D80" i="2"/>
  <c r="B18" i="2"/>
  <c r="B24" i="2"/>
  <c r="B64" i="2"/>
  <c r="B66" i="2" s="1"/>
  <c r="B21" i="2"/>
  <c r="C21" i="2"/>
  <c r="C13" i="2"/>
  <c r="B13" i="2"/>
  <c r="F29" i="5"/>
  <c r="K31" i="5" s="1"/>
  <c r="F25" i="5"/>
  <c r="K27" i="5" s="1"/>
  <c r="F21" i="5"/>
  <c r="H22" i="5"/>
  <c r="K23" i="5"/>
  <c r="E29" i="5"/>
  <c r="J31" i="5" s="1"/>
  <c r="E25" i="5"/>
  <c r="J27" i="5"/>
  <c r="E21" i="5"/>
  <c r="J23" i="5" s="1"/>
  <c r="D15" i="6"/>
  <c r="D45" i="6"/>
  <c r="D56" i="6"/>
  <c r="D58" i="6"/>
  <c r="C29" i="5"/>
  <c r="C21" i="5"/>
  <c r="C45" i="6"/>
  <c r="C56" i="6"/>
  <c r="C58" i="6"/>
  <c r="C60" i="6" s="1"/>
  <c r="C15" i="6"/>
  <c r="C25" i="6" s="1"/>
  <c r="C66" i="6" s="1"/>
  <c r="H31" i="5"/>
  <c r="H23" i="5"/>
  <c r="G21" i="5"/>
  <c r="L23" i="5" s="1"/>
  <c r="H27" i="5"/>
  <c r="D60" i="6"/>
  <c r="E45" i="6"/>
  <c r="E60" i="6" s="1"/>
  <c r="E15" i="6"/>
  <c r="E25" i="6"/>
  <c r="E56" i="6"/>
  <c r="E58" i="6"/>
  <c r="F45" i="6"/>
  <c r="F15" i="6"/>
  <c r="F25" i="6"/>
  <c r="F56" i="6"/>
  <c r="F58" i="6" s="1"/>
  <c r="F60" i="6" s="1"/>
  <c r="G15" i="6"/>
  <c r="G25" i="6" s="1"/>
  <c r="G45" i="6"/>
  <c r="G56" i="6"/>
  <c r="G58" i="6"/>
  <c r="G60" i="6" s="1"/>
  <c r="I55" i="8"/>
  <c r="I49" i="8"/>
  <c r="I43" i="8"/>
  <c r="I31" i="8"/>
  <c r="I62" i="8"/>
  <c r="S62" i="8" s="1"/>
  <c r="I24" i="8"/>
  <c r="I17" i="8"/>
  <c r="I52" i="8"/>
  <c r="I65" i="8"/>
  <c r="S65" i="8" s="1"/>
  <c r="I58" i="8"/>
  <c r="I27" i="8"/>
  <c r="I34" i="8"/>
  <c r="I46" i="8"/>
  <c r="I20" i="8"/>
  <c r="H15" i="6"/>
  <c r="H25" i="6"/>
  <c r="H45" i="6"/>
  <c r="H56" i="6"/>
  <c r="H58" i="6" s="1"/>
  <c r="H60" i="6" s="1"/>
  <c r="H66" i="6" s="1"/>
  <c r="G71" i="7"/>
  <c r="G74" i="7" s="1"/>
  <c r="G50" i="7"/>
  <c r="G53" i="7" s="1"/>
  <c r="H71" i="7"/>
  <c r="H74" i="7" s="1"/>
  <c r="H57" i="2"/>
  <c r="H53" i="2"/>
  <c r="H93" i="2"/>
  <c r="H81" i="2"/>
  <c r="H82" i="2"/>
  <c r="H92" i="2"/>
  <c r="H18" i="2"/>
  <c r="H80" i="2"/>
  <c r="H24" i="2"/>
  <c r="H21" i="2"/>
  <c r="H64" i="2"/>
  <c r="H66" i="2" s="1"/>
  <c r="H9" i="2"/>
  <c r="H13" i="2"/>
  <c r="S101" i="8" s="1"/>
  <c r="H10" i="2"/>
  <c r="H50" i="7"/>
  <c r="H53" i="7" s="1"/>
  <c r="J49" i="8"/>
  <c r="J55" i="8"/>
  <c r="J31" i="8"/>
  <c r="J62" i="8"/>
  <c r="T62" i="8" s="1"/>
  <c r="J24" i="8"/>
  <c r="J17" i="8"/>
  <c r="J65" i="8"/>
  <c r="T65" i="8" s="1"/>
  <c r="J52" i="8"/>
  <c r="J27" i="8"/>
  <c r="J34" i="8"/>
  <c r="J58" i="8"/>
  <c r="J20" i="8"/>
  <c r="J46" i="8"/>
  <c r="I53" i="2"/>
  <c r="I57" i="2"/>
  <c r="I15" i="6"/>
  <c r="I25" i="6" s="1"/>
  <c r="I71" i="7"/>
  <c r="I74" i="7" s="1"/>
  <c r="I21" i="2"/>
  <c r="I24" i="2"/>
  <c r="I10" i="2"/>
  <c r="I64" i="2"/>
  <c r="I66" i="2" s="1"/>
  <c r="I9" i="2"/>
  <c r="I13" i="2"/>
  <c r="I18" i="2"/>
  <c r="I93" i="2"/>
  <c r="I81" i="2"/>
  <c r="I80" i="2"/>
  <c r="I92" i="2"/>
  <c r="I82" i="2"/>
  <c r="I50" i="7"/>
  <c r="I53" i="7" s="1"/>
  <c r="I56" i="6"/>
  <c r="I58" i="6"/>
  <c r="I41" i="7"/>
  <c r="J56" i="7"/>
  <c r="L31" i="8"/>
  <c r="K30" i="8"/>
  <c r="L55" i="8"/>
  <c r="K54" i="8"/>
  <c r="P55" i="8" s="1"/>
  <c r="L24" i="8"/>
  <c r="K23" i="8"/>
  <c r="L17" i="8"/>
  <c r="L67" i="8" s="1"/>
  <c r="L74" i="8" s="1"/>
  <c r="K48" i="8"/>
  <c r="P49" i="8" s="1"/>
  <c r="L49" i="8"/>
  <c r="L43" i="8"/>
  <c r="K42" i="8"/>
  <c r="P43" i="8" s="1"/>
  <c r="K61" i="8"/>
  <c r="U61" i="8" s="1"/>
  <c r="U67" i="8" s="1"/>
  <c r="L62" i="8"/>
  <c r="V62" i="8" s="1"/>
  <c r="K64" i="8"/>
  <c r="U64" i="8" s="1"/>
  <c r="L65" i="8"/>
  <c r="V65" i="8" s="1"/>
  <c r="L58" i="8"/>
  <c r="K57" i="8"/>
  <c r="K51" i="8"/>
  <c r="L52" i="8"/>
  <c r="L46" i="8"/>
  <c r="K45" i="8"/>
  <c r="K33" i="8"/>
  <c r="K34" i="8" s="1"/>
  <c r="L34" i="8"/>
  <c r="L20" i="8"/>
  <c r="K26" i="8"/>
  <c r="L27" i="8"/>
  <c r="J107" i="2"/>
  <c r="J41" i="2"/>
  <c r="J35" i="2"/>
  <c r="J56" i="6"/>
  <c r="J58" i="6"/>
  <c r="J60" i="6" s="1"/>
  <c r="J66" i="6" s="1"/>
  <c r="J20" i="2"/>
  <c r="K21" i="2"/>
  <c r="K18" i="2"/>
  <c r="J17" i="2"/>
  <c r="K64" i="2"/>
  <c r="K66" i="2" s="1"/>
  <c r="K10" i="2"/>
  <c r="J8" i="2"/>
  <c r="J9" i="2" s="1"/>
  <c r="J12" i="2"/>
  <c r="K13" i="2"/>
  <c r="V101" i="8" s="1"/>
  <c r="J70" i="2"/>
  <c r="J92" i="2" s="1"/>
  <c r="K92" i="2"/>
  <c r="K82" i="2"/>
  <c r="J36" i="6"/>
  <c r="J45" i="6"/>
  <c r="J15" i="6"/>
  <c r="J25" i="6"/>
  <c r="J26" i="2"/>
  <c r="K27" i="2"/>
  <c r="K93" i="2"/>
  <c r="J69" i="2"/>
  <c r="J93" i="2" s="1"/>
  <c r="K81" i="2"/>
  <c r="J42" i="2"/>
  <c r="J36" i="2"/>
  <c r="J23" i="2"/>
  <c r="K24" i="2"/>
  <c r="K80" i="2"/>
  <c r="K29" i="2"/>
  <c r="J8" i="7"/>
  <c r="J76" i="7"/>
  <c r="J70" i="7"/>
  <c r="J60" i="7"/>
  <c r="J59" i="7"/>
  <c r="J61" i="7"/>
  <c r="J49" i="7"/>
  <c r="J48" i="7"/>
  <c r="J45" i="7"/>
  <c r="J15" i="7"/>
  <c r="J25" i="7"/>
  <c r="J21" i="7"/>
  <c r="J20" i="7"/>
  <c r="J14" i="7"/>
  <c r="J11" i="7"/>
  <c r="K53" i="2"/>
  <c r="K57" i="2"/>
  <c r="J19" i="7"/>
  <c r="J23" i="7"/>
  <c r="J57" i="7"/>
  <c r="J58" i="7"/>
  <c r="J33" i="7"/>
  <c r="J44" i="7"/>
  <c r="J65" i="7"/>
  <c r="K71" i="7"/>
  <c r="K74" i="7" s="1"/>
  <c r="J37" i="7"/>
  <c r="J35" i="7"/>
  <c r="J36" i="7"/>
  <c r="J34" i="7"/>
  <c r="J32" i="7"/>
  <c r="J31" i="7"/>
  <c r="K41" i="7"/>
  <c r="J46" i="7"/>
  <c r="K50" i="7"/>
  <c r="K53" i="7" s="1"/>
  <c r="J105" i="2"/>
  <c r="K85" i="2"/>
  <c r="K98" i="2" s="1"/>
  <c r="J97" i="2"/>
  <c r="K56" i="6"/>
  <c r="K58" i="6"/>
  <c r="J26" i="7" l="1"/>
  <c r="J17" i="7"/>
  <c r="J71" i="7"/>
  <c r="J74" i="7" s="1"/>
  <c r="J50" i="7"/>
  <c r="J53" i="7" s="1"/>
  <c r="G39" i="7"/>
  <c r="G41" i="7" s="1"/>
  <c r="G78" i="7" s="1"/>
  <c r="H39" i="7"/>
  <c r="H41" i="7" s="1"/>
  <c r="H78" i="7" s="1"/>
  <c r="G25" i="5"/>
  <c r="L27" i="5" s="1"/>
  <c r="H26" i="5"/>
  <c r="H30" i="5"/>
  <c r="G29" i="5"/>
  <c r="L31" i="5" s="1"/>
  <c r="K78" i="7"/>
  <c r="J39" i="7"/>
  <c r="J41" i="7" s="1"/>
  <c r="F66" i="6"/>
  <c r="E66" i="6"/>
  <c r="I60" i="6"/>
  <c r="I66" i="6" s="1"/>
  <c r="G66" i="6"/>
  <c r="J101" i="2"/>
  <c r="E53" i="2"/>
  <c r="J24" i="2"/>
  <c r="J13" i="2"/>
  <c r="U101" i="8" s="1"/>
  <c r="E80" i="2"/>
  <c r="J18" i="2"/>
  <c r="E93" i="2"/>
  <c r="J27" i="2"/>
  <c r="J21" i="2"/>
  <c r="E24" i="2"/>
  <c r="G31" i="2"/>
  <c r="G39" i="2" s="1"/>
  <c r="G43" i="2" s="1"/>
  <c r="G14" i="2"/>
  <c r="R101" i="8"/>
  <c r="I14" i="2"/>
  <c r="T101" i="8"/>
  <c r="H21" i="8"/>
  <c r="L21" i="8"/>
  <c r="K62" i="8"/>
  <c r="U62" i="8" s="1"/>
  <c r="F45" i="8"/>
  <c r="F46" i="8" s="1"/>
  <c r="D21" i="8"/>
  <c r="G46" i="8"/>
  <c r="E78" i="8"/>
  <c r="K52" i="8"/>
  <c r="K58" i="8"/>
  <c r="E72" i="8"/>
  <c r="I21" i="8"/>
  <c r="F57" i="8"/>
  <c r="F58" i="8" s="1"/>
  <c r="F51" i="8"/>
  <c r="F52" i="8" s="1"/>
  <c r="K55" i="8"/>
  <c r="E20" i="8"/>
  <c r="E21" i="8" s="1"/>
  <c r="F26" i="8"/>
  <c r="F27" i="8" s="1"/>
  <c r="K20" i="8"/>
  <c r="G58" i="8"/>
  <c r="G20" i="8"/>
  <c r="G101" i="8" s="1"/>
  <c r="K46" i="8"/>
  <c r="P24" i="8"/>
  <c r="K65" i="8"/>
  <c r="U65" i="8" s="1"/>
  <c r="K43" i="8"/>
  <c r="J21" i="8"/>
  <c r="I101" i="8"/>
  <c r="E80" i="8"/>
  <c r="G27" i="8"/>
  <c r="F64" i="8"/>
  <c r="F65" i="8" s="1"/>
  <c r="D84" i="8"/>
  <c r="D72" i="8"/>
  <c r="D82" i="8"/>
  <c r="P62" i="8"/>
  <c r="Z62" i="8" s="1"/>
  <c r="Q18" i="8"/>
  <c r="F17" i="8"/>
  <c r="F33" i="8"/>
  <c r="F34" i="8" s="1"/>
  <c r="O18" i="8"/>
  <c r="I18" i="8"/>
  <c r="C20" i="8"/>
  <c r="C21" i="8" s="1"/>
  <c r="K27" i="8"/>
  <c r="L18" i="8"/>
  <c r="K49" i="8"/>
  <c r="J67" i="8"/>
  <c r="E82" i="8"/>
  <c r="L84" i="8"/>
  <c r="P31" i="8"/>
  <c r="J18" i="8"/>
  <c r="E74" i="8"/>
  <c r="H18" i="8"/>
  <c r="E27" i="8"/>
  <c r="H67" i="8"/>
  <c r="H72" i="8" s="1"/>
  <c r="G78" i="8"/>
  <c r="G84" i="8"/>
  <c r="G82" i="8"/>
  <c r="G72" i="8"/>
  <c r="G74" i="8"/>
  <c r="G80" i="8"/>
  <c r="D78" i="8"/>
  <c r="L78" i="8"/>
  <c r="D80" i="8"/>
  <c r="C67" i="8"/>
  <c r="K17" i="8"/>
  <c r="L80" i="8"/>
  <c r="L72" i="8"/>
  <c r="I67" i="8"/>
  <c r="L101" i="8"/>
  <c r="K24" i="8"/>
  <c r="L82" i="8"/>
  <c r="K31" i="8"/>
  <c r="D74" i="8"/>
  <c r="L9" i="2"/>
  <c r="Q10" i="2"/>
  <c r="J100" i="2"/>
  <c r="J10" i="2"/>
  <c r="H14" i="2"/>
  <c r="J81" i="2"/>
  <c r="J101" i="8"/>
  <c r="C31" i="2"/>
  <c r="C68" i="2" s="1"/>
  <c r="G9" i="2"/>
  <c r="J73" i="2"/>
  <c r="J85" i="2" s="1"/>
  <c r="J98" i="2" s="1"/>
  <c r="J64" i="2"/>
  <c r="J66" i="2" s="1"/>
  <c r="J29" i="2"/>
  <c r="I31" i="2"/>
  <c r="I33" i="2" s="1"/>
  <c r="J104" i="2"/>
  <c r="H31" i="2"/>
  <c r="E82" i="2"/>
  <c r="E21" i="2"/>
  <c r="E13" i="2"/>
  <c r="E29" i="2"/>
  <c r="J80" i="2"/>
  <c r="J82" i="2"/>
  <c r="E18" i="2"/>
  <c r="C14" i="2"/>
  <c r="D101" i="8"/>
  <c r="D14" i="2"/>
  <c r="D31" i="2"/>
  <c r="B31" i="2"/>
  <c r="F14" i="2"/>
  <c r="F31" i="2"/>
  <c r="B14" i="2"/>
  <c r="K94" i="2"/>
  <c r="L73" i="2"/>
  <c r="L85" i="2" s="1"/>
  <c r="L98" i="2" s="1"/>
  <c r="L107" i="2" s="1"/>
  <c r="J72" i="2"/>
  <c r="J84" i="2" s="1"/>
  <c r="K84" i="2"/>
  <c r="I84" i="2"/>
  <c r="I96" i="2"/>
  <c r="K31" i="2"/>
  <c r="K14" i="2"/>
  <c r="L18" i="2"/>
  <c r="L21" i="2"/>
  <c r="L24" i="2"/>
  <c r="L13" i="2"/>
  <c r="W101" i="8" s="1"/>
  <c r="M9" i="2"/>
  <c r="I78" i="7"/>
  <c r="L27" i="2"/>
  <c r="L78" i="7"/>
  <c r="L64" i="2"/>
  <c r="L66" i="2" s="1"/>
  <c r="L80" i="2"/>
  <c r="L29" i="2"/>
  <c r="L82" i="2"/>
  <c r="L10" i="2"/>
  <c r="L81" i="2"/>
  <c r="N58" i="8"/>
  <c r="N65" i="8"/>
  <c r="X65" i="8" s="1"/>
  <c r="M78" i="8"/>
  <c r="M80" i="8"/>
  <c r="N52" i="8"/>
  <c r="N27" i="8"/>
  <c r="M18" i="8"/>
  <c r="M21" i="8"/>
  <c r="N46" i="8"/>
  <c r="N18" i="8"/>
  <c r="N67" i="8"/>
  <c r="M82" i="8"/>
  <c r="M72" i="8"/>
  <c r="N24" i="8"/>
  <c r="M84" i="8"/>
  <c r="M74" i="8"/>
  <c r="J78" i="7" l="1"/>
  <c r="G68" i="2"/>
  <c r="G79" i="2" s="1"/>
  <c r="G86" i="2" s="1"/>
  <c r="J31" i="2"/>
  <c r="J33" i="2" s="1"/>
  <c r="C39" i="2"/>
  <c r="C43" i="2" s="1"/>
  <c r="J14" i="2"/>
  <c r="K101" i="8"/>
  <c r="G21" i="8"/>
  <c r="H84" i="8"/>
  <c r="H74" i="8"/>
  <c r="E101" i="8"/>
  <c r="C101" i="8"/>
  <c r="J82" i="8"/>
  <c r="J84" i="8"/>
  <c r="J78" i="8"/>
  <c r="J72" i="8"/>
  <c r="J74" i="8"/>
  <c r="J80" i="8"/>
  <c r="H78" i="8"/>
  <c r="F20" i="8"/>
  <c r="F21" i="8" s="1"/>
  <c r="H82" i="8"/>
  <c r="H80" i="8"/>
  <c r="F67" i="8"/>
  <c r="I74" i="8"/>
  <c r="I82" i="8"/>
  <c r="I84" i="8"/>
  <c r="I78" i="8"/>
  <c r="I72" i="8"/>
  <c r="I80" i="8"/>
  <c r="C84" i="8"/>
  <c r="C74" i="8"/>
  <c r="C82" i="8"/>
  <c r="C72" i="8"/>
  <c r="C80" i="8"/>
  <c r="C78" i="8"/>
  <c r="P18" i="8"/>
  <c r="K18" i="8"/>
  <c r="K67" i="8"/>
  <c r="K21" i="8"/>
  <c r="I39" i="2"/>
  <c r="I43" i="2" s="1"/>
  <c r="I46" i="2" s="1"/>
  <c r="I68" i="2"/>
  <c r="I79" i="2" s="1"/>
  <c r="I86" i="2" s="1"/>
  <c r="H33" i="2"/>
  <c r="H39" i="2"/>
  <c r="H43" i="2" s="1"/>
  <c r="H68" i="2"/>
  <c r="H32" i="2"/>
  <c r="E31" i="2"/>
  <c r="E14" i="2"/>
  <c r="I32" i="2"/>
  <c r="J32" i="2"/>
  <c r="J39" i="2"/>
  <c r="J43" i="2" s="1"/>
  <c r="J68" i="2"/>
  <c r="J79" i="2" s="1"/>
  <c r="J86" i="2" s="1"/>
  <c r="C74" i="2"/>
  <c r="C79" i="2"/>
  <c r="C86" i="2" s="1"/>
  <c r="B68" i="2"/>
  <c r="B39" i="2"/>
  <c r="B43" i="2" s="1"/>
  <c r="G56" i="2"/>
  <c r="G58" i="2" s="1"/>
  <c r="G46" i="2"/>
  <c r="G52" i="2"/>
  <c r="G54" i="2" s="1"/>
  <c r="C52" i="2"/>
  <c r="C54" i="2" s="1"/>
  <c r="C56" i="2"/>
  <c r="C58" i="2" s="1"/>
  <c r="C46" i="2"/>
  <c r="D68" i="2"/>
  <c r="D39" i="2"/>
  <c r="D43" i="2" s="1"/>
  <c r="F68" i="2"/>
  <c r="F39" i="2"/>
  <c r="F43" i="2" s="1"/>
  <c r="G74" i="2"/>
  <c r="J96" i="2"/>
  <c r="L14" i="2"/>
  <c r="L31" i="2"/>
  <c r="M101" i="8"/>
  <c r="K33" i="2"/>
  <c r="K68" i="2"/>
  <c r="K32" i="2"/>
  <c r="K39" i="2"/>
  <c r="K43" i="2" s="1"/>
  <c r="N80" i="8"/>
  <c r="N78" i="8"/>
  <c r="N84" i="8"/>
  <c r="N74" i="8"/>
  <c r="N82" i="8"/>
  <c r="N72" i="8"/>
  <c r="N21" i="8"/>
  <c r="I74" i="2" l="1"/>
  <c r="J76" i="2" s="1"/>
  <c r="I52" i="2"/>
  <c r="I54" i="2" s="1"/>
  <c r="J74" i="2"/>
  <c r="I56" i="2"/>
  <c r="I58" i="2" s="1"/>
  <c r="F101" i="8"/>
  <c r="F82" i="8"/>
  <c r="F84" i="8"/>
  <c r="F72" i="8"/>
  <c r="F74" i="8"/>
  <c r="F80" i="8"/>
  <c r="F78" i="8"/>
  <c r="K72" i="8"/>
  <c r="K82" i="8"/>
  <c r="K84" i="8"/>
  <c r="K74" i="8"/>
  <c r="K78" i="8"/>
  <c r="K80" i="8"/>
  <c r="E39" i="2"/>
  <c r="G32" i="2"/>
  <c r="E68" i="2"/>
  <c r="H56" i="2"/>
  <c r="H58" i="2" s="1"/>
  <c r="H46" i="2"/>
  <c r="I48" i="2" s="1"/>
  <c r="H52" i="2"/>
  <c r="H54" i="2" s="1"/>
  <c r="H74" i="2"/>
  <c r="H76" i="2" s="1"/>
  <c r="H79" i="2"/>
  <c r="H86" i="2" s="1"/>
  <c r="H89" i="2" s="1"/>
  <c r="J88" i="2"/>
  <c r="J87" i="2"/>
  <c r="D74" i="2"/>
  <c r="D79" i="2"/>
  <c r="D86" i="2" s="1"/>
  <c r="G75" i="2"/>
  <c r="F74" i="2"/>
  <c r="F79" i="2"/>
  <c r="F86" i="2" s="1"/>
  <c r="I91" i="2"/>
  <c r="I109" i="2" s="1"/>
  <c r="I47" i="2"/>
  <c r="G87" i="2"/>
  <c r="D46" i="2"/>
  <c r="I49" i="2" s="1"/>
  <c r="D52" i="2"/>
  <c r="D54" i="2" s="1"/>
  <c r="D56" i="2"/>
  <c r="D58" i="2" s="1"/>
  <c r="C47" i="2"/>
  <c r="C91" i="2"/>
  <c r="C109" i="2" s="1"/>
  <c r="B79" i="2"/>
  <c r="B86" i="2" s="1"/>
  <c r="B74" i="2"/>
  <c r="G77" i="2" s="1"/>
  <c r="J46" i="2"/>
  <c r="J52" i="2"/>
  <c r="J54" i="2" s="1"/>
  <c r="J56" i="2"/>
  <c r="J58" i="2" s="1"/>
  <c r="J75" i="2"/>
  <c r="G47" i="2"/>
  <c r="G91" i="2"/>
  <c r="G109" i="2" s="1"/>
  <c r="B56" i="2"/>
  <c r="B58" i="2" s="1"/>
  <c r="B52" i="2"/>
  <c r="B54" i="2" s="1"/>
  <c r="B46" i="2"/>
  <c r="I87" i="2"/>
  <c r="H48" i="2"/>
  <c r="F56" i="2"/>
  <c r="F58" i="2" s="1"/>
  <c r="E43" i="2"/>
  <c r="F46" i="2"/>
  <c r="F52" i="2"/>
  <c r="F54" i="2" s="1"/>
  <c r="M32" i="2"/>
  <c r="L39" i="2"/>
  <c r="L68" i="2"/>
  <c r="L79" i="2" s="1"/>
  <c r="L86" i="2" s="1"/>
  <c r="L33" i="2"/>
  <c r="L32" i="2"/>
  <c r="K52" i="2"/>
  <c r="K54" i="2" s="1"/>
  <c r="K56" i="2"/>
  <c r="K58" i="2" s="1"/>
  <c r="K46" i="2"/>
  <c r="K74" i="2"/>
  <c r="K79" i="2"/>
  <c r="K86" i="2" s="1"/>
  <c r="K79" i="7"/>
  <c r="K81" i="7" s="1"/>
  <c r="K83" i="7" s="1"/>
  <c r="G79" i="7"/>
  <c r="G81" i="7" s="1"/>
  <c r="G83" i="7" s="1"/>
  <c r="I75" i="2" l="1"/>
  <c r="I77" i="2"/>
  <c r="H77" i="2"/>
  <c r="M88" i="2"/>
  <c r="Q89" i="2"/>
  <c r="E74" i="2"/>
  <c r="E79" i="2"/>
  <c r="E86" i="2" s="1"/>
  <c r="M89" i="2"/>
  <c r="H88" i="2"/>
  <c r="H87" i="2"/>
  <c r="G49" i="2"/>
  <c r="H75" i="2"/>
  <c r="M77" i="2"/>
  <c r="M49" i="2"/>
  <c r="H49" i="2"/>
  <c r="H91" i="2"/>
  <c r="H109" i="2" s="1"/>
  <c r="H47" i="2"/>
  <c r="I76" i="2"/>
  <c r="I88" i="2"/>
  <c r="I112" i="2"/>
  <c r="I110" i="2"/>
  <c r="E46" i="2"/>
  <c r="J49" i="2" s="1"/>
  <c r="E52" i="2"/>
  <c r="E54" i="2" s="1"/>
  <c r="E56" i="2"/>
  <c r="E58" i="2" s="1"/>
  <c r="F91" i="2"/>
  <c r="F109" i="2" s="1"/>
  <c r="F47" i="2"/>
  <c r="D91" i="2"/>
  <c r="D109" i="2" s="1"/>
  <c r="D47" i="2"/>
  <c r="B91" i="2"/>
  <c r="B109" i="2" s="1"/>
  <c r="B47" i="2"/>
  <c r="G112" i="2"/>
  <c r="G110" i="2"/>
  <c r="J47" i="2"/>
  <c r="J48" i="2"/>
  <c r="J91" i="2"/>
  <c r="J109" i="2" s="1"/>
  <c r="C112" i="2"/>
  <c r="G89" i="2"/>
  <c r="I89" i="2"/>
  <c r="L43" i="2"/>
  <c r="L46" i="2" s="1"/>
  <c r="Q49" i="2" s="1"/>
  <c r="L74" i="2"/>
  <c r="K75" i="2"/>
  <c r="K77" i="2"/>
  <c r="K91" i="2"/>
  <c r="K109" i="2" s="1"/>
  <c r="K49" i="2"/>
  <c r="K47" i="2"/>
  <c r="K87" i="2"/>
  <c r="K89" i="2"/>
  <c r="L87" i="2"/>
  <c r="L88" i="2"/>
  <c r="L89" i="2"/>
  <c r="H79" i="7"/>
  <c r="H81" i="7" s="1"/>
  <c r="H83" i="7" s="1"/>
  <c r="M76" i="2" l="1"/>
  <c r="Q77" i="2"/>
  <c r="L77" i="2"/>
  <c r="L76" i="2"/>
  <c r="G88" i="2"/>
  <c r="J89" i="2"/>
  <c r="H112" i="2"/>
  <c r="I113" i="2" s="1"/>
  <c r="H110" i="2"/>
  <c r="J77" i="2"/>
  <c r="G76" i="2"/>
  <c r="B112" i="2"/>
  <c r="D112" i="2"/>
  <c r="F112" i="2"/>
  <c r="J112" i="2"/>
  <c r="J110" i="2"/>
  <c r="E91" i="2"/>
  <c r="E109" i="2" s="1"/>
  <c r="E47" i="2"/>
  <c r="G48" i="2"/>
  <c r="L75" i="2"/>
  <c r="M48" i="2"/>
  <c r="L48" i="2"/>
  <c r="L49" i="2"/>
  <c r="L91" i="2"/>
  <c r="L109" i="2" s="1"/>
  <c r="L47" i="2"/>
  <c r="K112" i="2"/>
  <c r="K110" i="2"/>
  <c r="I79" i="7"/>
  <c r="I81" i="7" s="1"/>
  <c r="I83" i="7" s="1"/>
  <c r="M114" i="2" l="1"/>
  <c r="H113" i="2"/>
  <c r="K114" i="2"/>
  <c r="H114" i="2"/>
  <c r="G114" i="2"/>
  <c r="E112" i="2"/>
  <c r="J113" i="2"/>
  <c r="I114" i="2"/>
  <c r="L110" i="2"/>
  <c r="J79" i="7"/>
  <c r="J81" i="7" s="1"/>
  <c r="P79" i="7" s="1"/>
  <c r="G113" i="2" l="1"/>
  <c r="J114" i="2"/>
  <c r="J83" i="7"/>
  <c r="L79" i="7"/>
  <c r="L81" i="7" s="1"/>
  <c r="M79" i="7" s="1"/>
  <c r="M81" i="7" s="1"/>
  <c r="M83" i="7" l="1"/>
  <c r="N79" i="7"/>
  <c r="L83" i="7"/>
  <c r="N101" i="8" l="1"/>
  <c r="M36" i="6" l="1"/>
  <c r="M45" i="6" l="1"/>
  <c r="M15" i="6" l="1"/>
  <c r="M25" i="6" s="1"/>
  <c r="N93" i="2" l="1"/>
  <c r="N81" i="2"/>
  <c r="N21" i="2" l="1"/>
  <c r="N18" i="2"/>
  <c r="N29" i="2"/>
  <c r="N73" i="2"/>
  <c r="N27" i="2"/>
  <c r="N80" i="2"/>
  <c r="N24" i="2"/>
  <c r="N10" i="2"/>
  <c r="N13" i="2"/>
  <c r="Y101" i="8" s="1"/>
  <c r="N9" i="2"/>
  <c r="N64" i="2"/>
  <c r="N66" i="2" s="1"/>
  <c r="N85" i="2" l="1"/>
  <c r="N98" i="2" s="1"/>
  <c r="O101" i="8"/>
  <c r="N31" i="2"/>
  <c r="N14" i="2"/>
  <c r="N68" i="2" l="1"/>
  <c r="N79" i="2" s="1"/>
  <c r="N33" i="2"/>
  <c r="N39" i="2"/>
  <c r="N32" i="2"/>
  <c r="N43" i="2" l="1"/>
  <c r="N46" i="2" l="1"/>
  <c r="N48" i="2" l="1"/>
  <c r="N49" i="2"/>
  <c r="N47" i="2"/>
  <c r="N91" i="2"/>
  <c r="N57" i="2"/>
  <c r="N56" i="2"/>
  <c r="N53" i="2"/>
  <c r="N52" i="2"/>
  <c r="N58" i="2" l="1"/>
  <c r="N54" i="2"/>
  <c r="M56" i="6" l="1"/>
  <c r="M58" i="6" s="1"/>
  <c r="M60" i="6" s="1"/>
  <c r="M66" i="6" s="1"/>
  <c r="N71" i="7" l="1"/>
  <c r="N74" i="7" l="1"/>
  <c r="N92" i="2" l="1"/>
  <c r="N109" i="2" s="1"/>
  <c r="N74" i="2"/>
  <c r="N82" i="2"/>
  <c r="N86" i="2" s="1"/>
  <c r="N89" i="2" l="1"/>
  <c r="N88" i="2"/>
  <c r="N87" i="2"/>
  <c r="N77" i="2"/>
  <c r="N75" i="2"/>
  <c r="N76" i="2"/>
  <c r="N110" i="2"/>
  <c r="N112" i="2"/>
  <c r="N114" i="2" l="1"/>
  <c r="N113" i="2"/>
  <c r="N39" i="7" l="1"/>
  <c r="N41" i="7" s="1"/>
  <c r="N50" i="7"/>
  <c r="N53" i="7" s="1"/>
  <c r="N78" i="7" l="1"/>
  <c r="N81" i="7" s="1"/>
  <c r="O79" i="7" s="1"/>
  <c r="N83" i="7" l="1"/>
  <c r="O12" i="7" l="1"/>
  <c r="R12" i="7" s="1"/>
  <c r="O13" i="7"/>
  <c r="R13" i="7" s="1"/>
  <c r="O17" i="7"/>
  <c r="R17" i="7" s="1"/>
  <c r="O106" i="2" l="1"/>
  <c r="R106" i="2" l="1"/>
  <c r="O107" i="2"/>
  <c r="R107" i="2" l="1"/>
  <c r="O101" i="2"/>
  <c r="R101" i="2" l="1"/>
  <c r="O97" i="2" l="1"/>
  <c r="R97" i="2" l="1"/>
  <c r="O100" i="2" l="1"/>
  <c r="R100" i="2" l="1"/>
  <c r="O105" i="2" l="1"/>
  <c r="R105" i="2" l="1"/>
  <c r="O53" i="2" l="1"/>
  <c r="P53" i="2"/>
  <c r="P57" i="2" l="1"/>
  <c r="O57" i="2"/>
  <c r="L57" i="2" l="1"/>
  <c r="L56" i="2"/>
  <c r="L112" i="2"/>
  <c r="L53" i="2"/>
  <c r="L52" i="2"/>
  <c r="L54" i="2" l="1"/>
  <c r="M113" i="2"/>
  <c r="L114" i="2"/>
  <c r="L113" i="2"/>
  <c r="L58" i="2"/>
  <c r="O42" i="2" l="1"/>
  <c r="O36" i="2" l="1"/>
  <c r="O12" i="2"/>
  <c r="O41" i="2"/>
  <c r="O35" i="2"/>
  <c r="P81" i="2"/>
  <c r="P93" i="2"/>
  <c r="O69" i="2"/>
  <c r="O81" i="2" l="1"/>
  <c r="R81" i="2" s="1"/>
  <c r="O93" i="2"/>
  <c r="R93" i="2" s="1"/>
  <c r="R69" i="2"/>
  <c r="P73" i="2"/>
  <c r="P27" i="2"/>
  <c r="O26" i="2"/>
  <c r="O17" i="2"/>
  <c r="P18" i="2"/>
  <c r="P29" i="2"/>
  <c r="P64" i="2"/>
  <c r="P66" i="2" s="1"/>
  <c r="O8" i="2"/>
  <c r="P13" i="2"/>
  <c r="AA101" i="8" s="1"/>
  <c r="P10" i="2"/>
  <c r="P80" i="2"/>
  <c r="P24" i="2"/>
  <c r="O23" i="2"/>
  <c r="P21" i="2"/>
  <c r="O20" i="2"/>
  <c r="O21" i="2" l="1"/>
  <c r="O29" i="2"/>
  <c r="O18" i="2"/>
  <c r="O80" i="2"/>
  <c r="R80" i="2" s="1"/>
  <c r="O24" i="2"/>
  <c r="P31" i="2"/>
  <c r="P14" i="2"/>
  <c r="Q101" i="8"/>
  <c r="O27" i="2"/>
  <c r="Q9" i="2"/>
  <c r="O9" i="2"/>
  <c r="O13" i="2"/>
  <c r="Z101" i="8" s="1"/>
  <c r="O10" i="2"/>
  <c r="O64" i="2"/>
  <c r="O66" i="2" s="1"/>
  <c r="O73" i="2"/>
  <c r="P85" i="2"/>
  <c r="P98" i="2" s="1"/>
  <c r="N36" i="6" l="1"/>
  <c r="O85" i="2"/>
  <c r="R73" i="2"/>
  <c r="O14" i="2"/>
  <c r="P101" i="8"/>
  <c r="O31" i="2"/>
  <c r="P39" i="2"/>
  <c r="P43" i="2" s="1"/>
  <c r="P33" i="2"/>
  <c r="P32" i="2"/>
  <c r="P68" i="2"/>
  <c r="O98" i="2" l="1"/>
  <c r="R98" i="2" s="1"/>
  <c r="R85" i="2"/>
  <c r="P46" i="2"/>
  <c r="P52" i="2"/>
  <c r="P54" i="2" s="1"/>
  <c r="P56" i="2"/>
  <c r="P58" i="2" s="1"/>
  <c r="Q32" i="2"/>
  <c r="O39" i="2"/>
  <c r="O43" i="2" s="1"/>
  <c r="O32" i="2"/>
  <c r="O68" i="2"/>
  <c r="O33" i="2"/>
  <c r="P79" i="2"/>
  <c r="O46" i="2" l="1"/>
  <c r="O52" i="2"/>
  <c r="O54" i="2" s="1"/>
  <c r="O56" i="2"/>
  <c r="O58" i="2" s="1"/>
  <c r="P49" i="2"/>
  <c r="P47" i="2"/>
  <c r="P91" i="2"/>
  <c r="O79" i="2"/>
  <c r="Q48" i="2" l="1"/>
  <c r="O48" i="2"/>
  <c r="O49" i="2"/>
  <c r="O91" i="2"/>
  <c r="O47" i="2"/>
  <c r="O8" i="7" l="1"/>
  <c r="R8" i="7" s="1"/>
  <c r="P82" i="2" l="1"/>
  <c r="P86" i="2" s="1"/>
  <c r="O70" i="2"/>
  <c r="P92" i="2"/>
  <c r="P109" i="2" s="1"/>
  <c r="P74" i="2"/>
  <c r="P75" i="2" l="1"/>
  <c r="P77" i="2"/>
  <c r="R70" i="2"/>
  <c r="O92" i="2"/>
  <c r="O82" i="2"/>
  <c r="O74" i="2"/>
  <c r="P110" i="2"/>
  <c r="P112" i="2"/>
  <c r="P114" i="2" s="1"/>
  <c r="P89" i="2"/>
  <c r="P87" i="2"/>
  <c r="Q76" i="2" l="1"/>
  <c r="O75" i="2"/>
  <c r="O77" i="2"/>
  <c r="O76" i="2"/>
  <c r="R82" i="2"/>
  <c r="O86" i="2"/>
  <c r="R92" i="2"/>
  <c r="O109" i="2"/>
  <c r="Q88" i="2" l="1"/>
  <c r="O87" i="2"/>
  <c r="O89" i="2"/>
  <c r="O88" i="2"/>
  <c r="O110" i="2"/>
  <c r="O112" i="2"/>
  <c r="O113" i="2" l="1"/>
  <c r="O114" i="2"/>
  <c r="N45" i="6" l="1"/>
  <c r="N15" i="6" l="1"/>
  <c r="N25" i="6" s="1"/>
  <c r="N56" i="6" l="1"/>
  <c r="N58" i="6" s="1"/>
  <c r="N60" i="6" s="1"/>
  <c r="N66" i="6" s="1"/>
  <c r="Q109" i="2" l="1"/>
  <c r="Q110" i="2" l="1"/>
  <c r="Q57" i="2" l="1"/>
  <c r="Q56" i="2"/>
  <c r="Q112" i="2"/>
  <c r="Q53" i="2"/>
  <c r="Q52" i="2"/>
  <c r="Q58" i="2" l="1"/>
  <c r="Q114" i="2"/>
  <c r="Q113" i="2"/>
  <c r="Q54" i="2"/>
  <c r="O56" i="6" l="1"/>
  <c r="O58" i="6" s="1"/>
  <c r="O60" i="6" s="1"/>
  <c r="O66" i="6" s="1"/>
  <c r="O21" i="7" l="1"/>
  <c r="R21" i="7" s="1"/>
  <c r="O65" i="7" l="1"/>
  <c r="R65" i="7" s="1"/>
  <c r="O15" i="7" l="1"/>
  <c r="R15" i="7" s="1"/>
  <c r="O14" i="7" l="1"/>
  <c r="R14" i="7" s="1"/>
  <c r="O31" i="7" l="1"/>
  <c r="R31" i="7" s="1"/>
  <c r="O33" i="7"/>
  <c r="R33" i="7" s="1"/>
  <c r="O48" i="7"/>
  <c r="R48" i="7" s="1"/>
  <c r="O58" i="7"/>
  <c r="R58" i="7" s="1"/>
  <c r="O46" i="7"/>
  <c r="R46" i="7" s="1"/>
  <c r="O20" i="7"/>
  <c r="R20" i="7" s="1"/>
  <c r="O19" i="7"/>
  <c r="R19" i="7" s="1"/>
  <c r="O34" i="7"/>
  <c r="R34" i="7" s="1"/>
  <c r="O49" i="7"/>
  <c r="R49" i="7" s="1"/>
  <c r="O60" i="7"/>
  <c r="R60" i="7" s="1"/>
  <c r="O25" i="7"/>
  <c r="R25" i="7" s="1"/>
  <c r="O47" i="7"/>
  <c r="R47" i="7" s="1"/>
  <c r="O61" i="7"/>
  <c r="R61" i="7" s="1"/>
  <c r="O70" i="7"/>
  <c r="R70" i="7" s="1"/>
  <c r="O11" i="7" l="1"/>
  <c r="R11" i="7" s="1"/>
  <c r="O57" i="7"/>
  <c r="O71" i="7" s="1"/>
  <c r="O74" i="7" s="1"/>
  <c r="P71" i="7"/>
  <c r="P74" i="7" l="1"/>
  <c r="R71" i="7"/>
  <c r="R57" i="7"/>
  <c r="Z89" i="8" l="1"/>
  <c r="Z87" i="8"/>
  <c r="Z88" i="8"/>
  <c r="AA88" i="8" l="1"/>
  <c r="AA89" i="8"/>
  <c r="AA87" i="8"/>
  <c r="O28" i="7" l="1"/>
  <c r="R28" i="7" s="1"/>
  <c r="O38" i="7" l="1"/>
  <c r="R38" i="7" s="1"/>
  <c r="O23" i="7" l="1"/>
  <c r="R23" i="7" s="1"/>
  <c r="O35" i="7" l="1"/>
  <c r="R35" i="7" s="1"/>
  <c r="O37" i="7"/>
  <c r="R37" i="7" s="1"/>
  <c r="O36" i="7" l="1"/>
  <c r="R36" i="7" s="1"/>
  <c r="O32" i="7" l="1"/>
  <c r="O39" i="7" s="1"/>
  <c r="O41" i="7" s="1"/>
  <c r="P39" i="7"/>
  <c r="O44" i="7"/>
  <c r="O50" i="7" s="1"/>
  <c r="O53" i="7" s="1"/>
  <c r="P50" i="7"/>
  <c r="R32" i="7" l="1"/>
  <c r="P41" i="7"/>
  <c r="R39" i="7"/>
  <c r="R44" i="7"/>
  <c r="P53" i="7"/>
  <c r="R50" i="7"/>
  <c r="R53" i="7" l="1"/>
  <c r="O76" i="7" l="1"/>
  <c r="O78" i="7" s="1"/>
  <c r="O81" i="7" s="1"/>
  <c r="P78" i="7"/>
  <c r="P81" i="7" s="1"/>
  <c r="P83" i="7" s="1"/>
  <c r="R76" i="7" l="1"/>
  <c r="O83" i="7"/>
  <c r="Q79" i="7"/>
  <c r="Q71" i="7" l="1"/>
  <c r="Q74" i="7" s="1"/>
  <c r="Q50" i="7" l="1"/>
  <c r="Q53" i="7" s="1"/>
  <c r="Q39" i="7" l="1"/>
  <c r="Q41" i="7" s="1"/>
  <c r="Q78" i="7" l="1"/>
  <c r="Q81" i="7" s="1"/>
  <c r="Q83" i="7" s="1"/>
</calcChain>
</file>

<file path=xl/sharedStrings.xml><?xml version="1.0" encoding="utf-8"?>
<sst xmlns="http://schemas.openxmlformats.org/spreadsheetml/2006/main" count="482" uniqueCount="260">
  <si>
    <t>Headcount</t>
  </si>
  <si>
    <t>Revenues</t>
  </si>
  <si>
    <t>Gross profit</t>
  </si>
  <si>
    <t>General and administrative expenses</t>
  </si>
  <si>
    <t>Selling and marketing expenses</t>
  </si>
  <si>
    <t>Depreciation and amortization</t>
  </si>
  <si>
    <t>Total operating expenses</t>
  </si>
  <si>
    <t>Other income/ (expense)</t>
  </si>
  <si>
    <t>Interest on redeemable preferred stock</t>
  </si>
  <si>
    <t>Q1</t>
  </si>
  <si>
    <t>Q2</t>
  </si>
  <si>
    <t>Q3</t>
  </si>
  <si>
    <t>Q4</t>
  </si>
  <si>
    <t>FY</t>
  </si>
  <si>
    <t>Income Statement</t>
  </si>
  <si>
    <t>Balance Sheet</t>
  </si>
  <si>
    <t>Foreign Exchange Gain / (Loss)</t>
  </si>
  <si>
    <t>Assets</t>
  </si>
  <si>
    <t>Current assets:</t>
  </si>
  <si>
    <t>Restricted cash</t>
  </si>
  <si>
    <t>Accounts receivable</t>
  </si>
  <si>
    <t/>
  </si>
  <si>
    <t>Goodwill</t>
  </si>
  <si>
    <t>Liabilities and Stockholders Equity</t>
  </si>
  <si>
    <t>Current liabilities:</t>
  </si>
  <si>
    <t>Accounts payable</t>
  </si>
  <si>
    <t>Deferred revenue</t>
  </si>
  <si>
    <t>Accrued employee cost</t>
  </si>
  <si>
    <t>Income taxes payable</t>
  </si>
  <si>
    <t>Total current liabilities</t>
  </si>
  <si>
    <t>Additional paid-in capital</t>
  </si>
  <si>
    <t>Other assets</t>
  </si>
  <si>
    <t>Other non-current liabilities</t>
  </si>
  <si>
    <t>Retained earnings</t>
  </si>
  <si>
    <t>Net income</t>
  </si>
  <si>
    <t>Amortization of deferred financing costs</t>
  </si>
  <si>
    <t>Non-employee stock options</t>
  </si>
  <si>
    <t>Foreign exchange (gain)/loss (unrealized)</t>
  </si>
  <si>
    <t>Prepaid expenses and other current assets</t>
  </si>
  <si>
    <t>Accrued expenses and other liabilities</t>
  </si>
  <si>
    <t>Repayment of senior long-term debt</t>
  </si>
  <si>
    <t>Principal payments on capital lease obligations</t>
  </si>
  <si>
    <t>Repayment on redemption of preferred stock</t>
  </si>
  <si>
    <t>Proceeds from exercise of stock options</t>
  </si>
  <si>
    <t>Acquisition of treasury stock</t>
  </si>
  <si>
    <t>Cash and cash equivalents, end of year</t>
  </si>
  <si>
    <t>Cash Flow Statement</t>
  </si>
  <si>
    <t>Top - 3</t>
  </si>
  <si>
    <t>Top - 5</t>
  </si>
  <si>
    <t>Top - 10</t>
  </si>
  <si>
    <t>Top - 1</t>
  </si>
  <si>
    <t>Cashflow Statement</t>
  </si>
  <si>
    <t>Income from discontinued operations, net of taxes</t>
  </si>
  <si>
    <t>Adjustments to reconcile net income to net cash provided by operating activities:</t>
  </si>
  <si>
    <t>Repayment of bank borrowings and other long term debt</t>
  </si>
  <si>
    <t>Proceeds from sale of common stock, net of issuance costs</t>
  </si>
  <si>
    <t>Excess tax benefit/(deficiency) from stock-based compensation</t>
  </si>
  <si>
    <t>Effect of exchange rate changes on cash and cash equivalents</t>
  </si>
  <si>
    <t>GM</t>
  </si>
  <si>
    <t>Other metrics</t>
  </si>
  <si>
    <t>GM%</t>
  </si>
  <si>
    <t>Income tax (provision)/benefit</t>
  </si>
  <si>
    <t>Adjusted Operating Margin</t>
  </si>
  <si>
    <t>Operating expenses</t>
  </si>
  <si>
    <t>Accrued expenses and other current liabilities</t>
  </si>
  <si>
    <t>Non-current liabilities</t>
  </si>
  <si>
    <t>($ in thousands)</t>
  </si>
  <si>
    <t>Gross Margin</t>
  </si>
  <si>
    <t>Operating Margin</t>
  </si>
  <si>
    <t>Change in operating assets and liabilities (net of effect of acquisitions)</t>
  </si>
  <si>
    <t>EBIT</t>
  </si>
  <si>
    <t>Adjusted EBIT</t>
  </si>
  <si>
    <t>($ in thousands, except per share amounts)</t>
  </si>
  <si>
    <t>Total Liabilities</t>
  </si>
  <si>
    <t>Preferred Stock $0.001 par value; 15,000,000 shares authorized</t>
  </si>
  <si>
    <t>Common Stock</t>
  </si>
  <si>
    <t>Net Cash Flows from Financing</t>
  </si>
  <si>
    <t>Cash and Cash Equivalents from Continuing Operations, end of period</t>
  </si>
  <si>
    <t>Cash Flows from Investing (continuing operations)</t>
  </si>
  <si>
    <t>Cash Flows from Investing (discontinued operations)</t>
  </si>
  <si>
    <t>Cash Flows from Financing (continuing operations)</t>
  </si>
  <si>
    <t>Cash Flows from Financing (discontinued operations)</t>
  </si>
  <si>
    <t>Total Workstations</t>
  </si>
  <si>
    <t>NA</t>
  </si>
  <si>
    <t>Total Revenues</t>
  </si>
  <si>
    <t>Utilities</t>
  </si>
  <si>
    <t>Banking and Financial Services</t>
  </si>
  <si>
    <t>Other</t>
  </si>
  <si>
    <t>Revenue by Geography</t>
  </si>
  <si>
    <t>United States</t>
  </si>
  <si>
    <t>United Kingdom</t>
  </si>
  <si>
    <t>Reconciliation of GAAP to Non-GAAP Measures</t>
  </si>
  <si>
    <t>Cost of revenues (exclusive of depreciation and amortization)</t>
  </si>
  <si>
    <t>Interest and other income, net</t>
  </si>
  <si>
    <t>Income from continuing operations</t>
  </si>
  <si>
    <t>Income/(loss) from continuing operations before income taxes</t>
  </si>
  <si>
    <t>Income/(loss) from discontinued operations, net of taxes</t>
  </si>
  <si>
    <t>Net income/(loss) to common stockholders</t>
  </si>
  <si>
    <t>Diluted</t>
  </si>
  <si>
    <t>Continuing operations</t>
  </si>
  <si>
    <t>Discontinued operations</t>
  </si>
  <si>
    <t>Basic</t>
  </si>
  <si>
    <t>Total</t>
  </si>
  <si>
    <t>Weighted-average number of shares used in computing earnings per share</t>
  </si>
  <si>
    <t>Short-term investments</t>
  </si>
  <si>
    <t>Cash and cash equivalents</t>
  </si>
  <si>
    <t>Total current assets</t>
  </si>
  <si>
    <t>Total assets</t>
  </si>
  <si>
    <t>Stockholders' equity:</t>
  </si>
  <si>
    <t>Total Liabilities and Stockholders' Equity</t>
  </si>
  <si>
    <t>Cash flows from operating activities</t>
  </si>
  <si>
    <t>Share-based compensation expense</t>
  </si>
  <si>
    <t>Net cash provided by operating activities - continuing operations</t>
  </si>
  <si>
    <t>Net cash provided by operating activities</t>
  </si>
  <si>
    <t>Cash flows from investing activities:</t>
  </si>
  <si>
    <t>Cash flows from financing activities:</t>
  </si>
  <si>
    <t>Net increase/(decrease) in cash and cash equivalents</t>
  </si>
  <si>
    <t xml:space="preserve">Cash and cash equivalents, beginning of period </t>
  </si>
  <si>
    <t>Less cash and equivalents of discontinued operations, end of period</t>
  </si>
  <si>
    <t xml:space="preserve">Purchase of short-term investments </t>
  </si>
  <si>
    <t>Proceeds from Redemption of short-term investments</t>
  </si>
  <si>
    <t>Exl Service Holdings, Inc. stockholders' equity</t>
  </si>
  <si>
    <t>Total stockholders' equity</t>
  </si>
  <si>
    <t>Proceeds from issuance of stock to minority shareholders</t>
  </si>
  <si>
    <t>Noncontrolling interest</t>
  </si>
  <si>
    <t>Adjusted EBITDA</t>
  </si>
  <si>
    <t>Adjusted EBITDA Margin</t>
  </si>
  <si>
    <t>Net Income</t>
  </si>
  <si>
    <t>add: Depreciation</t>
  </si>
  <si>
    <t>subtract: Tax impact on stock compensation expense</t>
  </si>
  <si>
    <t>Accumulated other comprehensive Income/(loss)</t>
  </si>
  <si>
    <t>Sequential Growth</t>
  </si>
  <si>
    <t>Year-Over-Year Growth</t>
  </si>
  <si>
    <t>% of revenue</t>
  </si>
  <si>
    <t>Adjusted Net Income</t>
  </si>
  <si>
    <t>Adjusted Net Income Margin</t>
  </si>
  <si>
    <t>Adjusted Diluted earnings per share</t>
  </si>
  <si>
    <t>Non-controlling Interest</t>
  </si>
  <si>
    <t>Payment of debt issuance cost</t>
  </si>
  <si>
    <t>Proceeds from issuance of common stock from public offering, net of issuance costs</t>
  </si>
  <si>
    <t>Gain on bargain purchase</t>
  </si>
  <si>
    <t>Rest of world</t>
  </si>
  <si>
    <t>U.K. pound sterling / U.S. dollar</t>
  </si>
  <si>
    <t>Philippine peso / U.S. dollar</t>
  </si>
  <si>
    <t>Indian rupee / U.S. dollar</t>
  </si>
  <si>
    <t>Exchange Rates (average of month end exchange rates)</t>
  </si>
  <si>
    <t xml:space="preserve">    Q/Q Appreciation / (Depreciation)</t>
  </si>
  <si>
    <t xml:space="preserve">    Y/Y Appreciation / (Depreciation)</t>
  </si>
  <si>
    <t>Earnings/(loss)  per share (a)</t>
  </si>
  <si>
    <t>Y/Y revenue growth</t>
  </si>
  <si>
    <t>Travel, Transportation and Logistics</t>
  </si>
  <si>
    <t>Loss on sale of business unit</t>
  </si>
  <si>
    <t>Healthcare</t>
  </si>
  <si>
    <t>Insurance</t>
  </si>
  <si>
    <t>add: Reimbursement of transition and disentanglement costs</t>
  </si>
  <si>
    <t>Adjusted Revenues</t>
  </si>
  <si>
    <t>Gain/Loss on sale of fixed assets</t>
  </si>
  <si>
    <t>Proceeds from long-term borrowings</t>
  </si>
  <si>
    <t>Unrealized gain on short term investments</t>
  </si>
  <si>
    <t>Cash received from non-controlling interest shareholders</t>
  </si>
  <si>
    <t>Operations Management</t>
  </si>
  <si>
    <t>Analytics and Business Transformation</t>
  </si>
  <si>
    <t xml:space="preserve">Y/Y constant currency revenue growth % </t>
  </si>
  <si>
    <t>Q01</t>
  </si>
  <si>
    <t>Change in fair value of Earn-out consideration</t>
  </si>
  <si>
    <t>Q02</t>
  </si>
  <si>
    <t>subtract: Changes in fair value of Earn-out consideration, net of tax</t>
  </si>
  <si>
    <t>Q03</t>
  </si>
  <si>
    <t xml:space="preserve">    Q/Q (Appreciation) / Depreciation</t>
  </si>
  <si>
    <t xml:space="preserve">    Y/Y (Appreciation) / Depreciation</t>
  </si>
  <si>
    <t>Q04</t>
  </si>
  <si>
    <t>Finance &amp; Accounting</t>
  </si>
  <si>
    <t>All Other</t>
  </si>
  <si>
    <t>Revenues and Margins</t>
  </si>
  <si>
    <t xml:space="preserve">Attrition </t>
  </si>
  <si>
    <t>Business acquisition (net of cash acquired)</t>
  </si>
  <si>
    <t xml:space="preserve"> </t>
  </si>
  <si>
    <t>Revised</t>
  </si>
  <si>
    <t>Accounts receivable, net</t>
  </si>
  <si>
    <t>Advance income tax, net</t>
  </si>
  <si>
    <t>Property and equipment, net</t>
  </si>
  <si>
    <t>Deferred taxes, net</t>
  </si>
  <si>
    <t>Investment in equity affiliate</t>
  </si>
  <si>
    <t>Current portion of long-term borrowings</t>
  </si>
  <si>
    <t>Deferred income tax (benefit)/expense</t>
  </si>
  <si>
    <t>Excess tax benefit from stock-based compensation</t>
  </si>
  <si>
    <t>Write-off/Reserve of Doubtful receivables</t>
  </si>
  <si>
    <t>Purchase of property and equipment</t>
  </si>
  <si>
    <t>Proceeds from borrowings</t>
  </si>
  <si>
    <t>Repayment of borrowings</t>
  </si>
  <si>
    <t>add: Amortization of acquisition-related intangibles</t>
  </si>
  <si>
    <t>add: Stock-based compensation expense</t>
  </si>
  <si>
    <t>subtract: Tax impact on amortization of acquisition-related intangibles</t>
  </si>
  <si>
    <t>Less: Shares held in treasury</t>
  </si>
  <si>
    <t>Loss from equity-method investment</t>
  </si>
  <si>
    <t>FY 17</t>
  </si>
  <si>
    <t>add: Provision for litigation settlement</t>
  </si>
  <si>
    <t>add: provision for litigation settlement</t>
  </si>
  <si>
    <r>
      <t>Q2 2017</t>
    </r>
    <r>
      <rPr>
        <b/>
        <vertAlign val="superscript"/>
        <sz val="10"/>
        <rFont val="Arial"/>
        <family val="2"/>
      </rPr>
      <t>(1)</t>
    </r>
  </si>
  <si>
    <r>
      <t>Q1 2017</t>
    </r>
    <r>
      <rPr>
        <b/>
        <vertAlign val="superscript"/>
        <sz val="10"/>
        <rFont val="Arial"/>
        <family val="2"/>
      </rPr>
      <t>(1)</t>
    </r>
  </si>
  <si>
    <r>
      <t>Q3 2017</t>
    </r>
    <r>
      <rPr>
        <b/>
        <vertAlign val="superscript"/>
        <sz val="10"/>
        <rFont val="Arial"/>
        <family val="2"/>
      </rPr>
      <t>(1)</t>
    </r>
  </si>
  <si>
    <r>
      <t>Q4 2017</t>
    </r>
    <r>
      <rPr>
        <b/>
        <vertAlign val="superscript"/>
        <sz val="10"/>
        <rFont val="Arial"/>
        <family val="2"/>
      </rPr>
      <t>(1)</t>
    </r>
  </si>
  <si>
    <r>
      <t>FY 2017</t>
    </r>
    <r>
      <rPr>
        <b/>
        <vertAlign val="superscript"/>
        <sz val="10"/>
        <rFont val="Arial"/>
        <family val="2"/>
      </rPr>
      <t>(1)</t>
    </r>
  </si>
  <si>
    <t>add: Acquisition-related expenses</t>
  </si>
  <si>
    <r>
      <t>Q1</t>
    </r>
    <r>
      <rPr>
        <b/>
        <vertAlign val="superscript"/>
        <sz val="10"/>
        <rFont val="Arial"/>
        <family val="2"/>
      </rPr>
      <t>(d)</t>
    </r>
  </si>
  <si>
    <t>subtract: Tax impact on provision for litigation settlement</t>
  </si>
  <si>
    <t>Proceeds from convertible notes</t>
  </si>
  <si>
    <t>Impairment charges</t>
  </si>
  <si>
    <t>add: Non-cash interest expense related to convertible senior notes</t>
  </si>
  <si>
    <t>subtract: Acquisition related other income</t>
  </si>
  <si>
    <t>subtract: Tax impact non-cash interest expense related to convertible senior notes</t>
  </si>
  <si>
    <t>Amortization of non-cash interest expense related to convertible senior notes</t>
  </si>
  <si>
    <t>Net Cash Flows from Investing activities</t>
  </si>
  <si>
    <t>subtract: One-time tax expenses/(benefits)</t>
  </si>
  <si>
    <t>add: Acquisition-related expenses/(income)</t>
  </si>
  <si>
    <t>subtract: Tax impact on Acquisition-related expenses/(income)</t>
  </si>
  <si>
    <t>add/(subtract): Effect of Tax Reform Act and other one-time tax expenses/(benefits)</t>
  </si>
  <si>
    <t>Current portion of operating lease liabilities</t>
  </si>
  <si>
    <t>Operating lease liabilities, less current portion</t>
  </si>
  <si>
    <t>add: Impairment of acquisition-related intangibles, goodwill and long-lived assets and restructuring costs</t>
  </si>
  <si>
    <t>subtract: Tax impact on impairment of long lived assets and acquisition-related goodwill and intangibles and restructuring costs</t>
  </si>
  <si>
    <t>Impairment and restructuring charges</t>
  </si>
  <si>
    <t>add: Impairment of acquisition-related intangibles, goodwill and long-lived assets and restructuring charges</t>
  </si>
  <si>
    <t>Payment for purchase of non-controlling interest</t>
  </si>
  <si>
    <t>subtract: One-time tax benefits</t>
  </si>
  <si>
    <t>Amortization of operating lease right-of-use assets</t>
  </si>
  <si>
    <t>Operating lease liabilities</t>
  </si>
  <si>
    <t>Long-term borrowings, less current portion</t>
  </si>
  <si>
    <t>Finance lease liabilities, less current portion</t>
  </si>
  <si>
    <t>Depreciation and amortization expense</t>
  </si>
  <si>
    <t>Operating lease right-of-use assets</t>
  </si>
  <si>
    <t>Income taxes payable, net</t>
  </si>
  <si>
    <t>Deferred tax assets, net</t>
  </si>
  <si>
    <t>Intangible assets, net</t>
  </si>
  <si>
    <t>Deferred tax liabilities, net</t>
  </si>
  <si>
    <t>FY 19</t>
  </si>
  <si>
    <t>Emerging Business</t>
  </si>
  <si>
    <t>FY 18</t>
  </si>
  <si>
    <r>
      <t xml:space="preserve">Revised </t>
    </r>
    <r>
      <rPr>
        <b/>
        <vertAlign val="superscript"/>
        <sz val="16"/>
        <color theme="1"/>
        <rFont val="Calibri"/>
        <family val="2"/>
        <scheme val="minor"/>
      </rPr>
      <t>(2)</t>
    </r>
  </si>
  <si>
    <t>Revenue by Industry (4)</t>
  </si>
  <si>
    <t xml:space="preserve">Seat Utilization </t>
  </si>
  <si>
    <t>Client Concentration</t>
  </si>
  <si>
    <t xml:space="preserve">Operations Management </t>
  </si>
  <si>
    <t xml:space="preserve">Analytics </t>
  </si>
  <si>
    <r>
      <t xml:space="preserve">Revised </t>
    </r>
    <r>
      <rPr>
        <b/>
        <vertAlign val="superscript"/>
        <sz val="16"/>
        <color theme="1"/>
        <rFont val="Calibri"/>
        <family val="2"/>
        <scheme val="minor"/>
      </rPr>
      <t xml:space="preserve">(1) </t>
    </r>
  </si>
  <si>
    <r>
      <t xml:space="preserve">Revised </t>
    </r>
    <r>
      <rPr>
        <b/>
        <vertAlign val="superscript"/>
        <sz val="16"/>
        <color theme="1"/>
        <rFont val="Calibri"/>
        <family val="2"/>
        <scheme val="minor"/>
      </rPr>
      <t>(1)</t>
    </r>
  </si>
  <si>
    <r>
      <t>2020</t>
    </r>
    <r>
      <rPr>
        <b/>
        <vertAlign val="superscript"/>
        <sz val="16"/>
        <rFont val="Calibri"/>
        <family val="2"/>
        <scheme val="minor"/>
      </rPr>
      <t>(2)</t>
    </r>
  </si>
  <si>
    <t>Refer Form 10-K for the fiscal year ended December 31, 2018 for details.</t>
  </si>
  <si>
    <t xml:space="preserve">(1) Effective from January 1, 2017, On January 1, 2018, the Company adopted ASU 2017-07, Compensation-Retirement Benefits (Topic 715), Improving the Presentation of Net Periodic Pension Cost and Net Periodic Post Retirement Benefit Cost. </t>
  </si>
  <si>
    <t xml:space="preserve">     Refer Form 10-K for the fiscal year ended December 31, 2018 for details.</t>
  </si>
  <si>
    <t xml:space="preserve">(b) Effective from January 1, 2017, On January 1, 2018, the Company adopted ASU 2017-07, Compensation-Retirement Benefits (Topic 715), Improving the Presentation of Net Periodic Pension Cost and Net Periodic Post Retirement Benefit Cost. </t>
  </si>
  <si>
    <r>
      <t>Q1</t>
    </r>
    <r>
      <rPr>
        <b/>
        <vertAlign val="superscript"/>
        <sz val="10"/>
        <rFont val="Arial"/>
        <family val="2"/>
      </rPr>
      <t>(b)</t>
    </r>
  </si>
  <si>
    <r>
      <t>Q2</t>
    </r>
    <r>
      <rPr>
        <b/>
        <vertAlign val="superscript"/>
        <sz val="10"/>
        <rFont val="Arial"/>
        <family val="2"/>
      </rPr>
      <t>(b)(c)</t>
    </r>
  </si>
  <si>
    <r>
      <t>Q3</t>
    </r>
    <r>
      <rPr>
        <b/>
        <vertAlign val="superscript"/>
        <sz val="10"/>
        <rFont val="Arial"/>
        <family val="2"/>
      </rPr>
      <t>(b)(c)</t>
    </r>
  </si>
  <si>
    <r>
      <t>Q4</t>
    </r>
    <r>
      <rPr>
        <b/>
        <vertAlign val="superscript"/>
        <sz val="10"/>
        <rFont val="Arial"/>
        <family val="2"/>
      </rPr>
      <t>(b)(c)</t>
    </r>
  </si>
  <si>
    <r>
      <t>FY</t>
    </r>
    <r>
      <rPr>
        <b/>
        <vertAlign val="superscript"/>
        <sz val="10"/>
        <rFont val="Arial"/>
        <family val="2"/>
      </rPr>
      <t>(b)(c)</t>
    </r>
  </si>
  <si>
    <t>(a) Per share amounts may not foot due to rounding.</t>
  </si>
  <si>
    <t>(1) Effective from January 1, 2017, On January 1, 2018, The Company adopted the guidance in ASU 2016-18 "Statement of Cash Flows". Refer Form 10-K for the fiscal year ended December 31, 2018 for details.</t>
  </si>
  <si>
    <r>
      <t>(c) To exclude</t>
    </r>
    <r>
      <rPr>
        <b/>
        <i/>
        <sz val="10"/>
        <rFont val="Arial"/>
        <family val="2"/>
      </rPr>
      <t xml:space="preserve"> acquisition related expenses</t>
    </r>
    <r>
      <rPr>
        <i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one-time benefits</t>
    </r>
    <r>
      <rPr>
        <i/>
        <sz val="10"/>
        <rFont val="Arial"/>
        <family val="2"/>
      </rPr>
      <t xml:space="preserve">. </t>
    </r>
  </si>
  <si>
    <t xml:space="preserve">(2) Effective January 1, 2020, the Company made certain operational and structural changes to manage and report financial information through its four reportable segments: Insurance, Healthcare, Emerging Business and Analytics.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</si>
</sst>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i/>
      <sz val="10"/>
      <name val="Arial"/>
      <family val="2"/>
    </font>
    <font>
      <sz val="10"/>
      <color indexed="28"/>
      <name val="Arial"/>
      <family val="2"/>
    </font>
    <font>
      <b/>
      <sz val="10"/>
      <color indexed="2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vertAlign val="superscript"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Arial"/>
      <family val="2"/>
    </font>
    <font>
      <b/>
      <vertAlign val="superscript"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334">
    <xf numFmtId="0" fontId="0" fillId="0" borderId="0" xfId="0"/>
    <xf numFmtId="0" fontId="3" fillId="0" borderId="0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9" fontId="2" fillId="0" borderId="0" xfId="5" applyFont="1" applyFill="1" applyBorder="1"/>
    <xf numFmtId="0" fontId="7" fillId="0" borderId="0" xfId="0" applyFont="1"/>
    <xf numFmtId="10" fontId="4" fillId="0" borderId="0" xfId="0" applyNumberFormat="1" applyFont="1"/>
    <xf numFmtId="0" fontId="5" fillId="0" borderId="0" xfId="0" applyFont="1" applyFill="1" applyAlignment="1" applyProtection="1"/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 indent="1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horizontal="left" wrapText="1" indent="1"/>
    </xf>
    <xf numFmtId="0" fontId="8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horizontal="right"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0" fontId="5" fillId="0" borderId="0" xfId="0" applyFont="1" applyAlignment="1">
      <alignment horizontal="left"/>
    </xf>
    <xf numFmtId="164" fontId="5" fillId="0" borderId="0" xfId="2" applyNumberFormat="1" applyFont="1"/>
    <xf numFmtId="0" fontId="5" fillId="0" borderId="0" xfId="0" applyFont="1"/>
    <xf numFmtId="164" fontId="2" fillId="0" borderId="0" xfId="2" applyNumberFormat="1" applyFont="1"/>
    <xf numFmtId="5" fontId="2" fillId="0" borderId="0" xfId="2" applyNumberFormat="1" applyFont="1" applyFill="1"/>
    <xf numFmtId="164" fontId="2" fillId="0" borderId="0" xfId="2" applyNumberFormat="1" applyFont="1" applyFill="1"/>
    <xf numFmtId="0" fontId="2" fillId="0" borderId="0" xfId="0" applyFont="1" applyFill="1"/>
    <xf numFmtId="7" fontId="2" fillId="0" borderId="0" xfId="2" applyNumberFormat="1" applyFont="1"/>
    <xf numFmtId="43" fontId="2" fillId="0" borderId="0" xfId="2" applyFont="1"/>
    <xf numFmtId="165" fontId="10" fillId="0" borderId="0" xfId="5" applyNumberFormat="1" applyFont="1"/>
    <xf numFmtId="165" fontId="10" fillId="0" borderId="0" xfId="5" applyNumberFormat="1" applyFont="1" applyAlignment="1">
      <alignment horizontal="right"/>
    </xf>
    <xf numFmtId="0" fontId="9" fillId="0" borderId="0" xfId="0" applyFont="1" applyFill="1" applyAlignment="1" applyProtection="1">
      <alignment horizontal="left" indent="2"/>
    </xf>
    <xf numFmtId="0" fontId="2" fillId="0" borderId="0" xfId="0" applyFont="1" applyFill="1" applyAlignment="1" applyProtection="1"/>
    <xf numFmtId="0" fontId="4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6" fillId="0" borderId="0" xfId="0" applyFont="1" applyFill="1" applyBorder="1"/>
    <xf numFmtId="5" fontId="5" fillId="2" borderId="1" xfId="2" applyNumberFormat="1" applyFont="1" applyFill="1" applyBorder="1"/>
    <xf numFmtId="0" fontId="8" fillId="0" borderId="1" xfId="0" applyFont="1" applyFill="1" applyBorder="1" applyAlignment="1" applyProtection="1">
      <alignment wrapText="1"/>
    </xf>
    <xf numFmtId="0" fontId="3" fillId="0" borderId="1" xfId="0" applyFont="1" applyBorder="1"/>
    <xf numFmtId="0" fontId="9" fillId="0" borderId="0" xfId="0" applyFont="1" applyFill="1" applyAlignment="1" applyProtection="1">
      <alignment horizontal="left" indent="3"/>
    </xf>
    <xf numFmtId="0" fontId="2" fillId="0" borderId="0" xfId="0" applyFont="1" applyFill="1" applyAlignment="1" applyProtection="1">
      <alignment horizontal="left" indent="1"/>
    </xf>
    <xf numFmtId="0" fontId="8" fillId="2" borderId="1" xfId="0" applyFont="1" applyFill="1" applyBorder="1" applyAlignment="1" applyProtection="1">
      <alignment wrapText="1"/>
    </xf>
    <xf numFmtId="0" fontId="3" fillId="2" borderId="1" xfId="0" applyFont="1" applyFill="1" applyBorder="1"/>
    <xf numFmtId="0" fontId="3" fillId="2" borderId="0" xfId="0" applyFont="1" applyFill="1"/>
    <xf numFmtId="0" fontId="5" fillId="0" borderId="0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left" wrapText="1" indent="1"/>
    </xf>
    <xf numFmtId="0" fontId="8" fillId="2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3" xfId="0" applyFont="1" applyFill="1" applyBorder="1" applyAlignment="1" applyProtection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7" fontId="2" fillId="0" borderId="0" xfId="2" applyNumberFormat="1" applyFont="1"/>
    <xf numFmtId="0" fontId="5" fillId="2" borderId="4" xfId="1" applyFont="1" applyFill="1" applyBorder="1" applyAlignment="1"/>
    <xf numFmtId="0" fontId="10" fillId="0" borderId="5" xfId="1" applyFont="1" applyFill="1" applyBorder="1" applyAlignment="1">
      <alignment horizontal="left" indent="2"/>
    </xf>
    <xf numFmtId="0" fontId="2" fillId="0" borderId="5" xfId="1" applyFont="1" applyFill="1" applyBorder="1" applyAlignment="1">
      <alignment horizontal="left" indent="1"/>
    </xf>
    <xf numFmtId="0" fontId="5" fillId="0" borderId="5" xfId="1" applyFont="1" applyFill="1" applyBorder="1" applyAlignment="1"/>
    <xf numFmtId="0" fontId="2" fillId="0" borderId="5" xfId="0" applyFont="1" applyBorder="1" applyAlignment="1">
      <alignment horizontal="left" indent="1"/>
    </xf>
    <xf numFmtId="0" fontId="2" fillId="0" borderId="5" xfId="1" applyFont="1" applyFill="1" applyBorder="1" applyAlignment="1"/>
    <xf numFmtId="5" fontId="5" fillId="2" borderId="4" xfId="2" applyNumberFormat="1" applyFont="1" applyFill="1" applyBorder="1"/>
    <xf numFmtId="5" fontId="2" fillId="0" borderId="0" xfId="0" applyNumberFormat="1" applyFont="1"/>
    <xf numFmtId="0" fontId="5" fillId="0" borderId="0" xfId="0" applyFont="1" applyFill="1" applyAlignment="1" applyProtection="1">
      <alignment horizontal="left" wrapText="1" indent="1"/>
    </xf>
    <xf numFmtId="0" fontId="9" fillId="3" borderId="0" xfId="0" applyFont="1" applyFill="1" applyAlignment="1" applyProtection="1">
      <alignment horizontal="left" wrapText="1" indent="2"/>
    </xf>
    <xf numFmtId="0" fontId="9" fillId="3" borderId="0" xfId="0" applyFont="1" applyFill="1" applyAlignment="1" applyProtection="1">
      <alignment horizontal="left" wrapText="1" indent="1"/>
    </xf>
    <xf numFmtId="0" fontId="2" fillId="3" borderId="0" xfId="0" applyFont="1" applyFill="1" applyAlignment="1" applyProtection="1">
      <alignment horizontal="left" wrapText="1" indent="1"/>
    </xf>
    <xf numFmtId="0" fontId="4" fillId="3" borderId="0" xfId="0" applyFont="1" applyFill="1"/>
    <xf numFmtId="0" fontId="9" fillId="3" borderId="0" xfId="0" applyFont="1" applyFill="1" applyAlignment="1" applyProtection="1">
      <alignment wrapText="1"/>
    </xf>
    <xf numFmtId="0" fontId="8" fillId="3" borderId="0" xfId="0" applyFont="1" applyFill="1" applyAlignment="1" applyProtection="1">
      <alignment horizontal="left" wrapText="1" indent="1"/>
    </xf>
    <xf numFmtId="0" fontId="3" fillId="4" borderId="1" xfId="0" applyFont="1" applyFill="1" applyBorder="1"/>
    <xf numFmtId="0" fontId="4" fillId="4" borderId="1" xfId="0" applyFont="1" applyFill="1" applyBorder="1"/>
    <xf numFmtId="164" fontId="2" fillId="0" borderId="6" xfId="2" applyNumberFormat="1" applyFont="1" applyFill="1" applyBorder="1"/>
    <xf numFmtId="16" fontId="3" fillId="0" borderId="0" xfId="0" applyNumberFormat="1" applyFont="1" applyAlignment="1">
      <alignment horizontal="center"/>
    </xf>
    <xf numFmtId="39" fontId="2" fillId="0" borderId="0" xfId="2" applyNumberFormat="1" applyFont="1"/>
    <xf numFmtId="165" fontId="10" fillId="0" borderId="6" xfId="5" applyNumberFormat="1" applyFont="1" applyBorder="1"/>
    <xf numFmtId="164" fontId="5" fillId="4" borderId="1" xfId="2" applyNumberFormat="1" applyFont="1" applyFill="1" applyBorder="1"/>
    <xf numFmtId="0" fontId="4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7" fontId="2" fillId="0" borderId="0" xfId="0" applyNumberFormat="1" applyFont="1"/>
    <xf numFmtId="165" fontId="10" fillId="0" borderId="2" xfId="5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" fillId="0" borderId="5" xfId="1" applyFont="1" applyFill="1" applyBorder="1" applyAlignment="1">
      <alignment horizontal="left" indent="2"/>
    </xf>
    <xf numFmtId="0" fontId="2" fillId="0" borderId="5" xfId="1" applyFont="1" applyFill="1" applyBorder="1" applyAlignment="1">
      <alignment horizontal="left" indent="3"/>
    </xf>
    <xf numFmtId="0" fontId="2" fillId="0" borderId="7" xfId="1" applyFont="1" applyFill="1" applyBorder="1" applyAlignment="1">
      <alignment horizontal="left" indent="1"/>
    </xf>
    <xf numFmtId="0" fontId="5" fillId="0" borderId="5" xfId="1" applyFont="1" applyFill="1" applyBorder="1" applyAlignment="1">
      <alignment horizontal="left" indent="2"/>
    </xf>
    <xf numFmtId="9" fontId="2" fillId="0" borderId="0" xfId="5" applyFont="1"/>
    <xf numFmtId="0" fontId="2" fillId="0" borderId="0" xfId="0" applyFont="1" applyBorder="1"/>
    <xf numFmtId="43" fontId="5" fillId="4" borderId="1" xfId="2" applyFont="1" applyFill="1" applyBorder="1"/>
    <xf numFmtId="0" fontId="2" fillId="4" borderId="1" xfId="0" applyFont="1" applyFill="1" applyBorder="1"/>
    <xf numFmtId="9" fontId="2" fillId="0" borderId="0" xfId="5" applyFont="1" applyBorder="1"/>
    <xf numFmtId="165" fontId="5" fillId="4" borderId="1" xfId="0" applyNumberFormat="1" applyFont="1" applyFill="1" applyBorder="1"/>
    <xf numFmtId="0" fontId="2" fillId="0" borderId="0" xfId="0" applyFont="1" applyFill="1" applyBorder="1"/>
    <xf numFmtId="0" fontId="15" fillId="0" borderId="0" xfId="0" applyFont="1" applyFill="1" applyAlignment="1" applyProtection="1">
      <alignment horizontal="left" wrapText="1" indent="1"/>
    </xf>
    <xf numFmtId="5" fontId="4" fillId="0" borderId="0" xfId="0" applyNumberFormat="1" applyFont="1"/>
    <xf numFmtId="165" fontId="2" fillId="0" borderId="0" xfId="5" applyNumberFormat="1" applyFont="1"/>
    <xf numFmtId="5" fontId="4" fillId="0" borderId="0" xfId="0" applyNumberFormat="1" applyFont="1" applyBorder="1"/>
    <xf numFmtId="165" fontId="10" fillId="0" borderId="0" xfId="5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5" fillId="2" borderId="1" xfId="2" applyNumberFormat="1" applyFont="1" applyFill="1" applyBorder="1"/>
    <xf numFmtId="165" fontId="10" fillId="0" borderId="0" xfId="5" applyNumberFormat="1" applyFont="1" applyBorder="1"/>
    <xf numFmtId="7" fontId="5" fillId="2" borderId="1" xfId="2" applyNumberFormat="1" applyFont="1" applyFill="1" applyBorder="1"/>
    <xf numFmtId="0" fontId="10" fillId="0" borderId="5" xfId="0" applyFont="1" applyBorder="1" applyAlignment="1">
      <alignment horizontal="left" indent="2"/>
    </xf>
    <xf numFmtId="0" fontId="5" fillId="2" borderId="8" xfId="1" applyFont="1" applyFill="1" applyBorder="1" applyAlignment="1"/>
    <xf numFmtId="0" fontId="10" fillId="0" borderId="7" xfId="1" applyFont="1" applyFill="1" applyBorder="1" applyAlignment="1">
      <alignment horizontal="left" indent="2"/>
    </xf>
    <xf numFmtId="165" fontId="10" fillId="0" borderId="5" xfId="5" applyNumberFormat="1" applyFont="1" applyBorder="1" applyAlignment="1">
      <alignment horizontal="right"/>
    </xf>
    <xf numFmtId="10" fontId="2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10" fillId="0" borderId="0" xfId="1" applyFont="1" applyFill="1" applyBorder="1" applyAlignment="1">
      <alignment horizontal="left" indent="2"/>
    </xf>
    <xf numFmtId="0" fontId="10" fillId="0" borderId="2" xfId="1" applyFont="1" applyFill="1" applyBorder="1" applyAlignment="1">
      <alignment horizontal="left" indent="2"/>
    </xf>
    <xf numFmtId="164" fontId="4" fillId="0" borderId="0" xfId="3" applyNumberFormat="1" applyFont="1"/>
    <xf numFmtId="5" fontId="3" fillId="2" borderId="1" xfId="3" applyNumberFormat="1" applyFont="1" applyFill="1" applyBorder="1"/>
    <xf numFmtId="5" fontId="4" fillId="0" borderId="0" xfId="3" applyNumberFormat="1" applyFont="1"/>
    <xf numFmtId="5" fontId="3" fillId="0" borderId="1" xfId="3" applyNumberFormat="1" applyFont="1" applyBorder="1"/>
    <xf numFmtId="0" fontId="3" fillId="0" borderId="1" xfId="0" applyFont="1" applyFill="1" applyBorder="1" applyAlignment="1" applyProtection="1">
      <alignment wrapText="1"/>
    </xf>
    <xf numFmtId="164" fontId="4" fillId="0" borderId="0" xfId="3" applyNumberFormat="1" applyFont="1" applyBorder="1"/>
    <xf numFmtId="0" fontId="4" fillId="0" borderId="0" xfId="0" applyFont="1" applyFill="1" applyBorder="1" applyAlignment="1" applyProtection="1">
      <alignment wrapText="1"/>
    </xf>
    <xf numFmtId="37" fontId="4" fillId="0" borderId="0" xfId="3" applyNumberFormat="1" applyFont="1"/>
    <xf numFmtId="37" fontId="4" fillId="3" borderId="0" xfId="3" applyNumberFormat="1" applyFont="1" applyFill="1"/>
    <xf numFmtId="164" fontId="4" fillId="3" borderId="0" xfId="3" applyNumberFormat="1" applyFont="1" applyFill="1"/>
    <xf numFmtId="5" fontId="4" fillId="3" borderId="0" xfId="3" applyNumberFormat="1" applyFont="1" applyFill="1"/>
    <xf numFmtId="43" fontId="4" fillId="3" borderId="0" xfId="3" applyFont="1" applyFill="1"/>
    <xf numFmtId="5" fontId="3" fillId="3" borderId="0" xfId="3" applyNumberFormat="1" applyFont="1" applyFill="1"/>
    <xf numFmtId="164" fontId="3" fillId="3" borderId="0" xfId="3" applyNumberFormat="1" applyFont="1" applyFill="1"/>
    <xf numFmtId="164" fontId="4" fillId="0" borderId="0" xfId="3" applyNumberFormat="1" applyFont="1" applyFill="1" applyBorder="1"/>
    <xf numFmtId="164" fontId="3" fillId="2" borderId="1" xfId="3" applyNumberFormat="1" applyFont="1" applyFill="1" applyBorder="1"/>
    <xf numFmtId="164" fontId="13" fillId="3" borderId="0" xfId="3" applyNumberFormat="1" applyFont="1" applyFill="1"/>
    <xf numFmtId="5" fontId="3" fillId="3" borderId="1" xfId="3" applyNumberFormat="1" applyFont="1" applyFill="1" applyBorder="1"/>
    <xf numFmtId="164" fontId="4" fillId="0" borderId="1" xfId="3" applyNumberFormat="1" applyFont="1" applyBorder="1"/>
    <xf numFmtId="37" fontId="2" fillId="3" borderId="0" xfId="3" applyNumberFormat="1" applyFont="1" applyFill="1"/>
    <xf numFmtId="0" fontId="10" fillId="0" borderId="0" xfId="0" applyFont="1" applyBorder="1"/>
    <xf numFmtId="0" fontId="18" fillId="0" borderId="0" xfId="0" applyFont="1"/>
    <xf numFmtId="166" fontId="2" fillId="0" borderId="0" xfId="0" applyNumberFormat="1" applyFont="1"/>
    <xf numFmtId="9" fontId="10" fillId="0" borderId="0" xfId="5" applyFont="1"/>
    <xf numFmtId="0" fontId="19" fillId="0" borderId="0" xfId="0" applyFont="1"/>
    <xf numFmtId="4" fontId="2" fillId="0" borderId="0" xfId="0" applyNumberFormat="1" applyFont="1"/>
    <xf numFmtId="9" fontId="5" fillId="0" borderId="0" xfId="5" applyFont="1" applyBorder="1"/>
    <xf numFmtId="7" fontId="5" fillId="0" borderId="0" xfId="2" applyNumberFormat="1" applyFont="1"/>
    <xf numFmtId="5" fontId="5" fillId="0" borderId="0" xfId="2" applyNumberFormat="1" applyFont="1" applyFill="1"/>
    <xf numFmtId="165" fontId="10" fillId="0" borderId="0" xfId="5" applyNumberFormat="1" applyFont="1" applyFill="1"/>
    <xf numFmtId="164" fontId="4" fillId="0" borderId="0" xfId="2" applyNumberFormat="1" applyFont="1"/>
    <xf numFmtId="9" fontId="2" fillId="0" borderId="0" xfId="5" applyNumberFormat="1" applyFont="1" applyBorder="1"/>
    <xf numFmtId="165" fontId="10" fillId="0" borderId="2" xfId="5" applyNumberFormat="1" applyFont="1" applyFill="1" applyBorder="1"/>
    <xf numFmtId="0" fontId="20" fillId="0" borderId="0" xfId="4" applyBorder="1" applyAlignment="1" applyProtection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" fontId="2" fillId="0" borderId="0" xfId="0" applyNumberFormat="1" applyFont="1" applyBorder="1"/>
    <xf numFmtId="0" fontId="5" fillId="0" borderId="0" xfId="0" applyFont="1" applyBorder="1"/>
    <xf numFmtId="164" fontId="4" fillId="0" borderId="0" xfId="2" applyNumberFormat="1" applyFont="1" applyFill="1" applyBorder="1"/>
    <xf numFmtId="0" fontId="2" fillId="0" borderId="0" xfId="0" applyFont="1" applyFill="1" applyAlignment="1" applyProtection="1">
      <alignment horizontal="left" indent="3"/>
    </xf>
    <xf numFmtId="0" fontId="2" fillId="0" borderId="0" xfId="0" applyFont="1" applyFill="1" applyAlignment="1" applyProtection="1">
      <alignment horizontal="left" indent="2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Border="1"/>
    <xf numFmtId="0" fontId="23" fillId="0" borderId="0" xfId="0" applyFont="1" applyBorder="1"/>
    <xf numFmtId="0" fontId="22" fillId="4" borderId="1" xfId="0" applyFont="1" applyFill="1" applyBorder="1" applyAlignment="1">
      <alignment horizontal="center"/>
    </xf>
    <xf numFmtId="0" fontId="26" fillId="4" borderId="1" xfId="0" applyFont="1" applyFill="1" applyBorder="1"/>
    <xf numFmtId="5" fontId="25" fillId="4" borderId="1" xfId="2" applyNumberFormat="1" applyFont="1" applyFill="1" applyBorder="1"/>
    <xf numFmtId="0" fontId="22" fillId="0" borderId="0" xfId="0" applyFont="1" applyBorder="1" applyAlignment="1">
      <alignment horizontal="left" indent="1"/>
    </xf>
    <xf numFmtId="165" fontId="22" fillId="0" borderId="0" xfId="5" applyNumberFormat="1" applyFont="1" applyBorder="1"/>
    <xf numFmtId="165" fontId="23" fillId="0" borderId="0" xfId="5" applyNumberFormat="1" applyFont="1" applyBorder="1"/>
    <xf numFmtId="37" fontId="23" fillId="3" borderId="0" xfId="2" applyNumberFormat="1" applyFont="1" applyFill="1" applyBorder="1"/>
    <xf numFmtId="0" fontId="22" fillId="0" borderId="0" xfId="0" applyFont="1" applyAlignment="1"/>
    <xf numFmtId="0" fontId="26" fillId="4" borderId="0" xfId="0" applyFont="1" applyFill="1" applyBorder="1"/>
    <xf numFmtId="5" fontId="25" fillId="4" borderId="0" xfId="2" applyNumberFormat="1" applyFont="1" applyFill="1" applyBorder="1"/>
    <xf numFmtId="42" fontId="25" fillId="4" borderId="0" xfId="2" applyNumberFormat="1" applyFont="1" applyFill="1" applyBorder="1"/>
    <xf numFmtId="0" fontId="22" fillId="0" borderId="0" xfId="0" applyFont="1" applyAlignment="1">
      <alignment horizontal="left"/>
    </xf>
    <xf numFmtId="165" fontId="22" fillId="0" borderId="0" xfId="5" applyNumberFormat="1" applyFont="1" applyFill="1" applyBorder="1"/>
    <xf numFmtId="165" fontId="23" fillId="0" borderId="0" xfId="5" applyNumberFormat="1" applyFont="1" applyFill="1" applyBorder="1"/>
    <xf numFmtId="0" fontId="23" fillId="0" borderId="0" xfId="0" applyFont="1" applyBorder="1" applyAlignment="1">
      <alignment horizontal="left" indent="1"/>
    </xf>
    <xf numFmtId="5" fontId="23" fillId="0" borderId="0" xfId="0" applyNumberFormat="1" applyFont="1" applyBorder="1"/>
    <xf numFmtId="0" fontId="27" fillId="0" borderId="0" xfId="0" applyFont="1" applyBorder="1" applyAlignment="1">
      <alignment horizontal="center"/>
    </xf>
    <xf numFmtId="9" fontId="24" fillId="0" borderId="0" xfId="5" applyNumberFormat="1" applyFont="1"/>
    <xf numFmtId="164" fontId="2" fillId="0" borderId="0" xfId="0" applyNumberFormat="1" applyFont="1"/>
    <xf numFmtId="0" fontId="4" fillId="0" borderId="0" xfId="0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5" fillId="0" borderId="2" xfId="3" applyNumberFormat="1" applyFont="1" applyBorder="1" applyAlignment="1">
      <alignment horizontal="right"/>
    </xf>
    <xf numFmtId="37" fontId="5" fillId="0" borderId="3" xfId="3" applyNumberFormat="1" applyFont="1" applyBorder="1" applyAlignment="1">
      <alignment horizontal="right"/>
    </xf>
    <xf numFmtId="5" fontId="5" fillId="2" borderId="1" xfId="3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5" fontId="4" fillId="0" borderId="0" xfId="0" applyNumberFormat="1" applyFont="1" applyBorder="1" applyAlignment="1">
      <alignment horizontal="right"/>
    </xf>
    <xf numFmtId="5" fontId="5" fillId="0" borderId="0" xfId="3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2" fillId="0" borderId="0" xfId="3" applyNumberFormat="1" applyFont="1" applyAlignment="1">
      <alignment horizontal="right"/>
    </xf>
    <xf numFmtId="42" fontId="25" fillId="4" borderId="3" xfId="2" applyNumberFormat="1" applyFont="1" applyFill="1" applyBorder="1"/>
    <xf numFmtId="0" fontId="24" fillId="0" borderId="3" xfId="0" applyFont="1" applyBorder="1"/>
    <xf numFmtId="43" fontId="4" fillId="3" borderId="0" xfId="2" applyFont="1" applyFill="1"/>
    <xf numFmtId="43" fontId="4" fillId="0" borderId="0" xfId="2" applyFont="1"/>
    <xf numFmtId="9" fontId="24" fillId="0" borderId="0" xfId="5" applyFont="1"/>
    <xf numFmtId="164" fontId="2" fillId="0" borderId="0" xfId="2" applyNumberFormat="1" applyFont="1" applyFill="1" applyAlignment="1">
      <alignment horizontal="right"/>
    </xf>
    <xf numFmtId="164" fontId="4" fillId="0" borderId="0" xfId="2" applyNumberFormat="1" applyFont="1" applyBorder="1" applyAlignment="1">
      <alignment horizontal="right"/>
    </xf>
    <xf numFmtId="43" fontId="5" fillId="0" borderId="3" xfId="2" applyFont="1" applyBorder="1" applyAlignment="1">
      <alignment horizontal="right"/>
    </xf>
    <xf numFmtId="43" fontId="4" fillId="0" borderId="0" xfId="2" applyFont="1" applyBorder="1"/>
    <xf numFmtId="43" fontId="2" fillId="0" borderId="0" xfId="2" applyFont="1" applyAlignment="1">
      <alignment horizontal="right"/>
    </xf>
    <xf numFmtId="164" fontId="2" fillId="0" borderId="0" xfId="0" applyNumberFormat="1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5" fillId="5" borderId="1" xfId="2" applyNumberFormat="1" applyFont="1" applyFill="1" applyBorder="1"/>
    <xf numFmtId="165" fontId="10" fillId="5" borderId="0" xfId="5" applyNumberFormat="1" applyFont="1" applyFill="1"/>
    <xf numFmtId="164" fontId="2" fillId="5" borderId="0" xfId="2" applyNumberFormat="1" applyFont="1" applyFill="1"/>
    <xf numFmtId="164" fontId="5" fillId="5" borderId="0" xfId="2" applyNumberFormat="1" applyFont="1" applyFill="1"/>
    <xf numFmtId="5" fontId="5" fillId="5" borderId="1" xfId="2" applyNumberFormat="1" applyFont="1" applyFill="1" applyBorder="1"/>
    <xf numFmtId="5" fontId="2" fillId="5" borderId="0" xfId="2" applyNumberFormat="1" applyFont="1" applyFill="1"/>
    <xf numFmtId="37" fontId="2" fillId="5" borderId="0" xfId="2" applyNumberFormat="1" applyFont="1" applyFill="1"/>
    <xf numFmtId="165" fontId="10" fillId="5" borderId="0" xfId="5" applyNumberFormat="1" applyFont="1" applyFill="1" applyAlignment="1">
      <alignment horizontal="right"/>
    </xf>
    <xf numFmtId="165" fontId="10" fillId="5" borderId="6" xfId="5" applyNumberFormat="1" applyFont="1" applyFill="1" applyBorder="1"/>
    <xf numFmtId="7" fontId="2" fillId="5" borderId="0" xfId="2" applyNumberFormat="1" applyFont="1" applyFill="1"/>
    <xf numFmtId="39" fontId="2" fillId="5" borderId="0" xfId="2" applyNumberFormat="1" applyFont="1" applyFill="1"/>
    <xf numFmtId="7" fontId="5" fillId="5" borderId="0" xfId="2" applyNumberFormat="1" applyFont="1" applyFill="1"/>
    <xf numFmtId="164" fontId="2" fillId="5" borderId="6" xfId="2" applyNumberFormat="1" applyFont="1" applyFill="1" applyBorder="1"/>
    <xf numFmtId="164" fontId="2" fillId="5" borderId="0" xfId="2" applyNumberFormat="1" applyFont="1" applyFill="1" applyBorder="1" applyAlignment="1">
      <alignment horizontal="right"/>
    </xf>
    <xf numFmtId="165" fontId="10" fillId="5" borderId="0" xfId="5" applyNumberFormat="1" applyFont="1" applyFill="1" applyBorder="1"/>
    <xf numFmtId="37" fontId="2" fillId="5" borderId="0" xfId="0" applyNumberFormat="1" applyFont="1" applyFill="1"/>
    <xf numFmtId="165" fontId="10" fillId="5" borderId="0" xfId="5" applyNumberFormat="1" applyFont="1" applyFill="1" applyBorder="1" applyAlignment="1">
      <alignment horizontal="right"/>
    </xf>
    <xf numFmtId="7" fontId="5" fillId="5" borderId="1" xfId="2" applyNumberFormat="1" applyFont="1" applyFill="1" applyBorder="1"/>
    <xf numFmtId="165" fontId="10" fillId="5" borderId="2" xfId="5" applyNumberFormat="1" applyFont="1" applyFill="1" applyBorder="1"/>
    <xf numFmtId="0" fontId="5" fillId="5" borderId="0" xfId="0" applyFont="1" applyFill="1"/>
    <xf numFmtId="5" fontId="5" fillId="5" borderId="0" xfId="2" applyNumberFormat="1" applyFont="1" applyFill="1"/>
    <xf numFmtId="5" fontId="2" fillId="5" borderId="0" xfId="0" applyNumberFormat="1" applyFont="1" applyFill="1"/>
    <xf numFmtId="165" fontId="22" fillId="6" borderId="0" xfId="5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0" xfId="2" applyNumberFormat="1" applyFont="1" applyBorder="1"/>
    <xf numFmtId="164" fontId="4" fillId="0" borderId="0" xfId="2" applyNumberFormat="1" applyFont="1" applyAlignment="1">
      <alignment horizontal="right"/>
    </xf>
    <xf numFmtId="5" fontId="23" fillId="6" borderId="0" xfId="0" applyNumberFormat="1" applyFont="1" applyFill="1" applyBorder="1"/>
    <xf numFmtId="165" fontId="23" fillId="0" borderId="0" xfId="0" applyNumberFormat="1" applyFont="1" applyFill="1" applyBorder="1"/>
    <xf numFmtId="0" fontId="4" fillId="0" borderId="0" xfId="0" applyFont="1" applyFill="1"/>
    <xf numFmtId="9" fontId="4" fillId="0" borderId="0" xfId="5" applyNumberFormat="1" applyFont="1" applyBorder="1"/>
    <xf numFmtId="165" fontId="4" fillId="0" borderId="0" xfId="5" applyNumberFormat="1" applyFont="1"/>
    <xf numFmtId="43" fontId="24" fillId="0" borderId="0" xfId="2" applyFont="1"/>
    <xf numFmtId="0" fontId="31" fillId="0" borderId="0" xfId="0" applyFont="1" applyFill="1"/>
    <xf numFmtId="164" fontId="31" fillId="0" borderId="0" xfId="2" applyNumberFormat="1" applyFont="1" applyFill="1"/>
    <xf numFmtId="43" fontId="2" fillId="0" borderId="0" xfId="0" applyNumberFormat="1" applyFont="1" applyFill="1"/>
    <xf numFmtId="9" fontId="4" fillId="0" borderId="0" xfId="5" applyFont="1" applyBorder="1"/>
    <xf numFmtId="165" fontId="2" fillId="0" borderId="0" xfId="5" applyNumberFormat="1" applyFont="1" applyBorder="1"/>
    <xf numFmtId="7" fontId="5" fillId="2" borderId="1" xfId="2" applyNumberFormat="1" applyFont="1" applyFill="1" applyBorder="1" applyAlignment="1">
      <alignment horizontal="right"/>
    </xf>
    <xf numFmtId="5" fontId="24" fillId="0" borderId="0" xfId="0" applyNumberFormat="1" applyFont="1"/>
    <xf numFmtId="164" fontId="2" fillId="0" borderId="0" xfId="2" applyNumberFormat="1" applyFont="1" applyFill="1" applyBorder="1" applyAlignment="1">
      <alignment horizontal="right"/>
    </xf>
    <xf numFmtId="164" fontId="4" fillId="0" borderId="0" xfId="2" quotePrefix="1" applyNumberFormat="1" applyFont="1"/>
    <xf numFmtId="0" fontId="32" fillId="0" borderId="0" xfId="0" applyFont="1" applyBorder="1"/>
    <xf numFmtId="5" fontId="2" fillId="7" borderId="0" xfId="0" applyNumberFormat="1" applyFont="1" applyFill="1" applyBorder="1"/>
    <xf numFmtId="0" fontId="5" fillId="0" borderId="0" xfId="0" applyFont="1" applyBorder="1" applyAlignment="1">
      <alignment horizontal="center"/>
    </xf>
    <xf numFmtId="164" fontId="2" fillId="7" borderId="0" xfId="2" applyNumberFormat="1" applyFont="1" applyFill="1" applyBorder="1"/>
    <xf numFmtId="5" fontId="5" fillId="7" borderId="0" xfId="0" applyNumberFormat="1" applyFont="1" applyFill="1" applyBorder="1"/>
    <xf numFmtId="164" fontId="24" fillId="0" borderId="0" xfId="2" applyNumberFormat="1" applyFont="1"/>
    <xf numFmtId="9" fontId="34" fillId="0" borderId="0" xfId="5" applyNumberFormat="1" applyFont="1"/>
    <xf numFmtId="9" fontId="34" fillId="0" borderId="0" xfId="5" applyFont="1"/>
    <xf numFmtId="43" fontId="10" fillId="0" borderId="0" xfId="2" applyFont="1"/>
    <xf numFmtId="164" fontId="10" fillId="0" borderId="0" xfId="2" applyNumberFormat="1" applyFont="1"/>
    <xf numFmtId="43" fontId="10" fillId="5" borderId="0" xfId="2" applyFont="1" applyFill="1"/>
    <xf numFmtId="43" fontId="2" fillId="3" borderId="0" xfId="2" applyFont="1" applyFill="1"/>
    <xf numFmtId="164" fontId="4" fillId="3" borderId="0" xfId="2" applyNumberFormat="1" applyFont="1" applyFill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6" borderId="10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10" fillId="0" borderId="0" xfId="5" applyNumberFormat="1" applyFont="1" applyFill="1" applyBorder="1" applyAlignment="1">
      <alignment horizontal="right"/>
    </xf>
    <xf numFmtId="165" fontId="24" fillId="0" borderId="3" xfId="5" applyNumberFormat="1" applyFont="1" applyBorder="1"/>
    <xf numFmtId="4" fontId="2" fillId="0" borderId="0" xfId="0" applyNumberFormat="1" applyFont="1" applyFill="1"/>
    <xf numFmtId="165" fontId="4" fillId="0" borderId="0" xfId="5" applyNumberFormat="1" applyFont="1" applyFill="1"/>
    <xf numFmtId="165" fontId="2" fillId="0" borderId="0" xfId="5" applyNumberFormat="1" applyFont="1" applyFill="1"/>
    <xf numFmtId="0" fontId="2" fillId="0" borderId="5" xfId="0" applyFont="1" applyBorder="1" applyAlignment="1">
      <alignment horizontal="left" wrapText="1" indent="1"/>
    </xf>
    <xf numFmtId="164" fontId="2" fillId="0" borderId="0" xfId="2" applyNumberFormat="1" applyFont="1" applyBorder="1" applyAlignment="1">
      <alignment horizontal="right" vertical="center"/>
    </xf>
    <xf numFmtId="164" fontId="2" fillId="5" borderId="0" xfId="2" applyNumberFormat="1" applyFont="1" applyFill="1" applyBorder="1" applyAlignment="1">
      <alignment horizontal="right" vertical="center"/>
    </xf>
    <xf numFmtId="164" fontId="2" fillId="0" borderId="0" xfId="2" applyNumberFormat="1" applyFont="1" applyFill="1" applyBorder="1" applyAlignment="1">
      <alignment horizontal="right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34" fillId="0" borderId="0" xfId="5" applyNumberFormat="1" applyFont="1" applyFill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right"/>
    </xf>
    <xf numFmtId="165" fontId="10" fillId="0" borderId="0" xfId="5" applyNumberFormat="1" applyFont="1" applyFill="1" applyBorder="1"/>
    <xf numFmtId="164" fontId="5" fillId="0" borderId="0" xfId="2" applyNumberFormat="1" applyFont="1" applyAlignment="1">
      <alignment horizontal="center"/>
    </xf>
    <xf numFmtId="164" fontId="36" fillId="0" borderId="0" xfId="2" applyNumberFormat="1" applyFont="1" applyAlignment="1">
      <alignment horizontal="center"/>
    </xf>
    <xf numFmtId="164" fontId="36" fillId="0" borderId="0" xfId="2" applyNumberFormat="1" applyFont="1" applyBorder="1" applyAlignment="1">
      <alignment horizontal="center"/>
    </xf>
    <xf numFmtId="164" fontId="3" fillId="0" borderId="0" xfId="2" applyNumberFormat="1" applyFont="1" applyBorder="1"/>
    <xf numFmtId="164" fontId="2" fillId="0" borderId="0" xfId="2" applyNumberFormat="1" applyFont="1" applyBorder="1"/>
    <xf numFmtId="42" fontId="25" fillId="4" borderId="1" xfId="2" applyNumberFormat="1" applyFont="1" applyFill="1" applyBorder="1"/>
    <xf numFmtId="164" fontId="2" fillId="0" borderId="0" xfId="2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/>
    <xf numFmtId="2" fontId="2" fillId="0" borderId="0" xfId="0" applyNumberFormat="1" applyFont="1"/>
    <xf numFmtId="164" fontId="5" fillId="0" borderId="2" xfId="3" applyNumberFormat="1" applyFont="1" applyBorder="1" applyAlignment="1">
      <alignment horizontal="right"/>
    </xf>
    <xf numFmtId="5" fontId="23" fillId="0" borderId="0" xfId="0" applyNumberFormat="1" applyFont="1" applyFill="1" applyBorder="1"/>
    <xf numFmtId="43" fontId="4" fillId="0" borderId="0" xfId="0" applyNumberFormat="1" applyFont="1"/>
    <xf numFmtId="0" fontId="3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5" fontId="5" fillId="0" borderId="0" xfId="0" applyNumberFormat="1" applyFont="1" applyFill="1" applyBorder="1"/>
    <xf numFmtId="5" fontId="2" fillId="0" borderId="0" xfId="0" applyNumberFormat="1" applyFont="1" applyFill="1" applyBorder="1"/>
    <xf numFmtId="5" fontId="5" fillId="0" borderId="2" xfId="3" applyNumberFormat="1" applyFont="1" applyFill="1" applyBorder="1" applyAlignment="1">
      <alignment horizontal="right"/>
    </xf>
    <xf numFmtId="43" fontId="5" fillId="0" borderId="3" xfId="2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5" fillId="0" borderId="2" xfId="3" applyNumberFormat="1" applyFont="1" applyFill="1" applyBorder="1" applyAlignment="1">
      <alignment horizontal="right"/>
    </xf>
    <xf numFmtId="37" fontId="5" fillId="0" borderId="3" xfId="3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5" fontId="5" fillId="0" borderId="0" xfId="3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3" applyNumberFormat="1" applyFont="1" applyFill="1" applyAlignment="1">
      <alignment horizontal="right"/>
    </xf>
    <xf numFmtId="43" fontId="2" fillId="0" borderId="0" xfId="2" applyFont="1" applyFill="1" applyAlignment="1">
      <alignment horizontal="right"/>
    </xf>
    <xf numFmtId="37" fontId="23" fillId="0" borderId="0" xfId="2" applyNumberFormat="1" applyFont="1" applyFill="1" applyBorder="1"/>
    <xf numFmtId="0" fontId="24" fillId="0" borderId="0" xfId="0" applyFont="1" applyFill="1"/>
    <xf numFmtId="164" fontId="25" fillId="4" borderId="1" xfId="2" applyNumberFormat="1" applyFont="1" applyFill="1" applyBorder="1"/>
    <xf numFmtId="165" fontId="23" fillId="6" borderId="0" xfId="0" applyNumberFormat="1" applyFont="1" applyFill="1" applyBorder="1"/>
    <xf numFmtId="0" fontId="23" fillId="0" borderId="0" xfId="0" applyFont="1" applyFill="1" applyBorder="1"/>
    <xf numFmtId="0" fontId="24" fillId="0" borderId="9" xfId="0" applyFont="1" applyBorder="1"/>
    <xf numFmtId="0" fontId="24" fillId="0" borderId="10" xfId="0" applyFont="1" applyBorder="1"/>
    <xf numFmtId="0" fontId="31" fillId="0" borderId="10" xfId="0" applyFont="1" applyFill="1" applyBorder="1"/>
    <xf numFmtId="0" fontId="31" fillId="0" borderId="11" xfId="0" applyFont="1" applyFill="1" applyBorder="1"/>
    <xf numFmtId="0" fontId="31" fillId="0" borderId="9" xfId="0" applyFont="1" applyFill="1" applyBorder="1"/>
    <xf numFmtId="0" fontId="4" fillId="0" borderId="0" xfId="0" applyFont="1" applyAlignment="1">
      <alignment horizontal="left" wrapText="1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8">
    <cellStyle name="%" xfId="1"/>
    <cellStyle name="Comma" xfId="2" builtinId="3"/>
    <cellStyle name="Comma 2" xfId="3"/>
    <cellStyle name="Hyperlink" xfId="4" builtinId="8"/>
    <cellStyle name="Normal" xfId="0" builtinId="0"/>
    <cellStyle name="Percent" xfId="5" builtinId="5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28575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952500</xdr:colOff>
      <xdr:row>2</xdr:row>
      <xdr:rowOff>66675</xdr:rowOff>
    </xdr:to>
    <xdr:pic>
      <xdr:nvPicPr>
        <xdr:cNvPr id="206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9144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1</xdr:row>
      <xdr:rowOff>466725</xdr:rowOff>
    </xdr:to>
    <xdr:pic>
      <xdr:nvPicPr>
        <xdr:cNvPr id="307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876300</xdr:colOff>
      <xdr:row>2</xdr:row>
      <xdr:rowOff>323850</xdr:rowOff>
    </xdr:to>
    <xdr:pic>
      <xdr:nvPicPr>
        <xdr:cNvPr id="410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8572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1057275</xdr:colOff>
      <xdr:row>2</xdr:row>
      <xdr:rowOff>69850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866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1181100</xdr:colOff>
      <xdr:row>2</xdr:row>
      <xdr:rowOff>69850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866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733425</xdr:colOff>
      <xdr:row>3</xdr:row>
      <xdr:rowOff>38100</xdr:rowOff>
    </xdr:to>
    <xdr:pic>
      <xdr:nvPicPr>
        <xdr:cNvPr id="51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866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showGridLines="0" zoomScale="80" zoomScaleNormal="80" workbookViewId="0">
      <selection activeCell="B8" sqref="B8"/>
    </sheetView>
  </sheetViews>
  <sheetFormatPr defaultColWidth="9.140625" defaultRowHeight="12.75" x14ac:dyDescent="0.2"/>
  <cols>
    <col min="1" max="1" width="9.140625" style="5"/>
    <col min="2" max="2" width="36.42578125" style="5" customWidth="1"/>
    <col min="3" max="16384" width="9.140625" style="5"/>
  </cols>
  <sheetData>
    <row r="1" spans="1:10" s="56" customFormat="1" x14ac:dyDescent="0.2"/>
    <row r="2" spans="1:10" ht="34.5" customHeight="1" x14ac:dyDescent="0.2"/>
    <row r="3" spans="1:10" ht="34.5" customHeight="1" x14ac:dyDescent="0.2"/>
    <row r="4" spans="1:10" ht="15.75" x14ac:dyDescent="0.25">
      <c r="A4" s="88">
        <v>1</v>
      </c>
      <c r="B4" s="150" t="s">
        <v>14</v>
      </c>
    </row>
    <row r="5" spans="1:10" ht="15.75" x14ac:dyDescent="0.25">
      <c r="A5" s="88">
        <v>2</v>
      </c>
      <c r="B5" s="150" t="s">
        <v>15</v>
      </c>
    </row>
    <row r="6" spans="1:10" ht="15.75" x14ac:dyDescent="0.25">
      <c r="A6" s="88">
        <v>3</v>
      </c>
      <c r="B6" s="150" t="s">
        <v>51</v>
      </c>
    </row>
    <row r="7" spans="1:10" ht="15.75" x14ac:dyDescent="0.25">
      <c r="A7" s="88">
        <v>4</v>
      </c>
      <c r="B7" s="150" t="s">
        <v>173</v>
      </c>
    </row>
    <row r="8" spans="1:10" ht="15.75" x14ac:dyDescent="0.25">
      <c r="A8" s="88">
        <v>5</v>
      </c>
      <c r="B8" s="150" t="s">
        <v>59</v>
      </c>
    </row>
    <row r="9" spans="1:10" s="41" customFormat="1" x14ac:dyDescent="0.2">
      <c r="A9" s="39"/>
      <c r="C9" s="39"/>
      <c r="D9" s="39"/>
      <c r="E9" s="39"/>
      <c r="F9" s="39"/>
      <c r="G9" s="39"/>
      <c r="H9" s="39"/>
      <c r="I9" s="39"/>
      <c r="J9" s="39"/>
    </row>
    <row r="10" spans="1:10" x14ac:dyDescent="0.2">
      <c r="A10" s="39"/>
      <c r="B10" s="40"/>
      <c r="C10" s="39"/>
      <c r="D10" s="39"/>
      <c r="E10" s="39"/>
      <c r="F10" s="39"/>
      <c r="G10" s="39"/>
      <c r="H10" s="39"/>
      <c r="I10" s="39"/>
      <c r="J10" s="39"/>
    </row>
    <row r="11" spans="1:10" x14ac:dyDescent="0.2">
      <c r="A11" s="39"/>
      <c r="B11" s="40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39"/>
      <c r="B12" s="40"/>
      <c r="C12" s="39"/>
      <c r="D12" s="39"/>
      <c r="E12" s="39"/>
      <c r="F12" s="39"/>
      <c r="G12" s="39"/>
      <c r="H12" s="39"/>
      <c r="I12" s="39"/>
      <c r="J12" s="39"/>
    </row>
    <row r="13" spans="1:10" x14ac:dyDescent="0.2">
      <c r="A13" s="39"/>
      <c r="B13" s="40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</row>
  </sheetData>
  <hyperlinks>
    <hyperlink ref="B4" location="'Income Statement'!A1" display="Income Statement"/>
    <hyperlink ref="B5" location="'Balance Sheet'!A1" display="Balance Sheet"/>
    <hyperlink ref="B6" location="Cashflow!A1" display="Cashflow Statement"/>
    <hyperlink ref="B8" location="'Other Metrics'!A1" display="Other metrics"/>
    <hyperlink ref="B7" location="'Revenues and Margins'!A1" display="Revenues and Margins"/>
  </hyperlink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124"/>
  <sheetViews>
    <sheetView showGridLines="0" zoomScale="90" zoomScaleNormal="90" zoomScaleSheetLayoutView="90" workbookViewId="0">
      <pane xSplit="1" ySplit="5" topLeftCell="B6" activePane="bottomRight" state="frozen"/>
      <selection activeCell="W48" sqref="W48"/>
      <selection pane="topRight" activeCell="W48" sqref="W48"/>
      <selection pane="bottomLeft" activeCell="W48" sqref="W48"/>
      <selection pane="bottomRight" activeCell="S18" sqref="S18"/>
    </sheetView>
  </sheetViews>
  <sheetFormatPr defaultColWidth="9.140625" defaultRowHeight="12.75" outlineLevelRow="1" outlineLevelCol="1" x14ac:dyDescent="0.2"/>
  <cols>
    <col min="1" max="1" width="39.140625" style="24" customWidth="1"/>
    <col min="2" max="2" width="11.140625" style="24" hidden="1" customWidth="1" outlineLevel="1"/>
    <col min="3" max="3" width="10.140625" style="24" hidden="1" customWidth="1" outlineLevel="1"/>
    <col min="4" max="4" width="11.42578125" style="24" hidden="1" customWidth="1" outlineLevel="1"/>
    <col min="5" max="5" width="12.85546875" style="24" hidden="1" customWidth="1" outlineLevel="1"/>
    <col min="6" max="6" width="11.42578125" style="24" customWidth="1" collapsed="1"/>
    <col min="7" max="7" width="11.42578125" style="24" hidden="1" customWidth="1" outlineLevel="1"/>
    <col min="8" max="10" width="12.140625" style="24" hidden="1" customWidth="1" outlineLevel="1"/>
    <col min="11" max="11" width="12.140625" style="24" customWidth="1" collapsed="1"/>
    <col min="12" max="15" width="12.140625" style="24" hidden="1" customWidth="1" outlineLevel="1"/>
    <col min="16" max="16" width="12.140625" style="24" customWidth="1" collapsed="1"/>
    <col min="17" max="17" width="12.140625" style="24" customWidth="1"/>
    <col min="18" max="18" width="10.42578125" style="24" hidden="1" customWidth="1"/>
    <col min="19" max="19" width="10.42578125" style="24" customWidth="1"/>
    <col min="20" max="20" width="9.140625" style="28" customWidth="1"/>
    <col min="21" max="16384" width="9.140625" style="24"/>
  </cols>
  <sheetData>
    <row r="1" spans="1:53" x14ac:dyDescent="0.2">
      <c r="A1" s="94"/>
    </row>
    <row r="2" spans="1:53" ht="30.75" customHeight="1" x14ac:dyDescent="0.2">
      <c r="A2" s="113"/>
      <c r="B2" s="31"/>
    </row>
    <row r="3" spans="1:53" x14ac:dyDescent="0.2">
      <c r="A3" s="94"/>
    </row>
    <row r="4" spans="1:53" s="4" customFormat="1" x14ac:dyDescent="0.2">
      <c r="A4" s="114" t="s">
        <v>14</v>
      </c>
      <c r="B4" s="158">
        <v>2017</v>
      </c>
      <c r="C4" s="158">
        <v>2017</v>
      </c>
      <c r="D4" s="158">
        <v>2017</v>
      </c>
      <c r="E4" s="158">
        <v>2017</v>
      </c>
      <c r="F4" s="158">
        <v>2017</v>
      </c>
      <c r="G4" s="209">
        <v>2018</v>
      </c>
      <c r="H4" s="158">
        <v>2018</v>
      </c>
      <c r="I4" s="158">
        <v>2018</v>
      </c>
      <c r="J4" s="158">
        <v>2018</v>
      </c>
      <c r="K4" s="158">
        <v>2018</v>
      </c>
      <c r="L4" s="158">
        <v>2019</v>
      </c>
      <c r="M4" s="158">
        <v>2019</v>
      </c>
      <c r="N4" s="158">
        <v>2019</v>
      </c>
      <c r="O4" s="158">
        <v>2019</v>
      </c>
      <c r="P4" s="158">
        <v>2019</v>
      </c>
      <c r="Q4" s="158">
        <v>2020</v>
      </c>
      <c r="S4" s="158"/>
      <c r="T4" s="287"/>
    </row>
    <row r="5" spans="1:53" s="4" customFormat="1" ht="14.25" x14ac:dyDescent="0.2">
      <c r="A5" s="114" t="s">
        <v>72</v>
      </c>
      <c r="B5" s="158" t="s">
        <v>251</v>
      </c>
      <c r="C5" s="158" t="s">
        <v>252</v>
      </c>
      <c r="D5" s="158" t="s">
        <v>253</v>
      </c>
      <c r="E5" s="158" t="s">
        <v>254</v>
      </c>
      <c r="F5" s="158" t="s">
        <v>255</v>
      </c>
      <c r="G5" s="209" t="s">
        <v>204</v>
      </c>
      <c r="H5" s="158" t="s">
        <v>10</v>
      </c>
      <c r="I5" s="158" t="s">
        <v>11</v>
      </c>
      <c r="J5" s="158" t="s">
        <v>12</v>
      </c>
      <c r="K5" s="158" t="s">
        <v>13</v>
      </c>
      <c r="L5" s="158" t="s">
        <v>9</v>
      </c>
      <c r="M5" s="158" t="s">
        <v>10</v>
      </c>
      <c r="N5" s="158" t="s">
        <v>11</v>
      </c>
      <c r="O5" s="158" t="s">
        <v>12</v>
      </c>
      <c r="P5" s="158" t="s">
        <v>13</v>
      </c>
      <c r="Q5" s="158" t="s">
        <v>9</v>
      </c>
      <c r="S5" s="158"/>
      <c r="T5" s="286"/>
    </row>
    <row r="6" spans="1:53" ht="6" customHeight="1" x14ac:dyDescent="0.2">
      <c r="A6" s="94"/>
      <c r="G6" s="210"/>
    </row>
    <row r="7" spans="1:53" ht="6" customHeight="1" x14ac:dyDescent="0.2">
      <c r="A7" s="94"/>
      <c r="G7" s="210"/>
    </row>
    <row r="8" spans="1:53" s="27" customFormat="1" x14ac:dyDescent="0.2">
      <c r="A8" s="59" t="s">
        <v>1</v>
      </c>
      <c r="B8" s="42">
        <v>183033</v>
      </c>
      <c r="C8" s="42">
        <v>189057</v>
      </c>
      <c r="D8" s="42">
        <v>192345</v>
      </c>
      <c r="E8" s="42">
        <f>+F8-SUM(B8,C8,D8)</f>
        <v>197875</v>
      </c>
      <c r="F8" s="42">
        <v>762310</v>
      </c>
      <c r="G8" s="215">
        <v>206973</v>
      </c>
      <c r="H8" s="42">
        <v>210112</v>
      </c>
      <c r="I8" s="42">
        <v>231124</v>
      </c>
      <c r="J8" s="42">
        <f>+K8-SUM(G8:I8)</f>
        <v>234903</v>
      </c>
      <c r="K8" s="42">
        <v>883112</v>
      </c>
      <c r="L8" s="42">
        <v>239573</v>
      </c>
      <c r="M8" s="42">
        <v>243509</v>
      </c>
      <c r="N8" s="42">
        <v>251392</v>
      </c>
      <c r="O8" s="42">
        <f>+P8-SUM(L8:N8)</f>
        <v>256872</v>
      </c>
      <c r="P8" s="42">
        <v>991346</v>
      </c>
      <c r="Q8" s="42">
        <v>245990</v>
      </c>
      <c r="T8" s="26"/>
    </row>
    <row r="9" spans="1:53" s="27" customFormat="1" x14ac:dyDescent="0.2">
      <c r="A9" s="60" t="s">
        <v>131</v>
      </c>
      <c r="B9" s="35">
        <v>3.2486433430734429E-2</v>
      </c>
      <c r="C9" s="35">
        <v>3.2912097818426078E-2</v>
      </c>
      <c r="D9" s="35">
        <v>1.7391580317047239E-2</v>
      </c>
      <c r="E9" s="35">
        <v>2.8750422418050814E-2</v>
      </c>
      <c r="F9" s="35" t="s">
        <v>83</v>
      </c>
      <c r="G9" s="212">
        <f>G8/E8-1</f>
        <v>4.5978521794061811E-2</v>
      </c>
      <c r="H9" s="35">
        <f>H8/G8-1</f>
        <v>1.5166229411565757E-2</v>
      </c>
      <c r="I9" s="35">
        <f>I8/H8-1</f>
        <v>0.10000380749314641</v>
      </c>
      <c r="J9" s="35">
        <f>J8/I8-1</f>
        <v>1.6350530451186396E-2</v>
      </c>
      <c r="K9" s="35" t="s">
        <v>83</v>
      </c>
      <c r="L9" s="146">
        <f>L8/J8-1</f>
        <v>1.9880546438317159E-2</v>
      </c>
      <c r="M9" s="146">
        <f>M8/L8-1</f>
        <v>1.642923033897814E-2</v>
      </c>
      <c r="N9" s="146">
        <f>N8/M8-1</f>
        <v>3.2372520112192937E-2</v>
      </c>
      <c r="O9" s="146">
        <f>O8/N8-1</f>
        <v>2.1798625254582538E-2</v>
      </c>
      <c r="P9" s="35" t="s">
        <v>83</v>
      </c>
      <c r="Q9" s="146">
        <f>Q8/O8-1</f>
        <v>-4.2363511787972263E-2</v>
      </c>
      <c r="T9" s="26"/>
    </row>
    <row r="10" spans="1:53" s="27" customFormat="1" x14ac:dyDescent="0.2">
      <c r="A10" s="60" t="s">
        <v>132</v>
      </c>
      <c r="B10" s="34">
        <v>9.5769774180416212E-2</v>
      </c>
      <c r="C10" s="34">
        <v>0.10898180410375535</v>
      </c>
      <c r="D10" s="34">
        <v>0.12351051401869162</v>
      </c>
      <c r="E10" s="34">
        <v>0.11620993490303144</v>
      </c>
      <c r="F10" s="34">
        <v>0.11125850597969644</v>
      </c>
      <c r="G10" s="212">
        <f t="shared" ref="G10:Q10" si="0">G8/B8-1</f>
        <v>0.13079608595171366</v>
      </c>
      <c r="H10" s="34">
        <f t="shared" si="0"/>
        <v>0.11136852906795314</v>
      </c>
      <c r="I10" s="34">
        <f t="shared" si="0"/>
        <v>0.20161168733265744</v>
      </c>
      <c r="J10" s="34">
        <f t="shared" si="0"/>
        <v>0.18712823752368912</v>
      </c>
      <c r="K10" s="34">
        <f t="shared" si="0"/>
        <v>0.15846833965184759</v>
      </c>
      <c r="L10" s="34">
        <f t="shared" si="0"/>
        <v>0.15750846728800383</v>
      </c>
      <c r="M10" s="34">
        <f t="shared" si="0"/>
        <v>0.15894856076759067</v>
      </c>
      <c r="N10" s="34">
        <f t="shared" si="0"/>
        <v>8.7693186341530893E-2</v>
      </c>
      <c r="O10" s="34">
        <f t="shared" si="0"/>
        <v>9.3523709786592857E-2</v>
      </c>
      <c r="P10" s="34">
        <f t="shared" si="0"/>
        <v>0.12255976591870565</v>
      </c>
      <c r="Q10" s="34">
        <f t="shared" si="0"/>
        <v>2.6785155255391935E-2</v>
      </c>
      <c r="T10" s="26"/>
    </row>
    <row r="11" spans="1:53" s="27" customFormat="1" ht="6" customHeight="1" x14ac:dyDescent="0.2">
      <c r="A11" s="60"/>
      <c r="G11" s="230"/>
      <c r="T11" s="26"/>
    </row>
    <row r="12" spans="1:53" x14ac:dyDescent="0.2">
      <c r="A12" s="61" t="s">
        <v>92</v>
      </c>
      <c r="B12" s="187">
        <v>-119072</v>
      </c>
      <c r="C12" s="187">
        <v>-123734</v>
      </c>
      <c r="D12" s="187">
        <v>-123077</v>
      </c>
      <c r="E12" s="187">
        <v>-129259</v>
      </c>
      <c r="F12" s="187">
        <v>-495142</v>
      </c>
      <c r="G12" s="213">
        <v>-138101</v>
      </c>
      <c r="H12" s="187">
        <v>-139649</v>
      </c>
      <c r="I12" s="187">
        <v>-152157</v>
      </c>
      <c r="J12" s="187">
        <f>+K12-SUM(G12:I12)</f>
        <v>-154948</v>
      </c>
      <c r="K12" s="187">
        <v>-584855</v>
      </c>
      <c r="L12" s="187">
        <v>-157240</v>
      </c>
      <c r="M12" s="187">
        <v>-162446</v>
      </c>
      <c r="N12" s="187">
        <v>-167542</v>
      </c>
      <c r="O12" s="187">
        <f>+P12-SUM(L12:N12)</f>
        <v>-168262</v>
      </c>
      <c r="P12" s="187">
        <v>-655490</v>
      </c>
      <c r="Q12" s="187">
        <v>-162656</v>
      </c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27" customFormat="1" x14ac:dyDescent="0.2">
      <c r="A13" s="62" t="s">
        <v>2</v>
      </c>
      <c r="B13" s="145">
        <f t="shared" ref="B13:D13" si="1">B8+B12</f>
        <v>63961</v>
      </c>
      <c r="C13" s="145">
        <f t="shared" ref="C13" si="2">C8+C12</f>
        <v>65323</v>
      </c>
      <c r="D13" s="145">
        <f t="shared" si="1"/>
        <v>69268</v>
      </c>
      <c r="E13" s="145">
        <f t="shared" ref="E13" si="3">E8+E12</f>
        <v>68616</v>
      </c>
      <c r="F13" s="145">
        <f t="shared" ref="F13" si="4">F8+F12</f>
        <v>267168</v>
      </c>
      <c r="G13" s="231">
        <f t="shared" ref="G13:H13" si="5">G8+G12</f>
        <v>68872</v>
      </c>
      <c r="H13" s="145">
        <f t="shared" si="5"/>
        <v>70463</v>
      </c>
      <c r="I13" s="145">
        <f t="shared" ref="I13:J13" si="6">I8+I12</f>
        <v>78967</v>
      </c>
      <c r="J13" s="145">
        <f t="shared" si="6"/>
        <v>79955</v>
      </c>
      <c r="K13" s="145">
        <f t="shared" ref="K13:M13" si="7">K8+K12</f>
        <v>298257</v>
      </c>
      <c r="L13" s="145">
        <f t="shared" si="7"/>
        <v>82333</v>
      </c>
      <c r="M13" s="145">
        <f t="shared" si="7"/>
        <v>81063</v>
      </c>
      <c r="N13" s="145">
        <f t="shared" ref="N13:Q13" si="8">N8+N12</f>
        <v>83850</v>
      </c>
      <c r="O13" s="145">
        <f t="shared" si="8"/>
        <v>88610</v>
      </c>
      <c r="P13" s="145">
        <f t="shared" si="8"/>
        <v>335856</v>
      </c>
      <c r="Q13" s="145">
        <f t="shared" si="8"/>
        <v>83334</v>
      </c>
      <c r="T13" s="28"/>
    </row>
    <row r="14" spans="1:53" x14ac:dyDescent="0.2">
      <c r="A14" s="60" t="s">
        <v>67</v>
      </c>
      <c r="B14" s="146">
        <f t="shared" ref="B14:D14" si="9">B13/B8</f>
        <v>0.34945064551201149</v>
      </c>
      <c r="C14" s="146">
        <f t="shared" si="9"/>
        <v>0.34552013413943944</v>
      </c>
      <c r="D14" s="146">
        <f t="shared" si="9"/>
        <v>0.36012373599521691</v>
      </c>
      <c r="E14" s="146">
        <f t="shared" ref="E14" si="10">E13/E8</f>
        <v>0.34676437144662037</v>
      </c>
      <c r="F14" s="146">
        <f t="shared" ref="F14" si="11">F13/F8</f>
        <v>0.35047159292151486</v>
      </c>
      <c r="G14" s="212">
        <f t="shared" ref="G14:H14" si="12">G13/G8</f>
        <v>0.33275837911225137</v>
      </c>
      <c r="H14" s="146">
        <f t="shared" si="12"/>
        <v>0.33535923697837344</v>
      </c>
      <c r="I14" s="146">
        <f t="shared" ref="I14:J14" si="13">I13/I8</f>
        <v>0.34166508021668024</v>
      </c>
      <c r="J14" s="146">
        <f t="shared" si="13"/>
        <v>0.34037453757508418</v>
      </c>
      <c r="K14" s="146">
        <f t="shared" ref="K14:M14" si="14">K13/K8</f>
        <v>0.33773405864714784</v>
      </c>
      <c r="L14" s="146">
        <f t="shared" si="14"/>
        <v>0.34366560505566152</v>
      </c>
      <c r="M14" s="146">
        <f t="shared" si="14"/>
        <v>0.33289529339777996</v>
      </c>
      <c r="N14" s="146">
        <f t="shared" ref="N14" si="15">N13/N8</f>
        <v>0.33354283350305497</v>
      </c>
      <c r="O14" s="146">
        <f>O13/O8</f>
        <v>0.34495779999377124</v>
      </c>
      <c r="P14" s="146">
        <f>P13/P8</f>
        <v>0.33878787022896145</v>
      </c>
      <c r="Q14" s="146">
        <f>Q13/Q8</f>
        <v>0.33876986869384934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ht="6" customHeight="1" x14ac:dyDescent="0.2">
      <c r="A15" s="60"/>
      <c r="G15" s="210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x14ac:dyDescent="0.2">
      <c r="A16" s="62" t="s">
        <v>63</v>
      </c>
      <c r="G16" s="210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x14ac:dyDescent="0.2">
      <c r="A17" s="61" t="s">
        <v>3</v>
      </c>
      <c r="B17" s="187">
        <v>-24037</v>
      </c>
      <c r="C17" s="187">
        <v>-24425</v>
      </c>
      <c r="D17" s="187">
        <v>-26545</v>
      </c>
      <c r="E17" s="187">
        <f>+F17-SUM(B17,C17,D17)</f>
        <v>-27508</v>
      </c>
      <c r="F17" s="187">
        <v>-102515</v>
      </c>
      <c r="G17" s="213">
        <v>-29266</v>
      </c>
      <c r="H17" s="187">
        <f>-27640</f>
        <v>-27640</v>
      </c>
      <c r="I17" s="187">
        <v>-28704</v>
      </c>
      <c r="J17" s="187">
        <f>+K17-SUM(G17:I17)</f>
        <v>-30592</v>
      </c>
      <c r="K17" s="187">
        <v>-116202</v>
      </c>
      <c r="L17" s="187">
        <v>-32531</v>
      </c>
      <c r="M17" s="187">
        <v>-31228</v>
      </c>
      <c r="N17" s="187">
        <v>-29590</v>
      </c>
      <c r="O17" s="187">
        <f>+P17-SUM(L17:N17)</f>
        <v>-33560</v>
      </c>
      <c r="P17" s="187">
        <v>-126909</v>
      </c>
      <c r="Q17" s="187">
        <v>-28941</v>
      </c>
      <c r="V17" s="18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x14ac:dyDescent="0.2">
      <c r="A18" s="60" t="s">
        <v>133</v>
      </c>
      <c r="B18" s="146">
        <f t="shared" ref="B18:D18" si="16">-B17/B$8</f>
        <v>0.13132604503013118</v>
      </c>
      <c r="C18" s="146">
        <f t="shared" si="16"/>
        <v>0.12919384101091205</v>
      </c>
      <c r="D18" s="146">
        <f t="shared" si="16"/>
        <v>0.13800722659803999</v>
      </c>
      <c r="E18" s="146">
        <f t="shared" ref="E18" si="17">-E17/E$8</f>
        <v>0.1390170562223626</v>
      </c>
      <c r="F18" s="146">
        <f t="shared" ref="F18" si="18">-F17/F$8</f>
        <v>0.13447941126313442</v>
      </c>
      <c r="G18" s="212">
        <f t="shared" ref="G18:H18" si="19">-G17/G$8</f>
        <v>0.14140008600155576</v>
      </c>
      <c r="H18" s="146">
        <f t="shared" si="19"/>
        <v>0.13154888821200122</v>
      </c>
      <c r="I18" s="146">
        <f t="shared" ref="I18:J18" si="20">-I17/I$8</f>
        <v>0.12419307384780465</v>
      </c>
      <c r="J18" s="146">
        <f t="shared" si="20"/>
        <v>0.13023247893811488</v>
      </c>
      <c r="K18" s="146">
        <f t="shared" ref="K18:M18" si="21">-K17/K$8</f>
        <v>0.13158240404388119</v>
      </c>
      <c r="L18" s="146">
        <f t="shared" si="21"/>
        <v>0.13578742178793102</v>
      </c>
      <c r="M18" s="146">
        <f t="shared" si="21"/>
        <v>0.1282416666324448</v>
      </c>
      <c r="N18" s="146">
        <f t="shared" ref="N18:Q18" si="22">-N17/N$8</f>
        <v>0.11770462067209776</v>
      </c>
      <c r="O18" s="146">
        <f t="shared" si="22"/>
        <v>0.13064872777102993</v>
      </c>
      <c r="P18" s="146">
        <f t="shared" si="22"/>
        <v>0.12801685788816417</v>
      </c>
      <c r="Q18" s="146">
        <f t="shared" si="22"/>
        <v>0.11765112402943209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ht="6" customHeight="1" x14ac:dyDescent="0.2">
      <c r="A19" s="60"/>
      <c r="G19" s="210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x14ac:dyDescent="0.2">
      <c r="A20" s="61" t="s">
        <v>4</v>
      </c>
      <c r="B20" s="187">
        <v>-13340</v>
      </c>
      <c r="C20" s="187">
        <v>-13095</v>
      </c>
      <c r="D20" s="187">
        <v>-12196</v>
      </c>
      <c r="E20" s="187">
        <f>+F20-SUM(B20,C20,D20)</f>
        <v>-14748</v>
      </c>
      <c r="F20" s="187">
        <v>-53379</v>
      </c>
      <c r="G20" s="213">
        <v>-13952</v>
      </c>
      <c r="H20" s="187">
        <v>-15151</v>
      </c>
      <c r="I20" s="187">
        <v>-16490</v>
      </c>
      <c r="J20" s="187">
        <f>+K20-SUM(G20:I20)</f>
        <v>-18019</v>
      </c>
      <c r="K20" s="187">
        <v>-63612</v>
      </c>
      <c r="L20" s="187">
        <v>-18047</v>
      </c>
      <c r="M20" s="187">
        <v>-17647</v>
      </c>
      <c r="N20" s="187">
        <v>-18302</v>
      </c>
      <c r="O20" s="187">
        <f>+P20-SUM(L20:N20)</f>
        <v>-17846</v>
      </c>
      <c r="P20" s="187">
        <v>-71842</v>
      </c>
      <c r="Q20" s="187">
        <v>-14456</v>
      </c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x14ac:dyDescent="0.2">
      <c r="A21" s="60" t="s">
        <v>133</v>
      </c>
      <c r="B21" s="146">
        <f t="shared" ref="B21:D21" si="23">-B20/B$8</f>
        <v>7.2883032021548028E-2</v>
      </c>
      <c r="C21" s="146">
        <f t="shared" si="23"/>
        <v>6.9264824894079563E-2</v>
      </c>
      <c r="D21" s="146">
        <f t="shared" si="23"/>
        <v>6.3406899061582048E-2</v>
      </c>
      <c r="E21" s="146">
        <f t="shared" ref="E21" si="24">-E20/E$8</f>
        <v>7.4531901452937463E-2</v>
      </c>
      <c r="F21" s="146">
        <f t="shared" ref="F21" si="25">-F20/F$8</f>
        <v>7.002269417953326E-2</v>
      </c>
      <c r="G21" s="212">
        <f t="shared" ref="G21:H21" si="26">-G20/G$8</f>
        <v>6.7409758760804545E-2</v>
      </c>
      <c r="H21" s="146">
        <f t="shared" si="26"/>
        <v>7.2109160828510502E-2</v>
      </c>
      <c r="I21" s="146">
        <f t="shared" ref="I21:J21" si="27">-I20/I$8</f>
        <v>7.1346982572125781E-2</v>
      </c>
      <c r="J21" s="146">
        <f t="shared" si="27"/>
        <v>7.6708258302363108E-2</v>
      </c>
      <c r="K21" s="146">
        <f t="shared" ref="K21:M21" si="28">-K20/K$8</f>
        <v>7.2031633586679827E-2</v>
      </c>
      <c r="L21" s="146">
        <f t="shared" si="28"/>
        <v>7.5329857705167105E-2</v>
      </c>
      <c r="M21" s="146">
        <f t="shared" si="28"/>
        <v>7.246960071290999E-2</v>
      </c>
      <c r="N21" s="146">
        <f t="shared" ref="N21:Q21" si="29">-N20/N$8</f>
        <v>7.28026349287169E-2</v>
      </c>
      <c r="O21" s="146">
        <f t="shared" si="29"/>
        <v>6.9474290697312285E-2</v>
      </c>
      <c r="P21" s="146">
        <f t="shared" si="29"/>
        <v>7.2469148006851294E-2</v>
      </c>
      <c r="Q21" s="146">
        <f t="shared" si="29"/>
        <v>5.8766616529127201E-2</v>
      </c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ht="6" customHeight="1" x14ac:dyDescent="0.2">
      <c r="A22" s="60"/>
      <c r="G22" s="210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x14ac:dyDescent="0.2">
      <c r="A23" s="61" t="s">
        <v>229</v>
      </c>
      <c r="B23" s="28">
        <v>-9372</v>
      </c>
      <c r="C23" s="28">
        <v>-9535</v>
      </c>
      <c r="D23" s="28">
        <v>-9582</v>
      </c>
      <c r="E23" s="28">
        <f>+F23-SUM(B23,C23,D23)</f>
        <v>-10060</v>
      </c>
      <c r="F23" s="28">
        <v>-38549</v>
      </c>
      <c r="G23" s="213">
        <v>-10504</v>
      </c>
      <c r="H23" s="86">
        <v>-10582</v>
      </c>
      <c r="I23" s="86">
        <v>-14099</v>
      </c>
      <c r="J23" s="187">
        <f>+K23-SUM(G23:I23)</f>
        <v>-13381</v>
      </c>
      <c r="K23" s="28">
        <v>-48566</v>
      </c>
      <c r="L23" s="28">
        <v>-13667</v>
      </c>
      <c r="M23" s="28">
        <v>-12752</v>
      </c>
      <c r="N23" s="28">
        <v>-13047</v>
      </c>
      <c r="O23" s="187">
        <f>+P23-SUM(L23:N23)</f>
        <v>-12515</v>
      </c>
      <c r="P23" s="28">
        <v>-51981</v>
      </c>
      <c r="Q23" s="28">
        <v>-12450</v>
      </c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x14ac:dyDescent="0.2">
      <c r="A24" s="60" t="s">
        <v>133</v>
      </c>
      <c r="B24" s="34">
        <f t="shared" ref="B24:D24" si="30">-B23/B$8</f>
        <v>5.120388126731245E-2</v>
      </c>
      <c r="C24" s="34">
        <f t="shared" si="30"/>
        <v>5.0434525037422573E-2</v>
      </c>
      <c r="D24" s="34">
        <f t="shared" si="30"/>
        <v>4.9816735553302662E-2</v>
      </c>
      <c r="E24" s="34">
        <f t="shared" ref="E24" si="31">-E23/E$8</f>
        <v>5.0840176879343023E-2</v>
      </c>
      <c r="F24" s="34">
        <f t="shared" ref="F24" si="32">-F23/F$8</f>
        <v>5.0568666290616682E-2</v>
      </c>
      <c r="G24" s="212">
        <f t="shared" ref="G24:H24" si="33">-G23/G$8</f>
        <v>5.0750580993656175E-2</v>
      </c>
      <c r="H24" s="34">
        <f t="shared" si="33"/>
        <v>5.0363615595491927E-2</v>
      </c>
      <c r="I24" s="34">
        <f t="shared" ref="I24:J24" si="34">-I23/I$8</f>
        <v>6.1001886433256609E-2</v>
      </c>
      <c r="J24" s="34">
        <f t="shared" si="34"/>
        <v>5.6963938306449899E-2</v>
      </c>
      <c r="K24" s="34">
        <f t="shared" ref="K24:M24" si="35">-K23/K$8</f>
        <v>5.4994157026515327E-2</v>
      </c>
      <c r="L24" s="34">
        <f t="shared" si="35"/>
        <v>5.7047330041365266E-2</v>
      </c>
      <c r="M24" s="34">
        <f t="shared" si="35"/>
        <v>5.2367674295405918E-2</v>
      </c>
      <c r="N24" s="34">
        <f t="shared" ref="N24:Q24" si="36">-N23/N$8</f>
        <v>5.1899026221995929E-2</v>
      </c>
      <c r="O24" s="34">
        <f t="shared" si="36"/>
        <v>4.8720763648821205E-2</v>
      </c>
      <c r="P24" s="34">
        <f t="shared" si="36"/>
        <v>5.243477050394111E-2</v>
      </c>
      <c r="Q24" s="34">
        <f t="shared" si="36"/>
        <v>5.0611813488353183E-2</v>
      </c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ht="6" customHeight="1" x14ac:dyDescent="0.2">
      <c r="A25" s="60"/>
      <c r="G25" s="210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x14ac:dyDescent="0.2">
      <c r="A26" s="61" t="s">
        <v>221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62">
        <v>0</v>
      </c>
      <c r="H26" s="260">
        <v>0</v>
      </c>
      <c r="I26" s="33">
        <v>0</v>
      </c>
      <c r="J26" s="187">
        <f>+K26-SUM(G26:I26)</f>
        <v>-20056</v>
      </c>
      <c r="K26" s="28">
        <v>-20056</v>
      </c>
      <c r="L26" s="28">
        <v>-1227</v>
      </c>
      <c r="M26" s="28">
        <v>-5580</v>
      </c>
      <c r="N26" s="261">
        <v>-489</v>
      </c>
      <c r="O26" s="187">
        <f>+P26-SUM(L26:N26)</f>
        <v>-1375</v>
      </c>
      <c r="P26" s="28">
        <v>-8671</v>
      </c>
      <c r="Q26" s="28">
        <v>0</v>
      </c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x14ac:dyDescent="0.2">
      <c r="A27" s="60" t="s">
        <v>133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212">
        <v>0</v>
      </c>
      <c r="H27" s="34">
        <v>0</v>
      </c>
      <c r="I27" s="34">
        <v>0</v>
      </c>
      <c r="J27" s="34">
        <f t="shared" ref="J27:K27" si="37">-J26/J$8</f>
        <v>8.5379922776635461E-2</v>
      </c>
      <c r="K27" s="34">
        <f t="shared" si="37"/>
        <v>2.2710596164472911E-2</v>
      </c>
      <c r="L27" s="34">
        <f t="shared" ref="L27:M27" si="38">-L26/L$8</f>
        <v>5.1216122017088738E-3</v>
      </c>
      <c r="M27" s="34">
        <f t="shared" si="38"/>
        <v>2.2914964128635903E-2</v>
      </c>
      <c r="N27" s="34">
        <f t="shared" ref="N27:Q27" si="39">-N26/N$8</f>
        <v>1.9451692973523422E-3</v>
      </c>
      <c r="O27" s="34">
        <f t="shared" si="39"/>
        <v>5.3528605686879067E-3</v>
      </c>
      <c r="P27" s="34">
        <f t="shared" si="39"/>
        <v>8.7466938889146674E-3</v>
      </c>
      <c r="Q27" s="34">
        <f t="shared" si="39"/>
        <v>0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ht="6" customHeight="1" x14ac:dyDescent="0.2">
      <c r="A28" s="60"/>
      <c r="G28" s="210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27" customFormat="1" x14ac:dyDescent="0.2">
      <c r="A29" s="62" t="s">
        <v>6</v>
      </c>
      <c r="B29" s="26">
        <f t="shared" ref="B29:J29" si="40">B17+B20+B23+B26</f>
        <v>-46749</v>
      </c>
      <c r="C29" s="26">
        <f t="shared" si="40"/>
        <v>-47055</v>
      </c>
      <c r="D29" s="26">
        <f t="shared" si="40"/>
        <v>-48323</v>
      </c>
      <c r="E29" s="26">
        <f t="shared" si="40"/>
        <v>-52316</v>
      </c>
      <c r="F29" s="26">
        <f t="shared" si="40"/>
        <v>-194443</v>
      </c>
      <c r="G29" s="214">
        <f t="shared" si="40"/>
        <v>-53722</v>
      </c>
      <c r="H29" s="26">
        <f t="shared" si="40"/>
        <v>-53373</v>
      </c>
      <c r="I29" s="26">
        <f t="shared" si="40"/>
        <v>-59293</v>
      </c>
      <c r="J29" s="26">
        <f t="shared" si="40"/>
        <v>-82048</v>
      </c>
      <c r="K29" s="26">
        <f t="shared" ref="K29:Q29" si="41">K17+K20+K23+K26</f>
        <v>-248436</v>
      </c>
      <c r="L29" s="26">
        <f t="shared" si="41"/>
        <v>-65472</v>
      </c>
      <c r="M29" s="26">
        <f t="shared" si="41"/>
        <v>-67207</v>
      </c>
      <c r="N29" s="26">
        <f t="shared" si="41"/>
        <v>-61428</v>
      </c>
      <c r="O29" s="26">
        <f t="shared" si="41"/>
        <v>-65296</v>
      </c>
      <c r="P29" s="26">
        <f t="shared" si="41"/>
        <v>-259403</v>
      </c>
      <c r="Q29" s="26">
        <f t="shared" si="41"/>
        <v>-55847</v>
      </c>
      <c r="T29" s="26"/>
    </row>
    <row r="30" spans="1:53" ht="6" customHeight="1" x14ac:dyDescent="0.2">
      <c r="A30" s="60"/>
      <c r="G30" s="210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27" customFormat="1" x14ac:dyDescent="0.2">
      <c r="A31" s="59" t="s">
        <v>94</v>
      </c>
      <c r="B31" s="42">
        <f t="shared" ref="B31:K31" si="42">B13+B29</f>
        <v>17212</v>
      </c>
      <c r="C31" s="42">
        <f t="shared" si="42"/>
        <v>18268</v>
      </c>
      <c r="D31" s="42">
        <f t="shared" si="42"/>
        <v>20945</v>
      </c>
      <c r="E31" s="42">
        <f t="shared" si="42"/>
        <v>16300</v>
      </c>
      <c r="F31" s="42">
        <f t="shared" si="42"/>
        <v>72725</v>
      </c>
      <c r="G31" s="215">
        <f t="shared" si="42"/>
        <v>15150</v>
      </c>
      <c r="H31" s="42">
        <f t="shared" si="42"/>
        <v>17090</v>
      </c>
      <c r="I31" s="42">
        <f t="shared" si="42"/>
        <v>19674</v>
      </c>
      <c r="J31" s="42">
        <f t="shared" si="42"/>
        <v>-2093</v>
      </c>
      <c r="K31" s="42">
        <f t="shared" si="42"/>
        <v>49821</v>
      </c>
      <c r="L31" s="42">
        <f t="shared" ref="L31:M31" si="43">L13+L29</f>
        <v>16861</v>
      </c>
      <c r="M31" s="42">
        <f t="shared" si="43"/>
        <v>13856</v>
      </c>
      <c r="N31" s="42">
        <f t="shared" ref="N31:Q31" si="44">N13+N29</f>
        <v>22422</v>
      </c>
      <c r="O31" s="42">
        <f t="shared" si="44"/>
        <v>23314</v>
      </c>
      <c r="P31" s="42">
        <f t="shared" si="44"/>
        <v>76453</v>
      </c>
      <c r="Q31" s="42">
        <f t="shared" si="44"/>
        <v>27487</v>
      </c>
      <c r="T31" s="26"/>
    </row>
    <row r="32" spans="1:53" s="27" customFormat="1" x14ac:dyDescent="0.2">
      <c r="A32" s="60" t="s">
        <v>131</v>
      </c>
      <c r="B32" s="34">
        <v>0.21425044091710754</v>
      </c>
      <c r="C32" s="34">
        <v>6.1352544736230641E-2</v>
      </c>
      <c r="D32" s="34">
        <v>0.1465403985110576</v>
      </c>
      <c r="E32" s="34">
        <v>-0.22177130580090709</v>
      </c>
      <c r="F32" s="34">
        <v>8.6262998260498103E-2</v>
      </c>
      <c r="G32" s="212">
        <f>G31/E31-1</f>
        <v>-7.055214723926384E-2</v>
      </c>
      <c r="H32" s="34">
        <f>H31/G31-1</f>
        <v>0.12805280528052809</v>
      </c>
      <c r="I32" s="34">
        <f>I31/H31-1</f>
        <v>0.15119953188999413</v>
      </c>
      <c r="J32" s="34">
        <f>J31/I31-1</f>
        <v>-1.1063840601809494</v>
      </c>
      <c r="K32" s="34">
        <f>K31/F31-1</f>
        <v>-0.31493984187005841</v>
      </c>
      <c r="L32" s="34">
        <f>L31/J31-1</f>
        <v>-9.0559006211180133</v>
      </c>
      <c r="M32" s="34">
        <f>M31/L31-1</f>
        <v>-0.17822193226973493</v>
      </c>
      <c r="N32" s="34">
        <f>N31/M31-1</f>
        <v>0.61821593533487307</v>
      </c>
      <c r="O32" s="34">
        <f>O31/N31-1</f>
        <v>3.9782356614039838E-2</v>
      </c>
      <c r="P32" s="34">
        <f>P31/K31-1</f>
        <v>0.53455370225406962</v>
      </c>
      <c r="Q32" s="34">
        <f>Q31/O31-1</f>
        <v>0.17899116410740334</v>
      </c>
      <c r="T32" s="26"/>
    </row>
    <row r="33" spans="1:53" x14ac:dyDescent="0.2">
      <c r="A33" s="60" t="s">
        <v>68</v>
      </c>
      <c r="B33" s="34">
        <v>9.4037687193019831E-2</v>
      </c>
      <c r="C33" s="34">
        <v>9.6626943197025236E-2</v>
      </c>
      <c r="D33" s="34">
        <v>0.10889287478229223</v>
      </c>
      <c r="E33" s="34">
        <v>8.237523689197726E-2</v>
      </c>
      <c r="F33" s="34">
        <v>9.5400821188230511E-2</v>
      </c>
      <c r="G33" s="212">
        <v>7.3197953356234871E-2</v>
      </c>
      <c r="H33" s="34">
        <f>IF(H31/H8&lt;0, "NM",H31/H8)</f>
        <v>8.1337572342369782E-2</v>
      </c>
      <c r="I33" s="34">
        <f t="shared" ref="I33:K33" si="45">IF(I31/I8&lt;0, "NM",I31/I8)</f>
        <v>8.5123137363493195E-2</v>
      </c>
      <c r="J33" s="35" t="str">
        <f t="shared" si="45"/>
        <v>NM</v>
      </c>
      <c r="K33" s="34">
        <f t="shared" si="45"/>
        <v>5.6415267825598567E-2</v>
      </c>
      <c r="L33" s="34">
        <f t="shared" ref="L33:M33" si="46">IF(L31/L8&lt;0, "NM",L31/L8)</f>
        <v>7.0379383319489258E-2</v>
      </c>
      <c r="M33" s="34">
        <f t="shared" si="46"/>
        <v>5.6901387628383343E-2</v>
      </c>
      <c r="N33" s="34">
        <f t="shared" ref="N33:Q33" si="47">IF(N31/N8&lt;0, "NM",N31/N8)</f>
        <v>8.9191382382892051E-2</v>
      </c>
      <c r="O33" s="34">
        <f t="shared" si="47"/>
        <v>9.0761157307919893E-2</v>
      </c>
      <c r="P33" s="34">
        <f t="shared" si="47"/>
        <v>7.7120399941090198E-2</v>
      </c>
      <c r="Q33" s="34">
        <f t="shared" si="47"/>
        <v>0.11174031464693687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31" customFormat="1" x14ac:dyDescent="0.2">
      <c r="A34" s="64" t="s">
        <v>7</v>
      </c>
      <c r="G34" s="232"/>
      <c r="T34" s="30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x14ac:dyDescent="0.2">
      <c r="A35" s="61" t="s">
        <v>16</v>
      </c>
      <c r="B35" s="66">
        <v>382</v>
      </c>
      <c r="C35" s="66">
        <v>886</v>
      </c>
      <c r="D35" s="66">
        <v>637</v>
      </c>
      <c r="E35" s="66">
        <f>+F35-SUM(B35,C35,D35)</f>
        <v>934</v>
      </c>
      <c r="F35" s="66">
        <v>2839</v>
      </c>
      <c r="G35" s="216">
        <v>615</v>
      </c>
      <c r="H35" s="66">
        <v>1414</v>
      </c>
      <c r="I35" s="66">
        <v>1385</v>
      </c>
      <c r="J35" s="187">
        <f t="shared" ref="J35:J36" si="48">+K35-SUM(G35:I35)</f>
        <v>1373</v>
      </c>
      <c r="K35" s="66">
        <v>4787</v>
      </c>
      <c r="L35" s="66">
        <v>1260</v>
      </c>
      <c r="M35" s="66">
        <v>1202</v>
      </c>
      <c r="N35" s="66">
        <v>1009</v>
      </c>
      <c r="O35" s="187">
        <f>+P35-SUM(L35:N35)</f>
        <v>281</v>
      </c>
      <c r="P35" s="66">
        <v>3752</v>
      </c>
      <c r="Q35" s="66">
        <v>1377</v>
      </c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x14ac:dyDescent="0.2">
      <c r="A36" s="61" t="s">
        <v>93</v>
      </c>
      <c r="B36" s="28">
        <v>2754</v>
      </c>
      <c r="C36" s="28">
        <v>2047</v>
      </c>
      <c r="D36" s="28">
        <v>2314</v>
      </c>
      <c r="E36" s="28">
        <f>+F36-SUM(B36,C36,D36)</f>
        <v>2355</v>
      </c>
      <c r="F36" s="28">
        <v>9470</v>
      </c>
      <c r="G36" s="213">
        <v>2996</v>
      </c>
      <c r="H36" s="28">
        <v>1526</v>
      </c>
      <c r="I36" s="28">
        <v>-9</v>
      </c>
      <c r="J36" s="187">
        <f t="shared" si="48"/>
        <v>1249</v>
      </c>
      <c r="K36" s="28">
        <v>5762</v>
      </c>
      <c r="L36" s="28">
        <v>841</v>
      </c>
      <c r="M36" s="28">
        <v>238</v>
      </c>
      <c r="N36" s="28">
        <v>1383</v>
      </c>
      <c r="O36" s="187">
        <f t="shared" ref="O36" si="49">+P36-SUM(L36:N36)</f>
        <v>433</v>
      </c>
      <c r="P36" s="28">
        <v>2895</v>
      </c>
      <c r="Q36" s="28">
        <v>-543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hidden="1" outlineLevel="1" x14ac:dyDescent="0.2">
      <c r="A37" s="61" t="s">
        <v>8</v>
      </c>
      <c r="G37" s="210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 ht="6" customHeight="1" collapsed="1" x14ac:dyDescent="0.2">
      <c r="A38" s="61"/>
      <c r="G38" s="210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x14ac:dyDescent="0.2">
      <c r="A39" s="65" t="s">
        <v>95</v>
      </c>
      <c r="B39" s="42">
        <f t="shared" ref="B39:D39" si="50">B31+B36+B35+B37</f>
        <v>20348</v>
      </c>
      <c r="C39" s="42">
        <f t="shared" si="50"/>
        <v>21201</v>
      </c>
      <c r="D39" s="42">
        <f t="shared" si="50"/>
        <v>23896</v>
      </c>
      <c r="E39" s="42">
        <f t="shared" ref="E39" si="51">E31+E36+E35+E37</f>
        <v>19589</v>
      </c>
      <c r="F39" s="42">
        <f t="shared" ref="F39" si="52">F31+F36+F35+F37</f>
        <v>85034</v>
      </c>
      <c r="G39" s="215">
        <f t="shared" ref="G39:H39" si="53">G31+G36+G35+G37</f>
        <v>18761</v>
      </c>
      <c r="H39" s="42">
        <f t="shared" si="53"/>
        <v>20030</v>
      </c>
      <c r="I39" s="42">
        <f t="shared" ref="I39:J39" si="54">I31+I36+I35+I37</f>
        <v>21050</v>
      </c>
      <c r="J39" s="42">
        <f t="shared" si="54"/>
        <v>529</v>
      </c>
      <c r="K39" s="42">
        <f t="shared" ref="K39:M39" si="55">K31+K36+K35+K37</f>
        <v>60370</v>
      </c>
      <c r="L39" s="42">
        <f t="shared" si="55"/>
        <v>18962</v>
      </c>
      <c r="M39" s="42">
        <f t="shared" si="55"/>
        <v>15296</v>
      </c>
      <c r="N39" s="42">
        <f t="shared" ref="N39:Q39" si="56">N31+N36+N35+N37</f>
        <v>24814</v>
      </c>
      <c r="O39" s="42">
        <f t="shared" si="56"/>
        <v>24028</v>
      </c>
      <c r="P39" s="42">
        <f t="shared" si="56"/>
        <v>83100</v>
      </c>
      <c r="Q39" s="42">
        <f t="shared" si="56"/>
        <v>28321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ht="6" customHeight="1" x14ac:dyDescent="0.2">
      <c r="A40" s="64"/>
      <c r="G40" s="210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x14ac:dyDescent="0.2">
      <c r="A41" s="61" t="s">
        <v>61</v>
      </c>
      <c r="B41" s="29">
        <v>-3560</v>
      </c>
      <c r="C41" s="29">
        <v>-823</v>
      </c>
      <c r="D41" s="29">
        <v>-2819</v>
      </c>
      <c r="E41" s="29">
        <f>+F41-SUM(B41,C41,D41)</f>
        <v>-28944</v>
      </c>
      <c r="F41" s="29">
        <v>-36146</v>
      </c>
      <c r="G41" s="216">
        <v>4453</v>
      </c>
      <c r="H41" s="29">
        <v>-5510</v>
      </c>
      <c r="I41" s="29">
        <v>-5739</v>
      </c>
      <c r="J41" s="187">
        <f t="shared" ref="J41:J42" si="57">+K41-SUM(G41:I41)</f>
        <v>3399</v>
      </c>
      <c r="K41" s="29">
        <v>-3397</v>
      </c>
      <c r="L41" s="29">
        <v>-4200</v>
      </c>
      <c r="M41" s="29">
        <v>-2670</v>
      </c>
      <c r="N41" s="29">
        <v>-5701</v>
      </c>
      <c r="O41" s="187">
        <f t="shared" ref="O41:O42" si="58">+P41-SUM(L41:N41)</f>
        <v>-2601</v>
      </c>
      <c r="P41" s="29">
        <v>-15172</v>
      </c>
      <c r="Q41" s="29">
        <v>-5855</v>
      </c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outlineLevel="1" x14ac:dyDescent="0.2">
      <c r="A42" s="61" t="s">
        <v>194</v>
      </c>
      <c r="B42" s="58">
        <v>0</v>
      </c>
      <c r="C42" s="58">
        <v>0</v>
      </c>
      <c r="D42" s="58">
        <v>0</v>
      </c>
      <c r="E42" s="58">
        <f>+F42-SUM(B42,C42,D42)</f>
        <v>0</v>
      </c>
      <c r="F42" s="58">
        <v>0</v>
      </c>
      <c r="G42" s="217">
        <v>-56</v>
      </c>
      <c r="H42" s="28">
        <v>-58</v>
      </c>
      <c r="I42" s="28">
        <v>-62</v>
      </c>
      <c r="J42" s="187">
        <f t="shared" si="57"/>
        <v>-71</v>
      </c>
      <c r="K42" s="58">
        <v>-247</v>
      </c>
      <c r="L42" s="58">
        <v>-67</v>
      </c>
      <c r="M42" s="58">
        <v>-62</v>
      </c>
      <c r="N42" s="58">
        <v>-69</v>
      </c>
      <c r="O42" s="187">
        <f t="shared" si="58"/>
        <v>-71</v>
      </c>
      <c r="P42" s="58">
        <v>-269</v>
      </c>
      <c r="Q42" s="58">
        <v>-55</v>
      </c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 x14ac:dyDescent="0.2">
      <c r="A43" s="64" t="s">
        <v>94</v>
      </c>
      <c r="B43" s="58">
        <f t="shared" ref="B43:C43" si="59">B39+B41+B42</f>
        <v>16788</v>
      </c>
      <c r="C43" s="58">
        <f t="shared" si="59"/>
        <v>20378</v>
      </c>
      <c r="D43" s="58">
        <f t="shared" ref="D43" si="60">D39+D41+D42</f>
        <v>21077</v>
      </c>
      <c r="E43" s="58">
        <f>+F43-SUM(B43,C43,D43)</f>
        <v>-9355</v>
      </c>
      <c r="F43" s="58">
        <f t="shared" ref="F43" si="61">F39+F41+F42</f>
        <v>48888</v>
      </c>
      <c r="G43" s="217">
        <f>G39+G41+G42</f>
        <v>23158</v>
      </c>
      <c r="H43" s="58">
        <f>H39+H41+H42</f>
        <v>14462</v>
      </c>
      <c r="I43" s="58">
        <f>I39+I41+I42</f>
        <v>15249</v>
      </c>
      <c r="J43" s="58">
        <f>J39+J41+J42</f>
        <v>3857</v>
      </c>
      <c r="K43" s="58">
        <f t="shared" ref="K43:M43" si="62">K39+K41+K42</f>
        <v>56726</v>
      </c>
      <c r="L43" s="58">
        <f t="shared" si="62"/>
        <v>14695</v>
      </c>
      <c r="M43" s="58">
        <f t="shared" si="62"/>
        <v>12564</v>
      </c>
      <c r="N43" s="58">
        <f t="shared" ref="N43:Q43" si="63">N39+N41+N42</f>
        <v>19044</v>
      </c>
      <c r="O43" s="58">
        <f t="shared" si="63"/>
        <v>21356</v>
      </c>
      <c r="P43" s="58">
        <f t="shared" si="63"/>
        <v>67659</v>
      </c>
      <c r="Q43" s="58">
        <f t="shared" si="63"/>
        <v>22411</v>
      </c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x14ac:dyDescent="0.2">
      <c r="A44" s="64" t="s">
        <v>96</v>
      </c>
      <c r="B44" s="58">
        <v>0</v>
      </c>
      <c r="C44" s="58">
        <v>0</v>
      </c>
      <c r="D44" s="58">
        <v>0</v>
      </c>
      <c r="E44" s="58">
        <f>+F44-SUM(B44,C44,D44)</f>
        <v>0</v>
      </c>
      <c r="F44" s="58">
        <v>0</v>
      </c>
      <c r="G44" s="217">
        <v>0</v>
      </c>
      <c r="H44" s="24">
        <v>0</v>
      </c>
      <c r="I44" s="24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 ht="6" customHeight="1" x14ac:dyDescent="0.2">
      <c r="A45" s="64"/>
      <c r="G45" s="210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 x14ac:dyDescent="0.2">
      <c r="A46" s="65" t="s">
        <v>97</v>
      </c>
      <c r="B46" s="42">
        <f t="shared" ref="B46:D46" si="64">B43+B44</f>
        <v>16788</v>
      </c>
      <c r="C46" s="42">
        <f t="shared" si="64"/>
        <v>20378</v>
      </c>
      <c r="D46" s="42">
        <f t="shared" si="64"/>
        <v>21077</v>
      </c>
      <c r="E46" s="42">
        <f t="shared" ref="E46" si="65">E43+E44</f>
        <v>-9355</v>
      </c>
      <c r="F46" s="42">
        <f t="shared" ref="F46" si="66">F43+F44</f>
        <v>48888</v>
      </c>
      <c r="G46" s="215">
        <f>G43+G44</f>
        <v>23158</v>
      </c>
      <c r="H46" s="42">
        <f>H43+H44</f>
        <v>14462</v>
      </c>
      <c r="I46" s="42">
        <f>I43+I44</f>
        <v>15249</v>
      </c>
      <c r="J46" s="42">
        <f>J43+J44</f>
        <v>3857</v>
      </c>
      <c r="K46" s="42">
        <f t="shared" ref="K46:M46" si="67">K43+K44</f>
        <v>56726</v>
      </c>
      <c r="L46" s="42">
        <f t="shared" si="67"/>
        <v>14695</v>
      </c>
      <c r="M46" s="42">
        <f t="shared" si="67"/>
        <v>12564</v>
      </c>
      <c r="N46" s="42">
        <f t="shared" ref="N46:O46" si="68">N43+N44</f>
        <v>19044</v>
      </c>
      <c r="O46" s="42">
        <f t="shared" si="68"/>
        <v>21356</v>
      </c>
      <c r="P46" s="42">
        <f>P43+P44</f>
        <v>67659</v>
      </c>
      <c r="Q46" s="42">
        <f>Q43+Q44</f>
        <v>22411</v>
      </c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s="27" customFormat="1" x14ac:dyDescent="0.2">
      <c r="A47" s="60" t="s">
        <v>133</v>
      </c>
      <c r="B47" s="35">
        <f t="shared" ref="B47:K47" si="69">B46/B8</f>
        <v>9.1721165035813221E-2</v>
      </c>
      <c r="C47" s="35">
        <f t="shared" si="69"/>
        <v>0.10778759844914497</v>
      </c>
      <c r="D47" s="35">
        <f t="shared" si="69"/>
        <v>0.10957914164652058</v>
      </c>
      <c r="E47" s="35">
        <f t="shared" si="69"/>
        <v>-4.7277321541377135E-2</v>
      </c>
      <c r="F47" s="35">
        <f t="shared" si="69"/>
        <v>6.4131390116881584E-2</v>
      </c>
      <c r="G47" s="218">
        <f t="shared" si="69"/>
        <v>0.11188899035139849</v>
      </c>
      <c r="H47" s="35">
        <f t="shared" si="69"/>
        <v>6.8829957356076762E-2</v>
      </c>
      <c r="I47" s="35">
        <f t="shared" si="69"/>
        <v>6.5977570481646222E-2</v>
      </c>
      <c r="J47" s="35">
        <f t="shared" si="69"/>
        <v>1.6419543385993367E-2</v>
      </c>
      <c r="K47" s="35">
        <f t="shared" si="69"/>
        <v>6.4234208118562536E-2</v>
      </c>
      <c r="L47" s="35">
        <f t="shared" ref="L47:M47" si="70">L46/L8</f>
        <v>6.1338297721362588E-2</v>
      </c>
      <c r="M47" s="35">
        <f t="shared" si="70"/>
        <v>5.1595628908993094E-2</v>
      </c>
      <c r="N47" s="35">
        <f t="shared" ref="N47:Q47" si="71">N46/N8</f>
        <v>7.5754200610997968E-2</v>
      </c>
      <c r="O47" s="35">
        <f t="shared" si="71"/>
        <v>8.3138683858108325E-2</v>
      </c>
      <c r="P47" s="35">
        <f t="shared" si="71"/>
        <v>6.8249632318080664E-2</v>
      </c>
      <c r="Q47" s="35">
        <f t="shared" si="71"/>
        <v>9.1105329484938408E-2</v>
      </c>
      <c r="T47" s="26"/>
    </row>
    <row r="48" spans="1:53" s="27" customFormat="1" x14ac:dyDescent="0.2">
      <c r="A48" s="60" t="s">
        <v>131</v>
      </c>
      <c r="B48" s="35">
        <v>8.3935950413223104E-2</v>
      </c>
      <c r="C48" s="35">
        <v>0.21384322134858236</v>
      </c>
      <c r="D48" s="35">
        <v>3.430169790951032E-2</v>
      </c>
      <c r="E48" s="35">
        <v>-1.4438487450775728</v>
      </c>
      <c r="F48" s="35" t="s">
        <v>83</v>
      </c>
      <c r="G48" s="212">
        <f>G46/E46-1</f>
        <v>-3.4754676643506146</v>
      </c>
      <c r="H48" s="35">
        <f>H46/G46-1</f>
        <v>-0.37550738405734518</v>
      </c>
      <c r="I48" s="35">
        <f>I46/H46-1</f>
        <v>5.4418476006084848E-2</v>
      </c>
      <c r="J48" s="35">
        <f>J46/I46-1</f>
        <v>-0.74706538133648115</v>
      </c>
      <c r="K48" s="35" t="s">
        <v>83</v>
      </c>
      <c r="L48" s="35">
        <f>L46/J46-1</f>
        <v>2.8099559242934924</v>
      </c>
      <c r="M48" s="35">
        <f>M46/L46-1</f>
        <v>-0.14501531133038448</v>
      </c>
      <c r="N48" s="35">
        <f>N46/M46-1</f>
        <v>0.51575931232091698</v>
      </c>
      <c r="O48" s="35">
        <f>O46/N46-1</f>
        <v>0.12140306658265065</v>
      </c>
      <c r="P48" s="35" t="s">
        <v>83</v>
      </c>
      <c r="Q48" s="35">
        <f>Q46/O46-1</f>
        <v>4.9400636823375255E-2</v>
      </c>
      <c r="T48" s="26"/>
    </row>
    <row r="49" spans="1:53" s="27" customFormat="1" ht="13.5" thickBot="1" x14ac:dyDescent="0.25">
      <c r="A49" s="111" t="s">
        <v>132</v>
      </c>
      <c r="B49" s="79">
        <v>0.21476121562952244</v>
      </c>
      <c r="C49" s="79">
        <v>0.24445801526717559</v>
      </c>
      <c r="D49" s="79">
        <v>0.31320872274143308</v>
      </c>
      <c r="E49" s="79">
        <v>-1.6040123827832975</v>
      </c>
      <c r="F49" s="79">
        <v>-0.20807480966286707</v>
      </c>
      <c r="G49" s="219">
        <f t="shared" ref="G49:O49" si="72">G46/B46-1</f>
        <v>0.37943769359066004</v>
      </c>
      <c r="H49" s="79">
        <f t="shared" si="72"/>
        <v>-0.2903130827362842</v>
      </c>
      <c r="I49" s="79">
        <f t="shared" si="72"/>
        <v>-0.27650993974474547</v>
      </c>
      <c r="J49" s="79">
        <f t="shared" si="72"/>
        <v>-1.4122928915018707</v>
      </c>
      <c r="K49" s="79">
        <f t="shared" si="72"/>
        <v>0.16032564228440527</v>
      </c>
      <c r="L49" s="79">
        <f t="shared" si="72"/>
        <v>-0.3654460661542448</v>
      </c>
      <c r="M49" s="79">
        <f t="shared" si="72"/>
        <v>-0.13124049232471302</v>
      </c>
      <c r="N49" s="79">
        <f t="shared" si="72"/>
        <v>0.24886877828054299</v>
      </c>
      <c r="O49" s="79">
        <f t="shared" si="72"/>
        <v>4.5369458128078817</v>
      </c>
      <c r="P49" s="79">
        <f>P46/K46-1</f>
        <v>0.19273349081549918</v>
      </c>
      <c r="Q49" s="79">
        <f t="shared" ref="Q49" si="73">Q46/L46-1</f>
        <v>0.52507655665192243</v>
      </c>
      <c r="T49" s="26"/>
    </row>
    <row r="50" spans="1:53" s="27" customFormat="1" x14ac:dyDescent="0.2">
      <c r="A50" s="61" t="s">
        <v>148</v>
      </c>
      <c r="G50" s="230"/>
      <c r="T50" s="26"/>
    </row>
    <row r="51" spans="1:53" s="27" customFormat="1" x14ac:dyDescent="0.2">
      <c r="A51" s="89" t="s">
        <v>101</v>
      </c>
      <c r="G51" s="230"/>
      <c r="T51" s="26"/>
    </row>
    <row r="52" spans="1:53" x14ac:dyDescent="0.2">
      <c r="A52" s="90" t="s">
        <v>99</v>
      </c>
      <c r="B52" s="32">
        <f t="shared" ref="B52" si="74">B43/B60</f>
        <v>0.49602750662922263</v>
      </c>
      <c r="C52" s="32">
        <f t="shared" ref="C52" si="75">C43/C60</f>
        <v>0.60255499452548877</v>
      </c>
      <c r="D52" s="32">
        <f t="shared" ref="D52" si="76">D43/D60</f>
        <v>0.6228727188115103</v>
      </c>
      <c r="E52" s="32">
        <f t="shared" ref="E52" si="77">E43/E60</f>
        <v>-0.2744471334388337</v>
      </c>
      <c r="F52" s="32">
        <f t="shared" ref="F52" si="78">F43/F60</f>
        <v>1.4422125448102174</v>
      </c>
      <c r="G52" s="220">
        <f t="shared" ref="G52:H52" si="79">G43/G60</f>
        <v>0.67229867038262792</v>
      </c>
      <c r="H52" s="32">
        <f t="shared" si="79"/>
        <v>0.41904265183124711</v>
      </c>
      <c r="I52" s="32">
        <f t="shared" ref="I52:J52" si="80">I43/I60</f>
        <v>0.44252590034533795</v>
      </c>
      <c r="J52" s="32">
        <f t="shared" si="80"/>
        <v>0.11216121902989415</v>
      </c>
      <c r="K52" s="32">
        <f t="shared" ref="K52:M52" si="81">K43/K60</f>
        <v>1.6465704914226003</v>
      </c>
      <c r="L52" s="32">
        <f t="shared" si="81"/>
        <v>0.42749090909090909</v>
      </c>
      <c r="M52" s="32">
        <f t="shared" si="81"/>
        <v>0.36468129571577845</v>
      </c>
      <c r="N52" s="32">
        <f t="shared" ref="N52:Q52" si="82">N43/N60</f>
        <v>0.55486277023483477</v>
      </c>
      <c r="O52" s="32">
        <f t="shared" si="82"/>
        <v>0.62347823548302339</v>
      </c>
      <c r="P52" s="32">
        <f>P43/P60</f>
        <v>1.9696943231441049</v>
      </c>
      <c r="Q52" s="32">
        <f t="shared" si="82"/>
        <v>0.65144468344863671</v>
      </c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 x14ac:dyDescent="0.2">
      <c r="A53" s="90" t="s">
        <v>100</v>
      </c>
      <c r="B53" s="78">
        <f t="shared" ref="B53:D53" si="83">B44/B60</f>
        <v>0</v>
      </c>
      <c r="C53" s="78">
        <f t="shared" si="83"/>
        <v>0</v>
      </c>
      <c r="D53" s="78">
        <f t="shared" si="83"/>
        <v>0</v>
      </c>
      <c r="E53" s="78">
        <f t="shared" ref="E53" si="84">E44/E60</f>
        <v>0</v>
      </c>
      <c r="F53" s="78">
        <f t="shared" ref="F53" si="85">F44/F60</f>
        <v>0</v>
      </c>
      <c r="G53" s="221">
        <f t="shared" ref="G53:H53" si="86">G44/G60</f>
        <v>0</v>
      </c>
      <c r="H53" s="78">
        <f t="shared" si="86"/>
        <v>0</v>
      </c>
      <c r="I53" s="78">
        <f t="shared" ref="I53:J53" si="87">I44/I60</f>
        <v>0</v>
      </c>
      <c r="J53" s="78">
        <f t="shared" si="87"/>
        <v>0</v>
      </c>
      <c r="K53" s="78">
        <f t="shared" ref="K53:M53" si="88">K44/K60</f>
        <v>0</v>
      </c>
      <c r="L53" s="78">
        <f t="shared" si="88"/>
        <v>0</v>
      </c>
      <c r="M53" s="78">
        <f t="shared" si="88"/>
        <v>0</v>
      </c>
      <c r="N53" s="78">
        <f t="shared" ref="N53:Q53" si="89">N44/N60</f>
        <v>0</v>
      </c>
      <c r="O53" s="78">
        <f t="shared" si="89"/>
        <v>0</v>
      </c>
      <c r="P53" s="78">
        <f t="shared" si="89"/>
        <v>0</v>
      </c>
      <c r="Q53" s="78">
        <f t="shared" si="89"/>
        <v>0</v>
      </c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 x14ac:dyDescent="0.2">
      <c r="A54" s="92" t="s">
        <v>102</v>
      </c>
      <c r="B54" s="144">
        <f t="shared" ref="B54:D54" si="90">SUM(B52:B53)</f>
        <v>0.49602750662922263</v>
      </c>
      <c r="C54" s="144">
        <f t="shared" si="90"/>
        <v>0.60255499452548877</v>
      </c>
      <c r="D54" s="144">
        <f t="shared" si="90"/>
        <v>0.6228727188115103</v>
      </c>
      <c r="E54" s="144">
        <f t="shared" ref="E54" si="91">SUM(E52:E53)</f>
        <v>-0.2744471334388337</v>
      </c>
      <c r="F54" s="144">
        <f t="shared" ref="F54" si="92">SUM(F52:F53)</f>
        <v>1.4422125448102174</v>
      </c>
      <c r="G54" s="222">
        <f t="shared" ref="G54:H54" si="93">SUM(G52:G53)</f>
        <v>0.67229867038262792</v>
      </c>
      <c r="H54" s="144">
        <f t="shared" si="93"/>
        <v>0.41904265183124711</v>
      </c>
      <c r="I54" s="144">
        <f t="shared" ref="I54:J54" si="94">SUM(I52:I53)</f>
        <v>0.44252590034533795</v>
      </c>
      <c r="J54" s="144">
        <f t="shared" si="94"/>
        <v>0.11216121902989415</v>
      </c>
      <c r="K54" s="144">
        <f t="shared" ref="K54:M54" si="95">SUM(K52:K53)</f>
        <v>1.6465704914226003</v>
      </c>
      <c r="L54" s="144">
        <f t="shared" si="95"/>
        <v>0.42749090909090909</v>
      </c>
      <c r="M54" s="144">
        <f t="shared" si="95"/>
        <v>0.36468129571577845</v>
      </c>
      <c r="N54" s="144">
        <f t="shared" ref="N54:Q54" si="96">SUM(N52:N53)</f>
        <v>0.55486277023483477</v>
      </c>
      <c r="O54" s="144">
        <f t="shared" si="96"/>
        <v>0.62347823548302339</v>
      </c>
      <c r="P54" s="144">
        <f t="shared" si="96"/>
        <v>1.9696943231441049</v>
      </c>
      <c r="Q54" s="144">
        <f t="shared" si="96"/>
        <v>0.65144468344863671</v>
      </c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x14ac:dyDescent="0.2">
      <c r="A55" s="89" t="s">
        <v>98</v>
      </c>
      <c r="G55" s="210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x14ac:dyDescent="0.2">
      <c r="A56" s="90" t="s">
        <v>99</v>
      </c>
      <c r="B56" s="32">
        <f t="shared" ref="B56" si="97">B43/B61</f>
        <v>0.47816959822303656</v>
      </c>
      <c r="C56" s="32">
        <f t="shared" ref="C56" si="98">C43/C61</f>
        <v>0.58234128152395892</v>
      </c>
      <c r="D56" s="32">
        <f t="shared" ref="D56" si="99">D43/D61</f>
        <v>0.60144411941537002</v>
      </c>
      <c r="E56" s="32">
        <f t="shared" ref="E56" si="100">E43/E61</f>
        <v>-0.2744471334388337</v>
      </c>
      <c r="F56" s="32">
        <f t="shared" ref="F56" si="101">F43/F61</f>
        <v>1.3924154699406848</v>
      </c>
      <c r="G56" s="220">
        <f t="shared" ref="G56:H56" si="102">G43/G61</f>
        <v>0.65597824547488881</v>
      </c>
      <c r="H56" s="32">
        <f t="shared" si="102"/>
        <v>0.41153036252916736</v>
      </c>
      <c r="I56" s="32">
        <f t="shared" ref="I56:J56" si="103">I43/I61</f>
        <v>0.43311179277436945</v>
      </c>
      <c r="J56" s="32">
        <f t="shared" si="103"/>
        <v>0.11044929984822886</v>
      </c>
      <c r="K56" s="32">
        <f t="shared" ref="K56:M56" si="104">K43/K61</f>
        <v>1.6193086123718992</v>
      </c>
      <c r="L56" s="32">
        <f t="shared" si="104"/>
        <v>0.42187006574225588</v>
      </c>
      <c r="M56" s="32">
        <f t="shared" si="104"/>
        <v>0.3620436273521021</v>
      </c>
      <c r="N56" s="32">
        <f t="shared" ref="N56:P56" si="105">N43/N61</f>
        <v>0.54883426035332428</v>
      </c>
      <c r="O56" s="32">
        <f t="shared" si="105"/>
        <v>0.61549989912672565</v>
      </c>
      <c r="P56" s="32">
        <f t="shared" si="105"/>
        <v>1.9479745487000835</v>
      </c>
      <c r="Q56" s="32">
        <f t="shared" ref="Q56" si="106">Q43/Q61</f>
        <v>0.64545952017511021</v>
      </c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x14ac:dyDescent="0.2">
      <c r="A57" s="90" t="s">
        <v>100</v>
      </c>
      <c r="B57" s="78">
        <f t="shared" ref="B57:D57" si="107">B44/B61</f>
        <v>0</v>
      </c>
      <c r="C57" s="78">
        <f t="shared" si="107"/>
        <v>0</v>
      </c>
      <c r="D57" s="78">
        <f t="shared" si="107"/>
        <v>0</v>
      </c>
      <c r="E57" s="78">
        <f t="shared" ref="E57" si="108">E44/E61</f>
        <v>0</v>
      </c>
      <c r="F57" s="78">
        <f t="shared" ref="F57" si="109">F44/F61</f>
        <v>0</v>
      </c>
      <c r="G57" s="221">
        <f t="shared" ref="G57:H57" si="110">G44/G61</f>
        <v>0</v>
      </c>
      <c r="H57" s="78">
        <f t="shared" si="110"/>
        <v>0</v>
      </c>
      <c r="I57" s="78">
        <f t="shared" ref="I57:J57" si="111">I44/I61</f>
        <v>0</v>
      </c>
      <c r="J57" s="78">
        <f t="shared" si="111"/>
        <v>0</v>
      </c>
      <c r="K57" s="78">
        <f t="shared" ref="K57:M57" si="112">K44/K61</f>
        <v>0</v>
      </c>
      <c r="L57" s="78">
        <f t="shared" si="112"/>
        <v>0</v>
      </c>
      <c r="M57" s="78">
        <f t="shared" si="112"/>
        <v>0</v>
      </c>
      <c r="N57" s="78">
        <f t="shared" ref="N57:P57" si="113">N44/N61</f>
        <v>0</v>
      </c>
      <c r="O57" s="78">
        <f t="shared" si="113"/>
        <v>0</v>
      </c>
      <c r="P57" s="78">
        <f t="shared" si="113"/>
        <v>0</v>
      </c>
      <c r="Q57" s="78">
        <f t="shared" ref="Q57" si="114">Q44/Q61</f>
        <v>0</v>
      </c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x14ac:dyDescent="0.2">
      <c r="A58" s="92" t="s">
        <v>102</v>
      </c>
      <c r="B58" s="144">
        <f t="shared" ref="B58" si="115">SUM(B56:B57)</f>
        <v>0.47816959822303656</v>
      </c>
      <c r="C58" s="144">
        <f t="shared" ref="C58" si="116">SUM(C56:C57)</f>
        <v>0.58234128152395892</v>
      </c>
      <c r="D58" s="144">
        <f t="shared" ref="D58" si="117">SUM(D56:D57)</f>
        <v>0.60144411941537002</v>
      </c>
      <c r="E58" s="144">
        <f t="shared" ref="E58" si="118">SUM(E56:E57)</f>
        <v>-0.2744471334388337</v>
      </c>
      <c r="F58" s="144">
        <f t="shared" ref="F58" si="119">SUM(F56:F57)</f>
        <v>1.3924154699406848</v>
      </c>
      <c r="G58" s="222">
        <f t="shared" ref="G58:H58" si="120">SUM(G56:G57)</f>
        <v>0.65597824547488881</v>
      </c>
      <c r="H58" s="144">
        <f t="shared" si="120"/>
        <v>0.41153036252916736</v>
      </c>
      <c r="I58" s="144">
        <f t="shared" ref="I58:J58" si="121">SUM(I56:I57)</f>
        <v>0.43311179277436945</v>
      </c>
      <c r="J58" s="144">
        <f t="shared" si="121"/>
        <v>0.11044929984822886</v>
      </c>
      <c r="K58" s="144">
        <f t="shared" ref="K58:M58" si="122">SUM(K56:K57)</f>
        <v>1.6193086123718992</v>
      </c>
      <c r="L58" s="144">
        <f t="shared" si="122"/>
        <v>0.42187006574225588</v>
      </c>
      <c r="M58" s="144">
        <f t="shared" si="122"/>
        <v>0.3620436273521021</v>
      </c>
      <c r="N58" s="144">
        <f t="shared" ref="N58:P58" si="123">SUM(N56:N57)</f>
        <v>0.54883426035332428</v>
      </c>
      <c r="O58" s="144">
        <f t="shared" si="123"/>
        <v>0.61549989912672565</v>
      </c>
      <c r="P58" s="144">
        <f t="shared" si="123"/>
        <v>1.9479745487000835</v>
      </c>
      <c r="Q58" s="144">
        <f t="shared" ref="Q58" si="124">SUM(Q56:Q57)</f>
        <v>0.64545952017511021</v>
      </c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x14ac:dyDescent="0.2">
      <c r="A59" s="64" t="s">
        <v>103</v>
      </c>
      <c r="G59" s="210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 x14ac:dyDescent="0.2">
      <c r="A60" s="61" t="s">
        <v>101</v>
      </c>
      <c r="B60" s="28">
        <v>33844.897259999983</v>
      </c>
      <c r="C60" s="28">
        <v>33819.319705494512</v>
      </c>
      <c r="D60" s="28">
        <v>33838.373978260854</v>
      </c>
      <c r="E60" s="28">
        <v>34086.710554347832</v>
      </c>
      <c r="F60" s="28">
        <v>33897.916209315204</v>
      </c>
      <c r="G60" s="213">
        <v>34446</v>
      </c>
      <c r="H60" s="28">
        <v>34512</v>
      </c>
      <c r="I60" s="28">
        <v>34459</v>
      </c>
      <c r="J60" s="28">
        <v>34388</v>
      </c>
      <c r="K60" s="28">
        <v>34451</v>
      </c>
      <c r="L60" s="28">
        <v>34375</v>
      </c>
      <c r="M60" s="28">
        <v>34452</v>
      </c>
      <c r="N60" s="28">
        <v>34322</v>
      </c>
      <c r="O60" s="28">
        <v>34253</v>
      </c>
      <c r="P60" s="28">
        <v>34350</v>
      </c>
      <c r="Q60" s="28">
        <v>34402</v>
      </c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ht="13.5" thickBot="1" x14ac:dyDescent="0.25">
      <c r="A61" s="91" t="s">
        <v>98</v>
      </c>
      <c r="B61" s="76">
        <v>35108.881999999998</v>
      </c>
      <c r="C61" s="76">
        <v>34993.225873789612</v>
      </c>
      <c r="D61" s="76">
        <v>35043.987162910104</v>
      </c>
      <c r="E61" s="76">
        <v>34086.710554347832</v>
      </c>
      <c r="F61" s="76">
        <v>35110.210318248312</v>
      </c>
      <c r="G61" s="223">
        <v>35303</v>
      </c>
      <c r="H61" s="76">
        <v>35142</v>
      </c>
      <c r="I61" s="76">
        <v>35208</v>
      </c>
      <c r="J61" s="76">
        <v>34921</v>
      </c>
      <c r="K61" s="76">
        <v>35031</v>
      </c>
      <c r="L61" s="76">
        <v>34833</v>
      </c>
      <c r="M61" s="76">
        <v>34703</v>
      </c>
      <c r="N61" s="76">
        <v>34699</v>
      </c>
      <c r="O61" s="76">
        <v>34697</v>
      </c>
      <c r="P61" s="76">
        <v>34733</v>
      </c>
      <c r="Q61" s="76">
        <v>34721</v>
      </c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ht="6" customHeight="1" x14ac:dyDescent="0.2">
      <c r="A62" s="64"/>
      <c r="G62" s="210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x14ac:dyDescent="0.2">
      <c r="A63" s="62" t="s">
        <v>91</v>
      </c>
      <c r="G63" s="210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x14ac:dyDescent="0.2">
      <c r="A64" s="59" t="s">
        <v>1</v>
      </c>
      <c r="B64" s="42">
        <f t="shared" ref="B64:K64" si="125">B8</f>
        <v>183033</v>
      </c>
      <c r="C64" s="42">
        <f t="shared" si="125"/>
        <v>189057</v>
      </c>
      <c r="D64" s="42">
        <f t="shared" si="125"/>
        <v>192345</v>
      </c>
      <c r="E64" s="42">
        <f t="shared" si="125"/>
        <v>197875</v>
      </c>
      <c r="F64" s="42">
        <f t="shared" si="125"/>
        <v>762310</v>
      </c>
      <c r="G64" s="215">
        <f t="shared" si="125"/>
        <v>206973</v>
      </c>
      <c r="H64" s="42">
        <f t="shared" si="125"/>
        <v>210112</v>
      </c>
      <c r="I64" s="42">
        <f t="shared" si="125"/>
        <v>231124</v>
      </c>
      <c r="J64" s="42">
        <f t="shared" si="125"/>
        <v>234903</v>
      </c>
      <c r="K64" s="42">
        <f t="shared" si="125"/>
        <v>883112</v>
      </c>
      <c r="L64" s="42">
        <f t="shared" ref="L64:M64" si="126">L8</f>
        <v>239573</v>
      </c>
      <c r="M64" s="42">
        <f t="shared" si="126"/>
        <v>243509</v>
      </c>
      <c r="N64" s="42">
        <f t="shared" ref="N64:Q64" si="127">N8</f>
        <v>251392</v>
      </c>
      <c r="O64" s="42">
        <f t="shared" si="127"/>
        <v>256872</v>
      </c>
      <c r="P64" s="42">
        <f t="shared" si="127"/>
        <v>991346</v>
      </c>
      <c r="Q64" s="42">
        <f t="shared" si="127"/>
        <v>245990</v>
      </c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x14ac:dyDescent="0.2">
      <c r="A65" s="63" t="s">
        <v>154</v>
      </c>
      <c r="B65" s="28">
        <v>0</v>
      </c>
      <c r="C65" s="28"/>
      <c r="D65" s="28">
        <v>0</v>
      </c>
      <c r="E65" s="28">
        <v>0</v>
      </c>
      <c r="F65" s="28">
        <v>0</v>
      </c>
      <c r="G65" s="213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 ht="13.5" customHeight="1" x14ac:dyDescent="0.2">
      <c r="A66" s="59" t="s">
        <v>155</v>
      </c>
      <c r="B66" s="42">
        <f t="shared" ref="B66" si="128">B64+B65</f>
        <v>183033</v>
      </c>
      <c r="C66" s="42">
        <f t="shared" ref="C66" si="129">C64+C65</f>
        <v>189057</v>
      </c>
      <c r="D66" s="42">
        <f t="shared" ref="D66" si="130">D64+D65</f>
        <v>192345</v>
      </c>
      <c r="E66" s="42">
        <f t="shared" ref="E66" si="131">E64+E65</f>
        <v>197875</v>
      </c>
      <c r="F66" s="42">
        <f t="shared" ref="F66" si="132">F64+F65</f>
        <v>762310</v>
      </c>
      <c r="G66" s="215">
        <f t="shared" ref="G66:H66" si="133">G64+G65</f>
        <v>206973</v>
      </c>
      <c r="H66" s="42">
        <f t="shared" si="133"/>
        <v>210112</v>
      </c>
      <c r="I66" s="42">
        <f t="shared" ref="I66:J66" si="134">I64+I65</f>
        <v>231124</v>
      </c>
      <c r="J66" s="42">
        <f t="shared" si="134"/>
        <v>234903</v>
      </c>
      <c r="K66" s="42">
        <f t="shared" ref="K66:M66" si="135">K64+K65</f>
        <v>883112</v>
      </c>
      <c r="L66" s="42">
        <f t="shared" si="135"/>
        <v>239573</v>
      </c>
      <c r="M66" s="42">
        <f t="shared" si="135"/>
        <v>243509</v>
      </c>
      <c r="N66" s="42">
        <f t="shared" ref="N66:Q66" si="136">N64+N65</f>
        <v>251392</v>
      </c>
      <c r="O66" s="42">
        <f t="shared" si="136"/>
        <v>256872</v>
      </c>
      <c r="P66" s="42">
        <f t="shared" si="136"/>
        <v>991346</v>
      </c>
      <c r="Q66" s="42">
        <f t="shared" si="136"/>
        <v>245990</v>
      </c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 ht="6.75" customHeight="1" x14ac:dyDescent="0.2">
      <c r="A67" s="62"/>
      <c r="G67" s="210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s="27" customFormat="1" x14ac:dyDescent="0.2">
      <c r="A68" s="59" t="s">
        <v>70</v>
      </c>
      <c r="B68" s="42">
        <f>B31</f>
        <v>17212</v>
      </c>
      <c r="C68" s="42">
        <f t="shared" ref="C68" si="137">C31</f>
        <v>18268</v>
      </c>
      <c r="D68" s="42">
        <f t="shared" ref="D68" si="138">D31</f>
        <v>20945</v>
      </c>
      <c r="E68" s="42">
        <f t="shared" ref="E68" si="139">E31</f>
        <v>16300</v>
      </c>
      <c r="F68" s="42">
        <f t="shared" ref="F68" si="140">F31</f>
        <v>72725</v>
      </c>
      <c r="G68" s="215">
        <f t="shared" ref="G68:H68" si="141">G31</f>
        <v>15150</v>
      </c>
      <c r="H68" s="42">
        <f t="shared" si="141"/>
        <v>17090</v>
      </c>
      <c r="I68" s="42">
        <f t="shared" ref="I68:J68" si="142">I31</f>
        <v>19674</v>
      </c>
      <c r="J68" s="42">
        <f t="shared" si="142"/>
        <v>-2093</v>
      </c>
      <c r="K68" s="42">
        <f t="shared" ref="K68:M68" si="143">K31</f>
        <v>49821</v>
      </c>
      <c r="L68" s="42">
        <f t="shared" si="143"/>
        <v>16861</v>
      </c>
      <c r="M68" s="42">
        <f t="shared" si="143"/>
        <v>13856</v>
      </c>
      <c r="N68" s="42">
        <f t="shared" ref="N68:Q68" si="144">N31</f>
        <v>22422</v>
      </c>
      <c r="O68" s="42">
        <f t="shared" si="144"/>
        <v>23314</v>
      </c>
      <c r="P68" s="42">
        <f t="shared" si="144"/>
        <v>76453</v>
      </c>
      <c r="Q68" s="42">
        <f t="shared" si="144"/>
        <v>27487</v>
      </c>
      <c r="T68" s="26"/>
    </row>
    <row r="69" spans="1:53" x14ac:dyDescent="0.2">
      <c r="A69" s="63" t="s">
        <v>190</v>
      </c>
      <c r="B69" s="58">
        <v>3498</v>
      </c>
      <c r="C69" s="58">
        <v>3507</v>
      </c>
      <c r="D69" s="58">
        <v>3487</v>
      </c>
      <c r="E69" s="58">
        <f>+F69-SUM(B69,C69,D69)</f>
        <v>3483</v>
      </c>
      <c r="F69" s="58">
        <v>13975</v>
      </c>
      <c r="G69" s="217">
        <v>3947</v>
      </c>
      <c r="H69" s="58">
        <v>3761</v>
      </c>
      <c r="I69" s="28">
        <v>6718</v>
      </c>
      <c r="J69" s="187">
        <f t="shared" ref="J69" si="145">+K69-SUM(G69:I69)</f>
        <v>5951</v>
      </c>
      <c r="K69" s="58">
        <v>20377</v>
      </c>
      <c r="L69" s="58">
        <v>5528</v>
      </c>
      <c r="M69" s="58">
        <v>5554</v>
      </c>
      <c r="N69" s="58">
        <v>5502</v>
      </c>
      <c r="O69" s="187">
        <f>+P69-SUM(L69:N69)</f>
        <v>4974</v>
      </c>
      <c r="P69" s="58">
        <v>21558</v>
      </c>
      <c r="Q69" s="58">
        <v>4153</v>
      </c>
      <c r="R69" s="28">
        <f t="shared" ref="R69:R73" si="146">SUM(L69:O69)-P69</f>
        <v>0</v>
      </c>
      <c r="S69" s="28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x14ac:dyDescent="0.2">
      <c r="A70" s="63" t="s">
        <v>191</v>
      </c>
      <c r="B70" s="58">
        <v>5956</v>
      </c>
      <c r="C70" s="58">
        <v>5107</v>
      </c>
      <c r="D70" s="58">
        <v>5708</v>
      </c>
      <c r="E70" s="58">
        <f>+F70-SUM(B70,C70,D70)</f>
        <v>6270</v>
      </c>
      <c r="F70" s="58">
        <v>23041</v>
      </c>
      <c r="G70" s="217">
        <v>5074</v>
      </c>
      <c r="H70" s="58">
        <v>6893</v>
      </c>
      <c r="I70" s="28">
        <v>5344</v>
      </c>
      <c r="J70" s="187">
        <f>+K70-SUM(G70:I70)</f>
        <v>6590</v>
      </c>
      <c r="K70" s="58">
        <v>23901</v>
      </c>
      <c r="L70" s="58">
        <v>6956</v>
      </c>
      <c r="M70" s="58">
        <v>7155</v>
      </c>
      <c r="N70" s="58">
        <v>7427</v>
      </c>
      <c r="O70" s="187">
        <f t="shared" ref="O70" si="147">+P70-SUM(L70:N70)</f>
        <v>4532</v>
      </c>
      <c r="P70" s="58">
        <v>26070</v>
      </c>
      <c r="Q70" s="58">
        <v>4778</v>
      </c>
      <c r="R70" s="28">
        <f t="shared" si="146"/>
        <v>0</v>
      </c>
      <c r="S70" s="28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x14ac:dyDescent="0.2">
      <c r="A71" s="63" t="s">
        <v>197</v>
      </c>
      <c r="B71" s="105">
        <v>0</v>
      </c>
      <c r="C71" s="105">
        <v>0</v>
      </c>
      <c r="D71" s="105">
        <v>0</v>
      </c>
      <c r="E71" s="105">
        <v>0</v>
      </c>
      <c r="F71" s="105">
        <v>0</v>
      </c>
      <c r="G71" s="224">
        <v>2400</v>
      </c>
      <c r="H71" s="250">
        <v>0</v>
      </c>
      <c r="I71" s="250">
        <v>0</v>
      </c>
      <c r="J71" s="250">
        <v>0</v>
      </c>
      <c r="K71" s="105">
        <f>SUM(G71:J71)</f>
        <v>2400</v>
      </c>
      <c r="L71" s="105">
        <v>0</v>
      </c>
      <c r="M71" s="105">
        <v>0</v>
      </c>
      <c r="N71" s="105">
        <v>0</v>
      </c>
      <c r="O71" s="105">
        <v>0</v>
      </c>
      <c r="P71" s="105">
        <f>SUM(L71:O71)</f>
        <v>0</v>
      </c>
      <c r="Q71" s="105">
        <v>0</v>
      </c>
      <c r="R71" s="28">
        <f t="shared" si="146"/>
        <v>0</v>
      </c>
      <c r="S71" s="28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x14ac:dyDescent="0.2">
      <c r="A72" s="63" t="s">
        <v>203</v>
      </c>
      <c r="B72" s="250">
        <v>0</v>
      </c>
      <c r="C72" s="250">
        <v>48</v>
      </c>
      <c r="D72" s="250">
        <v>457</v>
      </c>
      <c r="E72" s="250">
        <v>321</v>
      </c>
      <c r="F72" s="250">
        <v>826</v>
      </c>
      <c r="G72" s="224">
        <v>363</v>
      </c>
      <c r="H72" s="250">
        <v>841</v>
      </c>
      <c r="I72" s="250">
        <v>855</v>
      </c>
      <c r="J72" s="187">
        <f t="shared" ref="J72:J73" si="148">+K72-SUM(G72:I72)</f>
        <v>236</v>
      </c>
      <c r="K72" s="250">
        <v>2295</v>
      </c>
      <c r="L72" s="250">
        <v>0</v>
      </c>
      <c r="M72" s="250">
        <v>0</v>
      </c>
      <c r="N72" s="250">
        <v>0</v>
      </c>
      <c r="O72" s="187">
        <f t="shared" ref="O72:O73" si="149">+P72-SUM(L72:N72)</f>
        <v>0</v>
      </c>
      <c r="P72" s="250">
        <v>0</v>
      </c>
      <c r="Q72" s="250">
        <v>0</v>
      </c>
      <c r="R72" s="28">
        <f t="shared" si="146"/>
        <v>0</v>
      </c>
      <c r="S72" s="28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ht="38.25" x14ac:dyDescent="0.2">
      <c r="A73" s="275" t="s">
        <v>222</v>
      </c>
      <c r="B73" s="278">
        <v>0</v>
      </c>
      <c r="C73" s="278">
        <v>0</v>
      </c>
      <c r="D73" s="278">
        <v>0</v>
      </c>
      <c r="E73" s="278">
        <v>0</v>
      </c>
      <c r="F73" s="278">
        <v>0</v>
      </c>
      <c r="G73" s="277">
        <v>0</v>
      </c>
      <c r="H73" s="278">
        <v>0</v>
      </c>
      <c r="I73" s="278">
        <v>0</v>
      </c>
      <c r="J73" s="280">
        <f t="shared" si="148"/>
        <v>20056</v>
      </c>
      <c r="K73" s="278">
        <v>20056</v>
      </c>
      <c r="L73" s="278">
        <f>-L26</f>
        <v>1227</v>
      </c>
      <c r="M73" s="278">
        <f>-M26</f>
        <v>5580</v>
      </c>
      <c r="N73" s="278">
        <f>-N26</f>
        <v>489</v>
      </c>
      <c r="O73" s="280">
        <f t="shared" si="149"/>
        <v>1375</v>
      </c>
      <c r="P73" s="278">
        <f>-P26</f>
        <v>8671</v>
      </c>
      <c r="Q73" s="278">
        <f>-Q26</f>
        <v>0</v>
      </c>
      <c r="R73" s="28">
        <f t="shared" si="146"/>
        <v>0</v>
      </c>
      <c r="S73" s="28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s="27" customFormat="1" x14ac:dyDescent="0.2">
      <c r="A74" s="59" t="s">
        <v>71</v>
      </c>
      <c r="B74" s="42">
        <f t="shared" ref="B74:Q74" si="150">SUM(B68:B73)</f>
        <v>26666</v>
      </c>
      <c r="C74" s="42">
        <f t="shared" si="150"/>
        <v>26930</v>
      </c>
      <c r="D74" s="42">
        <f t="shared" si="150"/>
        <v>30597</v>
      </c>
      <c r="E74" s="42">
        <f t="shared" si="150"/>
        <v>26374</v>
      </c>
      <c r="F74" s="42">
        <f t="shared" si="150"/>
        <v>110567</v>
      </c>
      <c r="G74" s="215">
        <f t="shared" si="150"/>
        <v>26934</v>
      </c>
      <c r="H74" s="42">
        <f t="shared" si="150"/>
        <v>28585</v>
      </c>
      <c r="I74" s="42">
        <f t="shared" si="150"/>
        <v>32591</v>
      </c>
      <c r="J74" s="42">
        <f t="shared" si="150"/>
        <v>30740</v>
      </c>
      <c r="K74" s="42">
        <f t="shared" si="150"/>
        <v>118850</v>
      </c>
      <c r="L74" s="42">
        <f t="shared" si="150"/>
        <v>30572</v>
      </c>
      <c r="M74" s="42">
        <f t="shared" si="150"/>
        <v>32145</v>
      </c>
      <c r="N74" s="42">
        <f t="shared" si="150"/>
        <v>35840</v>
      </c>
      <c r="O74" s="42">
        <f t="shared" si="150"/>
        <v>34195</v>
      </c>
      <c r="P74" s="42">
        <f t="shared" si="150"/>
        <v>132752</v>
      </c>
      <c r="Q74" s="42">
        <f t="shared" si="150"/>
        <v>36418</v>
      </c>
      <c r="T74" s="26"/>
    </row>
    <row r="75" spans="1:53" x14ac:dyDescent="0.2">
      <c r="A75" s="109" t="s">
        <v>62</v>
      </c>
      <c r="B75" s="107">
        <v>0.14568957510394301</v>
      </c>
      <c r="C75" s="107">
        <v>0.14244381324150918</v>
      </c>
      <c r="D75" s="107">
        <v>0.15907353973329175</v>
      </c>
      <c r="E75" s="107">
        <v>0.13328616550852812</v>
      </c>
      <c r="F75" s="107">
        <v>0.14504204326323936</v>
      </c>
      <c r="G75" s="225">
        <f t="shared" ref="G75:Q75" si="151">IF(G74/G66&lt;0, "NM",G74/G66)</f>
        <v>0.13013291588757953</v>
      </c>
      <c r="H75" s="107">
        <f t="shared" si="151"/>
        <v>0.13604648949131892</v>
      </c>
      <c r="I75" s="107">
        <f t="shared" si="151"/>
        <v>0.14101088593136152</v>
      </c>
      <c r="J75" s="107">
        <f t="shared" si="151"/>
        <v>0.13086252623423286</v>
      </c>
      <c r="K75" s="107">
        <f t="shared" si="151"/>
        <v>0.13458089121198671</v>
      </c>
      <c r="L75" s="107">
        <f t="shared" si="151"/>
        <v>0.12761037345610732</v>
      </c>
      <c r="M75" s="107">
        <f t="shared" si="151"/>
        <v>0.13200744120340521</v>
      </c>
      <c r="N75" s="285">
        <f t="shared" si="151"/>
        <v>0.1425661914460285</v>
      </c>
      <c r="O75" s="285">
        <f t="shared" si="151"/>
        <v>0.13312077610638762</v>
      </c>
      <c r="P75" s="107">
        <f t="shared" si="151"/>
        <v>0.13391086462244262</v>
      </c>
      <c r="Q75" s="107">
        <f t="shared" si="151"/>
        <v>0.14804666856376275</v>
      </c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s="27" customFormat="1" x14ac:dyDescent="0.2">
      <c r="A76" s="60" t="s">
        <v>131</v>
      </c>
      <c r="B76" s="35">
        <v>0.16985268461194436</v>
      </c>
      <c r="C76" s="35">
        <v>9.900247506187565E-3</v>
      </c>
      <c r="D76" s="35">
        <v>0.13616784255477166</v>
      </c>
      <c r="E76" s="35">
        <v>-0.13802006732686212</v>
      </c>
      <c r="F76" s="35" t="s">
        <v>83</v>
      </c>
      <c r="G76" s="212">
        <f>G74/E74-1</f>
        <v>2.123303253203912E-2</v>
      </c>
      <c r="H76" s="35">
        <f>H74/G74-1</f>
        <v>6.1297987673572418E-2</v>
      </c>
      <c r="I76" s="35">
        <f>I74/H74-1</f>
        <v>0.14014343186986178</v>
      </c>
      <c r="J76" s="35">
        <f>J74/I74-1</f>
        <v>-5.6794820656009382E-2</v>
      </c>
      <c r="K76" s="35" t="s">
        <v>83</v>
      </c>
      <c r="L76" s="146">
        <f>L74/J74-1</f>
        <v>-5.4651919323357445E-3</v>
      </c>
      <c r="M76" s="146">
        <f>M74/L74-1</f>
        <v>5.1452309302629784E-2</v>
      </c>
      <c r="N76" s="146">
        <f>N74/M74-1</f>
        <v>0.1149478923627314</v>
      </c>
      <c r="O76" s="146">
        <f>O74/N74-1</f>
        <v>-4.58984375E-2</v>
      </c>
      <c r="P76" s="35" t="s">
        <v>83</v>
      </c>
      <c r="Q76" s="146">
        <f>Q74/O74-1</f>
        <v>6.5009504313496169E-2</v>
      </c>
      <c r="T76" s="26"/>
    </row>
    <row r="77" spans="1:53" ht="13.5" thickBot="1" x14ac:dyDescent="0.25">
      <c r="A77" s="111" t="s">
        <v>132</v>
      </c>
      <c r="B77" s="79">
        <v>6.767149662874905E-2</v>
      </c>
      <c r="C77" s="79">
        <v>0.15065800717826017</v>
      </c>
      <c r="D77" s="79">
        <v>0.23919646834879105</v>
      </c>
      <c r="E77" s="79">
        <v>0.1098067803816003</v>
      </c>
      <c r="F77" s="79">
        <v>0.12145007207428482</v>
      </c>
      <c r="G77" s="219">
        <f t="shared" ref="G77:K77" si="152">G74/B74-1</f>
        <v>1.0050251256281451E-2</v>
      </c>
      <c r="H77" s="79">
        <f t="shared" si="152"/>
        <v>6.1455625696249516E-2</v>
      </c>
      <c r="I77" s="79">
        <f t="shared" si="152"/>
        <v>6.5169787887701336E-2</v>
      </c>
      <c r="J77" s="79">
        <f t="shared" si="152"/>
        <v>0.16554182149086216</v>
      </c>
      <c r="K77" s="79">
        <f t="shared" si="152"/>
        <v>7.4913853138820707E-2</v>
      </c>
      <c r="L77" s="79">
        <f>L74/G74-1</f>
        <v>0.13507091408628491</v>
      </c>
      <c r="M77" s="79">
        <f>M74/H74-1</f>
        <v>0.12454084309952762</v>
      </c>
      <c r="N77" s="79">
        <f>N74/I74-1</f>
        <v>9.9690098493449009E-2</v>
      </c>
      <c r="O77" s="79">
        <f>O74/J74-1</f>
        <v>0.11239427456083284</v>
      </c>
      <c r="P77" s="79">
        <f t="shared" ref="P77" si="153">P74/K74-1</f>
        <v>0.11697097181320992</v>
      </c>
      <c r="Q77" s="79">
        <f>Q74/L74-1</f>
        <v>0.19122072484626451</v>
      </c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ht="6" customHeight="1" x14ac:dyDescent="0.2">
      <c r="A78" s="112"/>
      <c r="G78" s="210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x14ac:dyDescent="0.2">
      <c r="A79" s="59" t="s">
        <v>70</v>
      </c>
      <c r="B79" s="42">
        <f t="shared" ref="B79:Q79" si="154">B68</f>
        <v>17212</v>
      </c>
      <c r="C79" s="42">
        <f t="shared" si="154"/>
        <v>18268</v>
      </c>
      <c r="D79" s="42">
        <f t="shared" si="154"/>
        <v>20945</v>
      </c>
      <c r="E79" s="42">
        <f t="shared" si="154"/>
        <v>16300</v>
      </c>
      <c r="F79" s="42">
        <f t="shared" si="154"/>
        <v>72725</v>
      </c>
      <c r="G79" s="215">
        <f t="shared" si="154"/>
        <v>15150</v>
      </c>
      <c r="H79" s="42">
        <f t="shared" si="154"/>
        <v>17090</v>
      </c>
      <c r="I79" s="42">
        <f t="shared" si="154"/>
        <v>19674</v>
      </c>
      <c r="J79" s="42">
        <f t="shared" si="154"/>
        <v>-2093</v>
      </c>
      <c r="K79" s="42">
        <f t="shared" si="154"/>
        <v>49821</v>
      </c>
      <c r="L79" s="42">
        <f t="shared" si="154"/>
        <v>16861</v>
      </c>
      <c r="M79" s="42">
        <f t="shared" si="154"/>
        <v>13856</v>
      </c>
      <c r="N79" s="42">
        <f t="shared" si="154"/>
        <v>22422</v>
      </c>
      <c r="O79" s="42">
        <f t="shared" si="154"/>
        <v>23314</v>
      </c>
      <c r="P79" s="42">
        <f t="shared" si="154"/>
        <v>76453</v>
      </c>
      <c r="Q79" s="42">
        <f t="shared" si="154"/>
        <v>27487</v>
      </c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x14ac:dyDescent="0.2">
      <c r="A80" s="63" t="s">
        <v>128</v>
      </c>
      <c r="B80" s="86">
        <f t="shared" ref="B80:Q80" si="155">-B23-B69</f>
        <v>5874</v>
      </c>
      <c r="C80" s="86">
        <f t="shared" si="155"/>
        <v>6028</v>
      </c>
      <c r="D80" s="86">
        <f t="shared" si="155"/>
        <v>6095</v>
      </c>
      <c r="E80" s="86">
        <f t="shared" si="155"/>
        <v>6577</v>
      </c>
      <c r="F80" s="86">
        <f t="shared" si="155"/>
        <v>24574</v>
      </c>
      <c r="G80" s="226">
        <f t="shared" si="155"/>
        <v>6557</v>
      </c>
      <c r="H80" s="86">
        <f t="shared" si="155"/>
        <v>6821</v>
      </c>
      <c r="I80" s="28">
        <f t="shared" si="155"/>
        <v>7381</v>
      </c>
      <c r="J80" s="28">
        <f t="shared" si="155"/>
        <v>7430</v>
      </c>
      <c r="K80" s="86">
        <f t="shared" si="155"/>
        <v>28189</v>
      </c>
      <c r="L80" s="86">
        <f t="shared" si="155"/>
        <v>8139</v>
      </c>
      <c r="M80" s="86">
        <f t="shared" si="155"/>
        <v>7198</v>
      </c>
      <c r="N80" s="86">
        <f t="shared" si="155"/>
        <v>7545</v>
      </c>
      <c r="O80" s="86">
        <f t="shared" si="155"/>
        <v>7541</v>
      </c>
      <c r="P80" s="86">
        <f t="shared" si="155"/>
        <v>30423</v>
      </c>
      <c r="Q80" s="86">
        <f t="shared" si="155"/>
        <v>8297</v>
      </c>
      <c r="R80" s="28">
        <f>SUM(L80:O80)-P80</f>
        <v>0</v>
      </c>
      <c r="S80" s="28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 x14ac:dyDescent="0.2">
      <c r="A81" s="63" t="s">
        <v>190</v>
      </c>
      <c r="B81" s="86">
        <f t="shared" ref="B81:Q81" si="156">B69</f>
        <v>3498</v>
      </c>
      <c r="C81" s="86">
        <f t="shared" si="156"/>
        <v>3507</v>
      </c>
      <c r="D81" s="86">
        <f t="shared" si="156"/>
        <v>3487</v>
      </c>
      <c r="E81" s="86">
        <f t="shared" si="156"/>
        <v>3483</v>
      </c>
      <c r="F81" s="86">
        <f t="shared" si="156"/>
        <v>13975</v>
      </c>
      <c r="G81" s="226">
        <f t="shared" si="156"/>
        <v>3947</v>
      </c>
      <c r="H81" s="86">
        <f t="shared" si="156"/>
        <v>3761</v>
      </c>
      <c r="I81" s="28">
        <f t="shared" si="156"/>
        <v>6718</v>
      </c>
      <c r="J81" s="28">
        <f t="shared" si="156"/>
        <v>5951</v>
      </c>
      <c r="K81" s="86">
        <f t="shared" si="156"/>
        <v>20377</v>
      </c>
      <c r="L81" s="86">
        <f t="shared" si="156"/>
        <v>5528</v>
      </c>
      <c r="M81" s="86">
        <f t="shared" si="156"/>
        <v>5554</v>
      </c>
      <c r="N81" s="86">
        <f t="shared" si="156"/>
        <v>5502</v>
      </c>
      <c r="O81" s="86">
        <f t="shared" si="156"/>
        <v>4974</v>
      </c>
      <c r="P81" s="86">
        <f t="shared" si="156"/>
        <v>21558</v>
      </c>
      <c r="Q81" s="86">
        <f t="shared" si="156"/>
        <v>4153</v>
      </c>
      <c r="R81" s="28">
        <f t="shared" ref="R81:R85" si="157">SUM(L81:O81)-P81</f>
        <v>0</v>
      </c>
      <c r="S81" s="28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x14ac:dyDescent="0.2">
      <c r="A82" s="63" t="s">
        <v>191</v>
      </c>
      <c r="B82" s="86">
        <f t="shared" ref="B82:Q82" si="158">B70</f>
        <v>5956</v>
      </c>
      <c r="C82" s="86">
        <f t="shared" si="158"/>
        <v>5107</v>
      </c>
      <c r="D82" s="86">
        <f t="shared" si="158"/>
        <v>5708</v>
      </c>
      <c r="E82" s="86">
        <f t="shared" si="158"/>
        <v>6270</v>
      </c>
      <c r="F82" s="86">
        <f t="shared" si="158"/>
        <v>23041</v>
      </c>
      <c r="G82" s="226">
        <f t="shared" si="158"/>
        <v>5074</v>
      </c>
      <c r="H82" s="86">
        <f t="shared" si="158"/>
        <v>6893</v>
      </c>
      <c r="I82" s="28">
        <f t="shared" si="158"/>
        <v>5344</v>
      </c>
      <c r="J82" s="28">
        <f t="shared" si="158"/>
        <v>6590</v>
      </c>
      <c r="K82" s="86">
        <f t="shared" si="158"/>
        <v>23901</v>
      </c>
      <c r="L82" s="86">
        <f t="shared" si="158"/>
        <v>6956</v>
      </c>
      <c r="M82" s="86">
        <f t="shared" si="158"/>
        <v>7155</v>
      </c>
      <c r="N82" s="86">
        <f t="shared" si="158"/>
        <v>7427</v>
      </c>
      <c r="O82" s="86">
        <f t="shared" si="158"/>
        <v>4532</v>
      </c>
      <c r="P82" s="86">
        <f t="shared" si="158"/>
        <v>26070</v>
      </c>
      <c r="Q82" s="86">
        <f t="shared" si="158"/>
        <v>4778</v>
      </c>
      <c r="R82" s="28">
        <f t="shared" si="157"/>
        <v>0</v>
      </c>
      <c r="S82" s="28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x14ac:dyDescent="0.2">
      <c r="A83" s="63" t="s">
        <v>196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13">
        <f t="shared" ref="G83:Q83" si="159">G71</f>
        <v>2400</v>
      </c>
      <c r="H83" s="28">
        <f t="shared" si="159"/>
        <v>0</v>
      </c>
      <c r="I83" s="28">
        <f t="shared" si="159"/>
        <v>0</v>
      </c>
      <c r="J83" s="28">
        <f t="shared" si="159"/>
        <v>0</v>
      </c>
      <c r="K83" s="28">
        <f t="shared" si="159"/>
        <v>2400</v>
      </c>
      <c r="L83" s="28">
        <f t="shared" si="159"/>
        <v>0</v>
      </c>
      <c r="M83" s="28">
        <f t="shared" si="159"/>
        <v>0</v>
      </c>
      <c r="N83" s="28">
        <f t="shared" si="159"/>
        <v>0</v>
      </c>
      <c r="O83" s="28">
        <f t="shared" si="159"/>
        <v>0</v>
      </c>
      <c r="P83" s="28">
        <f t="shared" si="159"/>
        <v>0</v>
      </c>
      <c r="Q83" s="28">
        <f t="shared" si="159"/>
        <v>0</v>
      </c>
      <c r="R83" s="28">
        <f t="shared" si="157"/>
        <v>0</v>
      </c>
      <c r="S83" s="28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x14ac:dyDescent="0.2">
      <c r="A84" s="63" t="s">
        <v>203</v>
      </c>
      <c r="B84" s="28">
        <v>0</v>
      </c>
      <c r="C84" s="28">
        <f>C72</f>
        <v>48</v>
      </c>
      <c r="D84" s="28">
        <f>D72</f>
        <v>457</v>
      </c>
      <c r="E84" s="28">
        <f>E72</f>
        <v>321</v>
      </c>
      <c r="F84" s="28">
        <f>F72</f>
        <v>826</v>
      </c>
      <c r="G84" s="224">
        <f t="shared" ref="G84:Q84" si="160">G72</f>
        <v>363</v>
      </c>
      <c r="H84" s="250">
        <f t="shared" si="160"/>
        <v>841</v>
      </c>
      <c r="I84" s="250">
        <f t="shared" si="160"/>
        <v>855</v>
      </c>
      <c r="J84" s="250">
        <f t="shared" si="160"/>
        <v>236</v>
      </c>
      <c r="K84" s="28">
        <f t="shared" si="160"/>
        <v>2295</v>
      </c>
      <c r="L84" s="28">
        <f t="shared" si="160"/>
        <v>0</v>
      </c>
      <c r="M84" s="28">
        <f t="shared" si="160"/>
        <v>0</v>
      </c>
      <c r="N84" s="28">
        <f t="shared" si="160"/>
        <v>0</v>
      </c>
      <c r="O84" s="28">
        <f t="shared" si="160"/>
        <v>0</v>
      </c>
      <c r="P84" s="28">
        <f t="shared" si="160"/>
        <v>0</v>
      </c>
      <c r="Q84" s="28">
        <f t="shared" si="160"/>
        <v>0</v>
      </c>
      <c r="R84" s="28">
        <f t="shared" si="157"/>
        <v>0</v>
      </c>
      <c r="S84" s="28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ht="38.25" x14ac:dyDescent="0.2">
      <c r="A85" s="275" t="s">
        <v>219</v>
      </c>
      <c r="B85" s="279">
        <v>0</v>
      </c>
      <c r="C85" s="279">
        <v>0</v>
      </c>
      <c r="D85" s="279">
        <v>0</v>
      </c>
      <c r="E85" s="279">
        <v>0</v>
      </c>
      <c r="F85" s="279">
        <v>0</v>
      </c>
      <c r="G85" s="277">
        <v>0</v>
      </c>
      <c r="H85" s="278">
        <v>0</v>
      </c>
      <c r="I85" s="278">
        <v>0</v>
      </c>
      <c r="J85" s="278">
        <f t="shared" ref="J85:Q85" si="161">J73</f>
        <v>20056</v>
      </c>
      <c r="K85" s="279">
        <f t="shared" si="161"/>
        <v>20056</v>
      </c>
      <c r="L85" s="279">
        <f t="shared" si="161"/>
        <v>1227</v>
      </c>
      <c r="M85" s="279">
        <f t="shared" si="161"/>
        <v>5580</v>
      </c>
      <c r="N85" s="279">
        <f t="shared" si="161"/>
        <v>489</v>
      </c>
      <c r="O85" s="279">
        <f t="shared" si="161"/>
        <v>1375</v>
      </c>
      <c r="P85" s="279">
        <f t="shared" si="161"/>
        <v>8671</v>
      </c>
      <c r="Q85" s="279">
        <f t="shared" si="161"/>
        <v>0</v>
      </c>
      <c r="R85" s="28">
        <f t="shared" si="157"/>
        <v>0</v>
      </c>
      <c r="S85" s="28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x14ac:dyDescent="0.2">
      <c r="A86" s="59" t="s">
        <v>125</v>
      </c>
      <c r="B86" s="42">
        <f t="shared" ref="B86:Q86" si="162">SUM(B79:B85)</f>
        <v>32540</v>
      </c>
      <c r="C86" s="42">
        <f t="shared" si="162"/>
        <v>32958</v>
      </c>
      <c r="D86" s="42">
        <f t="shared" si="162"/>
        <v>36692</v>
      </c>
      <c r="E86" s="42">
        <f t="shared" si="162"/>
        <v>32951</v>
      </c>
      <c r="F86" s="42">
        <f t="shared" si="162"/>
        <v>135141</v>
      </c>
      <c r="G86" s="215">
        <f t="shared" si="162"/>
        <v>33491</v>
      </c>
      <c r="H86" s="42">
        <f t="shared" si="162"/>
        <v>35406</v>
      </c>
      <c r="I86" s="42">
        <f t="shared" si="162"/>
        <v>39972</v>
      </c>
      <c r="J86" s="42">
        <f t="shared" si="162"/>
        <v>38170</v>
      </c>
      <c r="K86" s="42">
        <f t="shared" si="162"/>
        <v>147039</v>
      </c>
      <c r="L86" s="42">
        <f t="shared" si="162"/>
        <v>38711</v>
      </c>
      <c r="M86" s="42">
        <f t="shared" si="162"/>
        <v>39343</v>
      </c>
      <c r="N86" s="42">
        <f t="shared" si="162"/>
        <v>43385</v>
      </c>
      <c r="O86" s="42">
        <f t="shared" si="162"/>
        <v>41736</v>
      </c>
      <c r="P86" s="42">
        <f t="shared" si="162"/>
        <v>163175</v>
      </c>
      <c r="Q86" s="42">
        <f t="shared" si="162"/>
        <v>44715</v>
      </c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x14ac:dyDescent="0.2">
      <c r="A87" s="109" t="s">
        <v>126</v>
      </c>
      <c r="B87" s="104">
        <v>0.1777821485743008</v>
      </c>
      <c r="C87" s="104">
        <v>0.17432837715609578</v>
      </c>
      <c r="D87" s="104">
        <v>0.19076139228989575</v>
      </c>
      <c r="E87" s="104">
        <v>0.16652432090966518</v>
      </c>
      <c r="F87" s="104">
        <v>0.1772782726187509</v>
      </c>
      <c r="G87" s="227">
        <f t="shared" ref="G87:Q87" si="163">IF(G86/G66&lt;0, "NM",G86/G66)</f>
        <v>0.16181337662400411</v>
      </c>
      <c r="H87" s="104">
        <f t="shared" si="163"/>
        <v>0.16851012793176973</v>
      </c>
      <c r="I87" s="104">
        <f t="shared" si="163"/>
        <v>0.17294612415846039</v>
      </c>
      <c r="J87" s="104">
        <f t="shared" si="163"/>
        <v>0.1624926033298851</v>
      </c>
      <c r="K87" s="104">
        <f t="shared" si="163"/>
        <v>0.1665009647700405</v>
      </c>
      <c r="L87" s="104">
        <f t="shared" si="163"/>
        <v>0.16158331698480213</v>
      </c>
      <c r="M87" s="104">
        <f t="shared" si="163"/>
        <v>0.16156692360446637</v>
      </c>
      <c r="N87" s="104">
        <f t="shared" si="163"/>
        <v>0.17257907968431771</v>
      </c>
      <c r="O87" s="104">
        <f t="shared" si="163"/>
        <v>0.16247780995982436</v>
      </c>
      <c r="P87" s="104">
        <f t="shared" si="163"/>
        <v>0.16459944358478271</v>
      </c>
      <c r="Q87" s="104">
        <f t="shared" si="163"/>
        <v>0.18177568193829016</v>
      </c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x14ac:dyDescent="0.2">
      <c r="A88" s="60" t="s">
        <v>131</v>
      </c>
      <c r="B88" s="104">
        <v>0.13055895498265579</v>
      </c>
      <c r="C88" s="104">
        <v>1.2845728334357709E-2</v>
      </c>
      <c r="D88" s="104">
        <v>0.11329570969112202</v>
      </c>
      <c r="E88" s="104">
        <v>-0.10195682982666521</v>
      </c>
      <c r="F88" s="104" t="s">
        <v>83</v>
      </c>
      <c r="G88" s="227">
        <f>G86/E86-1</f>
        <v>1.6387970016084497E-2</v>
      </c>
      <c r="H88" s="104">
        <f>H86/G86-1</f>
        <v>5.7179540772147819E-2</v>
      </c>
      <c r="I88" s="104">
        <f>I86/H86-1</f>
        <v>0.12896119301813247</v>
      </c>
      <c r="J88" s="104">
        <f>J86/I86-1</f>
        <v>-4.5081557089962976E-2</v>
      </c>
      <c r="K88" s="104" t="s">
        <v>83</v>
      </c>
      <c r="L88" s="270">
        <f>L86/J86-1</f>
        <v>1.4173434634529691E-2</v>
      </c>
      <c r="M88" s="270">
        <f>M86/L86-1</f>
        <v>1.6326108857947386E-2</v>
      </c>
      <c r="N88" s="270">
        <f>N86/M86-1</f>
        <v>0.10273746282693241</v>
      </c>
      <c r="O88" s="270">
        <f>O86/N86-1</f>
        <v>-3.8008528293188903E-2</v>
      </c>
      <c r="P88" s="104" t="s">
        <v>83</v>
      </c>
      <c r="Q88" s="270">
        <f>Q86/O86-1</f>
        <v>7.1377228292121897E-2</v>
      </c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 ht="13.5" thickBot="1" x14ac:dyDescent="0.25">
      <c r="A89" s="111" t="s">
        <v>132</v>
      </c>
      <c r="B89" s="79">
        <v>7.0611428224670814E-2</v>
      </c>
      <c r="C89" s="79">
        <v>0.1382096974720266</v>
      </c>
      <c r="D89" s="79">
        <v>0.20538764783180019</v>
      </c>
      <c r="E89" s="79">
        <v>0.1093888417996709</v>
      </c>
      <c r="F89" s="79">
        <v>0.11520663955659449</v>
      </c>
      <c r="G89" s="219">
        <f t="shared" ref="G89:Q89" si="164">G86/B86-1</f>
        <v>2.9225568531038748E-2</v>
      </c>
      <c r="H89" s="79">
        <f t="shared" si="164"/>
        <v>7.4276351720371281E-2</v>
      </c>
      <c r="I89" s="79">
        <f t="shared" si="164"/>
        <v>8.939278316799304E-2</v>
      </c>
      <c r="J89" s="79">
        <f t="shared" si="164"/>
        <v>0.15838669539619432</v>
      </c>
      <c r="K89" s="79">
        <f t="shared" si="164"/>
        <v>8.804137900415121E-2</v>
      </c>
      <c r="L89" s="79">
        <f t="shared" si="164"/>
        <v>0.1558627691021468</v>
      </c>
      <c r="M89" s="79">
        <f t="shared" si="164"/>
        <v>0.11119584251256853</v>
      </c>
      <c r="N89" s="79">
        <f t="shared" si="164"/>
        <v>8.5384769338537003E-2</v>
      </c>
      <c r="O89" s="79">
        <f t="shared" si="164"/>
        <v>9.3424155095624739E-2</v>
      </c>
      <c r="P89" s="79">
        <f t="shared" si="164"/>
        <v>0.10973959289712254</v>
      </c>
      <c r="Q89" s="79">
        <f t="shared" si="164"/>
        <v>0.15509803415049994</v>
      </c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 ht="6" customHeight="1" x14ac:dyDescent="0.2">
      <c r="A90" s="109"/>
      <c r="G90" s="210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 x14ac:dyDescent="0.2">
      <c r="A91" s="59" t="s">
        <v>127</v>
      </c>
      <c r="B91" s="106">
        <f t="shared" ref="B91:Q91" si="165">B46</f>
        <v>16788</v>
      </c>
      <c r="C91" s="106">
        <f t="shared" si="165"/>
        <v>20378</v>
      </c>
      <c r="D91" s="106">
        <f t="shared" si="165"/>
        <v>21077</v>
      </c>
      <c r="E91" s="106">
        <f t="shared" si="165"/>
        <v>-9355</v>
      </c>
      <c r="F91" s="106">
        <f t="shared" si="165"/>
        <v>48888</v>
      </c>
      <c r="G91" s="211">
        <f t="shared" si="165"/>
        <v>23158</v>
      </c>
      <c r="H91" s="106">
        <f t="shared" si="165"/>
        <v>14462</v>
      </c>
      <c r="I91" s="106">
        <f t="shared" si="165"/>
        <v>15249</v>
      </c>
      <c r="J91" s="106">
        <f t="shared" si="165"/>
        <v>3857</v>
      </c>
      <c r="K91" s="106">
        <f t="shared" si="165"/>
        <v>56726</v>
      </c>
      <c r="L91" s="106">
        <f t="shared" si="165"/>
        <v>14695</v>
      </c>
      <c r="M91" s="106">
        <f t="shared" si="165"/>
        <v>12564</v>
      </c>
      <c r="N91" s="106">
        <f t="shared" si="165"/>
        <v>19044</v>
      </c>
      <c r="O91" s="106">
        <f t="shared" si="165"/>
        <v>21356</v>
      </c>
      <c r="P91" s="106">
        <f t="shared" si="165"/>
        <v>67659</v>
      </c>
      <c r="Q91" s="106">
        <f t="shared" si="165"/>
        <v>22411</v>
      </c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 x14ac:dyDescent="0.2">
      <c r="A92" s="63" t="s">
        <v>191</v>
      </c>
      <c r="B92" s="105">
        <f t="shared" ref="B92:Q92" si="166">B70</f>
        <v>5956</v>
      </c>
      <c r="C92" s="105">
        <f t="shared" si="166"/>
        <v>5107</v>
      </c>
      <c r="D92" s="105">
        <f t="shared" si="166"/>
        <v>5708</v>
      </c>
      <c r="E92" s="105">
        <f t="shared" si="166"/>
        <v>6270</v>
      </c>
      <c r="F92" s="105">
        <f t="shared" si="166"/>
        <v>23041</v>
      </c>
      <c r="G92" s="224">
        <f t="shared" si="166"/>
        <v>5074</v>
      </c>
      <c r="H92" s="105">
        <f t="shared" si="166"/>
        <v>6893</v>
      </c>
      <c r="I92" s="105">
        <f t="shared" si="166"/>
        <v>5344</v>
      </c>
      <c r="J92" s="105">
        <f t="shared" si="166"/>
        <v>6590</v>
      </c>
      <c r="K92" s="105">
        <f t="shared" si="166"/>
        <v>23901</v>
      </c>
      <c r="L92" s="105">
        <f t="shared" si="166"/>
        <v>6956</v>
      </c>
      <c r="M92" s="105">
        <f t="shared" si="166"/>
        <v>7155</v>
      </c>
      <c r="N92" s="105">
        <f t="shared" si="166"/>
        <v>7427</v>
      </c>
      <c r="O92" s="105">
        <f t="shared" si="166"/>
        <v>4532</v>
      </c>
      <c r="P92" s="250">
        <f t="shared" si="166"/>
        <v>26070</v>
      </c>
      <c r="Q92" s="105">
        <f t="shared" si="166"/>
        <v>4778</v>
      </c>
      <c r="R92" s="28">
        <f t="shared" ref="R92:R106" si="167">SUM(L92:O92)-P92</f>
        <v>0</v>
      </c>
      <c r="S92" s="28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 x14ac:dyDescent="0.2">
      <c r="A93" s="63" t="s">
        <v>190</v>
      </c>
      <c r="B93" s="105">
        <f t="shared" ref="B93:Q93" si="168">B69</f>
        <v>3498</v>
      </c>
      <c r="C93" s="105">
        <f t="shared" si="168"/>
        <v>3507</v>
      </c>
      <c r="D93" s="105">
        <f t="shared" si="168"/>
        <v>3487</v>
      </c>
      <c r="E93" s="105">
        <f t="shared" si="168"/>
        <v>3483</v>
      </c>
      <c r="F93" s="105">
        <f t="shared" si="168"/>
        <v>13975</v>
      </c>
      <c r="G93" s="224">
        <f t="shared" si="168"/>
        <v>3947</v>
      </c>
      <c r="H93" s="105">
        <f t="shared" si="168"/>
        <v>3761</v>
      </c>
      <c r="I93" s="105">
        <f t="shared" si="168"/>
        <v>6718</v>
      </c>
      <c r="J93" s="105">
        <f t="shared" si="168"/>
        <v>5951</v>
      </c>
      <c r="K93" s="105">
        <f t="shared" si="168"/>
        <v>20377</v>
      </c>
      <c r="L93" s="105">
        <f t="shared" si="168"/>
        <v>5528</v>
      </c>
      <c r="M93" s="105">
        <f t="shared" si="168"/>
        <v>5554</v>
      </c>
      <c r="N93" s="105">
        <f t="shared" si="168"/>
        <v>5502</v>
      </c>
      <c r="O93" s="105">
        <f t="shared" si="168"/>
        <v>4974</v>
      </c>
      <c r="P93" s="250">
        <f t="shared" si="168"/>
        <v>21558</v>
      </c>
      <c r="Q93" s="105">
        <f t="shared" si="168"/>
        <v>4153</v>
      </c>
      <c r="R93" s="28">
        <f t="shared" si="167"/>
        <v>0</v>
      </c>
      <c r="S93" s="28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 x14ac:dyDescent="0.2">
      <c r="A94" s="63" t="s">
        <v>196</v>
      </c>
      <c r="B94" s="105">
        <v>0</v>
      </c>
      <c r="C94" s="105">
        <v>0</v>
      </c>
      <c r="D94" s="105">
        <v>0</v>
      </c>
      <c r="E94" s="105">
        <f>+F94-SUM(B94,C94,D94)</f>
        <v>0</v>
      </c>
      <c r="F94" s="105">
        <v>0</v>
      </c>
      <c r="G94" s="224">
        <f>G83</f>
        <v>2400</v>
      </c>
      <c r="H94" s="105">
        <v>0</v>
      </c>
      <c r="I94" s="105">
        <v>0</v>
      </c>
      <c r="J94" s="105">
        <v>0</v>
      </c>
      <c r="K94" s="105">
        <f>SUM(G94:J94)</f>
        <v>2400</v>
      </c>
      <c r="L94" s="105">
        <v>0</v>
      </c>
      <c r="M94" s="105">
        <v>0</v>
      </c>
      <c r="N94" s="105">
        <v>0</v>
      </c>
      <c r="O94" s="105">
        <v>0</v>
      </c>
      <c r="P94" s="105">
        <f>SUM(L94:O94)</f>
        <v>0</v>
      </c>
      <c r="Q94" s="105">
        <v>0</v>
      </c>
      <c r="R94" s="28">
        <f t="shared" si="167"/>
        <v>0</v>
      </c>
      <c r="S94" s="28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 x14ac:dyDescent="0.2">
      <c r="A95" s="63" t="s">
        <v>216</v>
      </c>
      <c r="B95" s="105">
        <v>0</v>
      </c>
      <c r="C95" s="105">
        <v>0</v>
      </c>
      <c r="D95" s="105">
        <v>0</v>
      </c>
      <c r="E95" s="105">
        <f>+F95-SUM(B95,C95,D95)</f>
        <v>29185</v>
      </c>
      <c r="F95" s="105">
        <v>29185</v>
      </c>
      <c r="G95" s="224">
        <v>-4836</v>
      </c>
      <c r="H95" s="105">
        <v>0</v>
      </c>
      <c r="I95" s="105">
        <v>0</v>
      </c>
      <c r="J95" s="187">
        <f t="shared" ref="J95" si="169">+K95-SUM(G95:I95)</f>
        <v>-2974</v>
      </c>
      <c r="K95" s="105">
        <v>-7810</v>
      </c>
      <c r="L95" s="105">
        <v>0</v>
      </c>
      <c r="M95" s="105">
        <v>0</v>
      </c>
      <c r="N95" s="105">
        <v>0</v>
      </c>
      <c r="O95" s="187">
        <f t="shared" ref="O95" si="170">+P95-SUM(L95:N95)</f>
        <v>0</v>
      </c>
      <c r="P95" s="105">
        <v>0</v>
      </c>
      <c r="Q95" s="105">
        <v>0</v>
      </c>
      <c r="R95" s="28">
        <f t="shared" si="167"/>
        <v>0</v>
      </c>
      <c r="S95" s="28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 x14ac:dyDescent="0.2">
      <c r="A96" s="63" t="s">
        <v>214</v>
      </c>
      <c r="B96" s="250">
        <v>0</v>
      </c>
      <c r="C96" s="250">
        <f>C72</f>
        <v>48</v>
      </c>
      <c r="D96" s="250">
        <f>D84</f>
        <v>457</v>
      </c>
      <c r="E96" s="250">
        <f>E72</f>
        <v>321</v>
      </c>
      <c r="F96" s="250">
        <f>F72</f>
        <v>826</v>
      </c>
      <c r="G96" s="224">
        <f>G72</f>
        <v>363</v>
      </c>
      <c r="H96" s="250">
        <f>H72</f>
        <v>841</v>
      </c>
      <c r="I96" s="250">
        <f>I72</f>
        <v>855</v>
      </c>
      <c r="J96" s="187">
        <f t="shared" ref="J96:J99" si="171">+K96-SUM(G96:I96)</f>
        <v>-1014</v>
      </c>
      <c r="K96" s="250">
        <v>1045</v>
      </c>
      <c r="L96" s="250">
        <v>0</v>
      </c>
      <c r="M96" s="250">
        <v>0</v>
      </c>
      <c r="N96" s="250">
        <v>-761</v>
      </c>
      <c r="O96" s="187">
        <f t="shared" ref="O96" si="172">+P96-SUM(L96:N96)</f>
        <v>0</v>
      </c>
      <c r="P96" s="250">
        <v>-761</v>
      </c>
      <c r="Q96" s="250">
        <v>0</v>
      </c>
      <c r="R96" s="28">
        <f t="shared" si="167"/>
        <v>0</v>
      </c>
      <c r="S96" s="28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 x14ac:dyDescent="0.2">
      <c r="A97" s="63" t="s">
        <v>208</v>
      </c>
      <c r="B97" s="250">
        <v>0</v>
      </c>
      <c r="C97" s="250">
        <v>0</v>
      </c>
      <c r="D97" s="250">
        <v>0</v>
      </c>
      <c r="E97" s="250">
        <v>0</v>
      </c>
      <c r="F97" s="250">
        <v>0</v>
      </c>
      <c r="G97" s="224">
        <v>0</v>
      </c>
      <c r="H97" s="250">
        <v>0</v>
      </c>
      <c r="I97" s="250">
        <v>0</v>
      </c>
      <c r="J97" s="187">
        <f t="shared" si="171"/>
        <v>600</v>
      </c>
      <c r="K97" s="250">
        <v>600</v>
      </c>
      <c r="L97" s="250">
        <v>600</v>
      </c>
      <c r="M97" s="250">
        <v>618</v>
      </c>
      <c r="N97" s="250">
        <v>618</v>
      </c>
      <c r="O97" s="187">
        <f>+P97-SUM(L97:N97)</f>
        <v>636</v>
      </c>
      <c r="P97" s="250">
        <v>2472</v>
      </c>
      <c r="Q97" s="187">
        <v>636</v>
      </c>
      <c r="R97" s="28">
        <f t="shared" si="167"/>
        <v>0</v>
      </c>
      <c r="S97" s="28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 ht="38.25" x14ac:dyDescent="0.2">
      <c r="A98" s="275" t="s">
        <v>219</v>
      </c>
      <c r="B98" s="278">
        <v>0</v>
      </c>
      <c r="C98" s="278">
        <v>0</v>
      </c>
      <c r="D98" s="278">
        <v>0</v>
      </c>
      <c r="E98" s="278">
        <v>0</v>
      </c>
      <c r="F98" s="278">
        <v>0</v>
      </c>
      <c r="G98" s="277">
        <v>0</v>
      </c>
      <c r="H98" s="278">
        <v>0</v>
      </c>
      <c r="I98" s="278">
        <v>0</v>
      </c>
      <c r="J98" s="278">
        <f>J85</f>
        <v>20056</v>
      </c>
      <c r="K98" s="278">
        <f>K85</f>
        <v>20056</v>
      </c>
      <c r="L98" s="278">
        <f>L85</f>
        <v>1227</v>
      </c>
      <c r="M98" s="278">
        <v>5580</v>
      </c>
      <c r="N98" s="278">
        <f>N85</f>
        <v>489</v>
      </c>
      <c r="O98" s="278">
        <f>O85</f>
        <v>1375</v>
      </c>
      <c r="P98" s="278">
        <f>P85</f>
        <v>8671</v>
      </c>
      <c r="Q98" s="250">
        <f>Q85</f>
        <v>0</v>
      </c>
      <c r="R98" s="28">
        <f t="shared" si="167"/>
        <v>0</v>
      </c>
      <c r="S98" s="28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 hidden="1" x14ac:dyDescent="0.2">
      <c r="A99" s="63" t="s">
        <v>209</v>
      </c>
      <c r="B99" s="250"/>
      <c r="C99" s="250"/>
      <c r="D99" s="250"/>
      <c r="E99" s="250"/>
      <c r="F99" s="250">
        <v>0</v>
      </c>
      <c r="G99" s="224">
        <v>0</v>
      </c>
      <c r="H99" s="250">
        <v>0</v>
      </c>
      <c r="I99" s="250">
        <v>0</v>
      </c>
      <c r="J99" s="250">
        <f t="shared" si="171"/>
        <v>0</v>
      </c>
      <c r="K99" s="250">
        <v>0</v>
      </c>
      <c r="L99" s="250">
        <v>0</v>
      </c>
      <c r="M99" s="250">
        <v>0</v>
      </c>
      <c r="N99" s="250">
        <v>0</v>
      </c>
      <c r="O99" s="250">
        <v>0</v>
      </c>
      <c r="P99" s="250">
        <v>0</v>
      </c>
      <c r="Q99" s="250"/>
      <c r="R99" s="28">
        <f t="shared" si="167"/>
        <v>0</v>
      </c>
      <c r="S99" s="28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x14ac:dyDescent="0.2">
      <c r="A100" s="63" t="s">
        <v>129</v>
      </c>
      <c r="B100" s="28">
        <v>-4260.3999999999996</v>
      </c>
      <c r="C100" s="28">
        <v>-3483.4</v>
      </c>
      <c r="D100" s="28">
        <v>-5563.7</v>
      </c>
      <c r="E100" s="28">
        <f>ROUND(+F100-SUM(B100,C100,D100),0)</f>
        <v>-5063</v>
      </c>
      <c r="F100" s="28">
        <v>-18370</v>
      </c>
      <c r="G100" s="213">
        <v>-5913.4848000000002</v>
      </c>
      <c r="H100" s="28">
        <v>-1891</v>
      </c>
      <c r="I100" s="28">
        <v>-1460</v>
      </c>
      <c r="J100" s="187">
        <f>+K100-SUM(G100:I100)</f>
        <v>-2836.5151999999998</v>
      </c>
      <c r="K100" s="28">
        <v>-12101</v>
      </c>
      <c r="L100" s="28">
        <v>-2481</v>
      </c>
      <c r="M100" s="28">
        <v>-1571</v>
      </c>
      <c r="N100" s="28">
        <v>-1790</v>
      </c>
      <c r="O100" s="187">
        <f>+P100-SUM(L100:N100)</f>
        <v>-2144</v>
      </c>
      <c r="P100" s="28">
        <v>-7986</v>
      </c>
      <c r="Q100" s="187">
        <v>-2733</v>
      </c>
      <c r="R100" s="28">
        <f t="shared" si="167"/>
        <v>0</v>
      </c>
      <c r="S100" s="28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x14ac:dyDescent="0.2">
      <c r="A101" s="63" t="s">
        <v>192</v>
      </c>
      <c r="B101" s="28">
        <v>-951</v>
      </c>
      <c r="C101" s="28">
        <v>-948.89</v>
      </c>
      <c r="D101" s="28">
        <v>-942.49</v>
      </c>
      <c r="E101" s="28">
        <f>ROUND(+F101-SUM(B101,C101,D101),0)</f>
        <v>-947</v>
      </c>
      <c r="F101" s="28">
        <v>-3789</v>
      </c>
      <c r="G101" s="213">
        <v>-725.53359999999998</v>
      </c>
      <c r="H101" s="28">
        <v>-679</v>
      </c>
      <c r="I101" s="28">
        <v>-1435</v>
      </c>
      <c r="J101" s="187">
        <f t="shared" ref="J101" si="173">+K101-SUM(G101:I101)</f>
        <v>-1511.4664000000002</v>
      </c>
      <c r="K101" s="28">
        <v>-4351</v>
      </c>
      <c r="L101" s="28">
        <v>-1193</v>
      </c>
      <c r="M101" s="28">
        <v>-1198</v>
      </c>
      <c r="N101" s="28">
        <v>-1188</v>
      </c>
      <c r="O101" s="187">
        <f t="shared" ref="O101" si="174">+P101-SUM(L101:N101)</f>
        <v>-1042</v>
      </c>
      <c r="P101" s="28">
        <v>-4621</v>
      </c>
      <c r="Q101" s="187">
        <v>-897.048</v>
      </c>
      <c r="R101" s="28">
        <f t="shared" si="167"/>
        <v>0</v>
      </c>
      <c r="S101" s="28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 hidden="1" x14ac:dyDescent="0.2">
      <c r="A102" s="63" t="s">
        <v>166</v>
      </c>
      <c r="B102" s="105">
        <v>0</v>
      </c>
      <c r="C102" s="105">
        <v>0</v>
      </c>
      <c r="D102" s="105">
        <v>0</v>
      </c>
      <c r="E102" s="105">
        <f>+F102-SUM(B102,C102,D102)</f>
        <v>0</v>
      </c>
      <c r="F102" s="105">
        <v>0</v>
      </c>
      <c r="G102" s="224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28">
        <f t="shared" si="167"/>
        <v>0</v>
      </c>
      <c r="S102" s="28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 x14ac:dyDescent="0.2">
      <c r="A103" s="63" t="s">
        <v>205</v>
      </c>
      <c r="B103" s="105">
        <v>0</v>
      </c>
      <c r="C103" s="105">
        <v>0</v>
      </c>
      <c r="D103" s="105">
        <v>0</v>
      </c>
      <c r="E103" s="105">
        <v>0</v>
      </c>
      <c r="F103" s="105">
        <v>0</v>
      </c>
      <c r="G103" s="224">
        <f>-G94*25.5%</f>
        <v>-612</v>
      </c>
      <c r="H103" s="105">
        <v>0</v>
      </c>
      <c r="I103" s="105">
        <v>0</v>
      </c>
      <c r="J103" s="105">
        <v>0</v>
      </c>
      <c r="K103" s="105">
        <f>SUM(G103:J103)</f>
        <v>-612</v>
      </c>
      <c r="L103" s="105">
        <v>0</v>
      </c>
      <c r="M103" s="105">
        <v>0</v>
      </c>
      <c r="N103" s="105">
        <v>0</v>
      </c>
      <c r="O103" s="105">
        <v>0</v>
      </c>
      <c r="P103" s="105">
        <f>SUM(L103:O103)</f>
        <v>0</v>
      </c>
      <c r="Q103" s="105">
        <v>0</v>
      </c>
      <c r="R103" s="28">
        <f t="shared" si="167"/>
        <v>0</v>
      </c>
      <c r="S103" s="28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 x14ac:dyDescent="0.2">
      <c r="A104" s="63" t="s">
        <v>215</v>
      </c>
      <c r="B104" s="105">
        <v>0</v>
      </c>
      <c r="C104" s="105">
        <f>-ROUND(C96*40%,0)</f>
        <v>-19</v>
      </c>
      <c r="D104" s="105">
        <f>-ROUND(D96*40%,0)</f>
        <v>-183</v>
      </c>
      <c r="E104" s="105">
        <f>-ROUND(E96*40%,0)</f>
        <v>-128</v>
      </c>
      <c r="F104" s="105">
        <f>-ROUND(F96*40%,0)</f>
        <v>-330</v>
      </c>
      <c r="G104" s="224">
        <v>-38</v>
      </c>
      <c r="H104" s="250">
        <v>-12</v>
      </c>
      <c r="I104" s="250">
        <v>-218</v>
      </c>
      <c r="J104" s="187">
        <f t="shared" ref="J104:J108" si="175">+K104-SUM(G104:I104)</f>
        <v>253</v>
      </c>
      <c r="K104" s="105">
        <v>-15</v>
      </c>
      <c r="L104" s="105">
        <v>0</v>
      </c>
      <c r="M104" s="105">
        <v>0</v>
      </c>
      <c r="N104" s="105">
        <v>186</v>
      </c>
      <c r="O104" s="187">
        <f t="shared" ref="O104:O105" si="176">+P104-SUM(L104:N104)</f>
        <v>0</v>
      </c>
      <c r="P104" s="105">
        <v>186</v>
      </c>
      <c r="Q104" s="105">
        <v>0</v>
      </c>
      <c r="R104" s="28">
        <f t="shared" si="167"/>
        <v>0</v>
      </c>
      <c r="S104" s="28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 x14ac:dyDescent="0.2">
      <c r="A105" s="63" t="s">
        <v>210</v>
      </c>
      <c r="B105" s="105">
        <v>0</v>
      </c>
      <c r="C105" s="105">
        <v>0</v>
      </c>
      <c r="D105" s="105">
        <v>0</v>
      </c>
      <c r="E105" s="105">
        <v>0</v>
      </c>
      <c r="F105" s="105">
        <v>0</v>
      </c>
      <c r="G105" s="224">
        <v>0</v>
      </c>
      <c r="H105" s="250">
        <v>0</v>
      </c>
      <c r="I105" s="250">
        <v>0</v>
      </c>
      <c r="J105" s="187">
        <f t="shared" si="175"/>
        <v>-150</v>
      </c>
      <c r="K105" s="105">
        <v>-150</v>
      </c>
      <c r="L105" s="105">
        <v>-147</v>
      </c>
      <c r="M105" s="105">
        <v>-150</v>
      </c>
      <c r="N105" s="105">
        <v>-150</v>
      </c>
      <c r="O105" s="187">
        <f t="shared" si="176"/>
        <v>-159</v>
      </c>
      <c r="P105" s="105">
        <v>-606</v>
      </c>
      <c r="Q105" s="187">
        <v>-156</v>
      </c>
      <c r="R105" s="28">
        <f t="shared" si="167"/>
        <v>0</v>
      </c>
      <c r="S105" s="28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 x14ac:dyDescent="0.2">
      <c r="A106" s="63" t="s">
        <v>224</v>
      </c>
      <c r="B106" s="105">
        <v>0</v>
      </c>
      <c r="C106" s="105">
        <v>0</v>
      </c>
      <c r="D106" s="105">
        <v>0</v>
      </c>
      <c r="E106" s="105">
        <v>0</v>
      </c>
      <c r="F106" s="105">
        <v>0</v>
      </c>
      <c r="G106" s="224">
        <v>0</v>
      </c>
      <c r="H106" s="250">
        <v>0</v>
      </c>
      <c r="I106" s="250">
        <v>0</v>
      </c>
      <c r="J106" s="187">
        <f t="shared" si="175"/>
        <v>0</v>
      </c>
      <c r="K106" s="105">
        <v>0</v>
      </c>
      <c r="L106" s="105">
        <v>0</v>
      </c>
      <c r="M106" s="105">
        <v>-1471</v>
      </c>
      <c r="N106" s="105">
        <v>0</v>
      </c>
      <c r="O106" s="187">
        <f>+P106-SUM(L106:N106)</f>
        <v>-1663</v>
      </c>
      <c r="P106" s="105">
        <v>-3134</v>
      </c>
      <c r="Q106" s="105">
        <v>0</v>
      </c>
      <c r="R106" s="28">
        <f t="shared" si="167"/>
        <v>0</v>
      </c>
      <c r="S106" s="28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 ht="38.25" x14ac:dyDescent="0.2">
      <c r="A107" s="275" t="s">
        <v>220</v>
      </c>
      <c r="B107" s="276">
        <v>0</v>
      </c>
      <c r="C107" s="276">
        <v>0</v>
      </c>
      <c r="D107" s="276">
        <v>0</v>
      </c>
      <c r="E107" s="276">
        <v>0</v>
      </c>
      <c r="F107" s="276">
        <v>0</v>
      </c>
      <c r="G107" s="277">
        <v>0</v>
      </c>
      <c r="H107" s="278">
        <v>0</v>
      </c>
      <c r="I107" s="278">
        <v>0</v>
      </c>
      <c r="J107" s="280">
        <f t="shared" si="175"/>
        <v>-3072</v>
      </c>
      <c r="K107" s="276">
        <v>-3072</v>
      </c>
      <c r="L107" s="276">
        <f>-L98*24.5%</f>
        <v>-300.61500000000001</v>
      </c>
      <c r="M107" s="276">
        <v>-1367</v>
      </c>
      <c r="N107" s="276">
        <v>-120</v>
      </c>
      <c r="O107" s="280">
        <f t="shared" ref="O107" si="177">+P107-SUM(L107:N107)</f>
        <v>-352.38499999999999</v>
      </c>
      <c r="P107" s="276">
        <v>-2140</v>
      </c>
      <c r="Q107" s="208">
        <f>-Q98*24.5%</f>
        <v>0</v>
      </c>
      <c r="R107" s="28">
        <f>SUM(L107:O107)-P107</f>
        <v>0</v>
      </c>
      <c r="S107" s="28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 hidden="1" x14ac:dyDescent="0.2">
      <c r="A108" s="63" t="s">
        <v>213</v>
      </c>
      <c r="B108" s="105">
        <v>0</v>
      </c>
      <c r="C108" s="105">
        <v>0</v>
      </c>
      <c r="D108" s="105">
        <v>0</v>
      </c>
      <c r="E108" s="105">
        <v>0</v>
      </c>
      <c r="F108" s="105">
        <v>0</v>
      </c>
      <c r="G108" s="224">
        <v>0</v>
      </c>
      <c r="H108" s="250">
        <v>0</v>
      </c>
      <c r="I108" s="250">
        <v>0</v>
      </c>
      <c r="J108" s="187">
        <f t="shared" si="175"/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 x14ac:dyDescent="0.2">
      <c r="A109" s="59" t="s">
        <v>134</v>
      </c>
      <c r="B109" s="106">
        <f t="shared" ref="B109:Q109" si="178">SUM(B91:B108)</f>
        <v>21030.6</v>
      </c>
      <c r="C109" s="106">
        <f t="shared" si="178"/>
        <v>24588.71</v>
      </c>
      <c r="D109" s="106">
        <f t="shared" si="178"/>
        <v>24039.809999999998</v>
      </c>
      <c r="E109" s="106">
        <f t="shared" si="178"/>
        <v>23766</v>
      </c>
      <c r="F109" s="106">
        <f t="shared" si="178"/>
        <v>93426</v>
      </c>
      <c r="G109" s="211">
        <f t="shared" si="178"/>
        <v>22816.981600000003</v>
      </c>
      <c r="H109" s="106">
        <f t="shared" si="178"/>
        <v>23375</v>
      </c>
      <c r="I109" s="106">
        <f t="shared" si="178"/>
        <v>25053</v>
      </c>
      <c r="J109" s="106">
        <f t="shared" si="178"/>
        <v>25749.018399999997</v>
      </c>
      <c r="K109" s="106">
        <f t="shared" si="178"/>
        <v>96994</v>
      </c>
      <c r="L109" s="106">
        <f t="shared" si="178"/>
        <v>24884.384999999998</v>
      </c>
      <c r="M109" s="106">
        <f t="shared" si="178"/>
        <v>25714</v>
      </c>
      <c r="N109" s="106">
        <f t="shared" si="178"/>
        <v>29257</v>
      </c>
      <c r="O109" s="106">
        <f t="shared" si="178"/>
        <v>27512.615000000002</v>
      </c>
      <c r="P109" s="106">
        <f t="shared" si="178"/>
        <v>107368</v>
      </c>
      <c r="Q109" s="106">
        <f t="shared" si="178"/>
        <v>28191.952000000001</v>
      </c>
      <c r="R109" s="27"/>
      <c r="S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 x14ac:dyDescent="0.2">
      <c r="A110" s="109" t="s">
        <v>135</v>
      </c>
      <c r="B110" s="104">
        <v>0.11490059169657929</v>
      </c>
      <c r="C110" s="104">
        <v>0.13005977033381466</v>
      </c>
      <c r="D110" s="104">
        <v>0.12498276534352334</v>
      </c>
      <c r="E110" s="104">
        <v>0.12010612760581175</v>
      </c>
      <c r="F110" s="104">
        <v>0.122556440293319</v>
      </c>
      <c r="G110" s="227">
        <f t="shared" ref="G110:Q110" si="179">IF(G109/G66&lt;0, "NM",G109/G66)</f>
        <v>0.11024134355688908</v>
      </c>
      <c r="H110" s="104">
        <f t="shared" si="179"/>
        <v>0.11125019037465733</v>
      </c>
      <c r="I110" s="104">
        <f t="shared" si="179"/>
        <v>0.10839635866461293</v>
      </c>
      <c r="J110" s="104">
        <f t="shared" si="179"/>
        <v>0.10961553662575615</v>
      </c>
      <c r="K110" s="104">
        <f t="shared" si="179"/>
        <v>0.10983204848309161</v>
      </c>
      <c r="L110" s="104">
        <f t="shared" si="179"/>
        <v>0.10386973907744194</v>
      </c>
      <c r="M110" s="104">
        <f t="shared" si="179"/>
        <v>0.10559773971393255</v>
      </c>
      <c r="N110" s="104">
        <f t="shared" si="179"/>
        <v>0.11637999618126273</v>
      </c>
      <c r="O110" s="104">
        <f t="shared" si="179"/>
        <v>0.10710632143635741</v>
      </c>
      <c r="P110" s="104">
        <f t="shared" si="179"/>
        <v>0.10830527383980972</v>
      </c>
      <c r="Q110" s="104">
        <f t="shared" si="179"/>
        <v>0.11460608967844221</v>
      </c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 ht="6" customHeight="1" x14ac:dyDescent="0.2">
      <c r="A111" s="109"/>
      <c r="G111" s="210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 x14ac:dyDescent="0.2">
      <c r="A112" s="110" t="s">
        <v>136</v>
      </c>
      <c r="B112" s="108">
        <f>ROUND(B109/B61,2)</f>
        <v>0.6</v>
      </c>
      <c r="C112" s="108">
        <f>ROUND(C109/C61,2)</f>
        <v>0.7</v>
      </c>
      <c r="D112" s="108">
        <f>ROUND(D109/D61,2)</f>
        <v>0.69</v>
      </c>
      <c r="E112" s="108">
        <f>ROUND(E109/35293,2)</f>
        <v>0.67</v>
      </c>
      <c r="F112" s="108">
        <f t="shared" ref="F112:Q112" si="180">ROUND(F109/F61,2)</f>
        <v>2.66</v>
      </c>
      <c r="G112" s="228">
        <f t="shared" si="180"/>
        <v>0.65</v>
      </c>
      <c r="H112" s="248">
        <f t="shared" si="180"/>
        <v>0.67</v>
      </c>
      <c r="I112" s="248">
        <f t="shared" si="180"/>
        <v>0.71</v>
      </c>
      <c r="J112" s="248">
        <f t="shared" si="180"/>
        <v>0.74</v>
      </c>
      <c r="K112" s="108">
        <f t="shared" si="180"/>
        <v>2.77</v>
      </c>
      <c r="L112" s="108">
        <f t="shared" si="180"/>
        <v>0.71</v>
      </c>
      <c r="M112" s="108">
        <f t="shared" si="180"/>
        <v>0.74</v>
      </c>
      <c r="N112" s="108">
        <f t="shared" si="180"/>
        <v>0.84</v>
      </c>
      <c r="O112" s="108">
        <f t="shared" si="180"/>
        <v>0.79</v>
      </c>
      <c r="P112" s="108">
        <f t="shared" si="180"/>
        <v>3.09</v>
      </c>
      <c r="Q112" s="108">
        <f t="shared" si="180"/>
        <v>0.81</v>
      </c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 x14ac:dyDescent="0.2">
      <c r="A113" s="116" t="s">
        <v>131</v>
      </c>
      <c r="B113" s="87">
        <v>-1.6393442622950838E-2</v>
      </c>
      <c r="C113" s="87">
        <v>0.16666666666666674</v>
      </c>
      <c r="D113" s="87">
        <v>-1.4285714285714346E-2</v>
      </c>
      <c r="E113" s="87">
        <v>-2.8985507246376718E-2</v>
      </c>
      <c r="F113" s="87" t="s">
        <v>83</v>
      </c>
      <c r="G113" s="229">
        <f>G112/E112-1</f>
        <v>-2.9850746268656692E-2</v>
      </c>
      <c r="H113" s="87">
        <f>H112/G112-1</f>
        <v>3.0769230769230882E-2</v>
      </c>
      <c r="I113" s="87">
        <f>I112/H112-1</f>
        <v>5.9701492537313383E-2</v>
      </c>
      <c r="J113" s="87">
        <f>J112/I112-1</f>
        <v>4.2253521126760507E-2</v>
      </c>
      <c r="K113" s="87" t="s">
        <v>83</v>
      </c>
      <c r="L113" s="149">
        <f>L112/J112-1</f>
        <v>-4.0540540540540571E-2</v>
      </c>
      <c r="M113" s="149">
        <f>M112/L112-1</f>
        <v>4.2253521126760507E-2</v>
      </c>
      <c r="N113" s="149">
        <f>N112/M112-1</f>
        <v>0.13513513513513509</v>
      </c>
      <c r="O113" s="149">
        <f>O112/N112-1</f>
        <v>-5.9523809523809423E-2</v>
      </c>
      <c r="P113" s="87" t="s">
        <v>83</v>
      </c>
      <c r="Q113" s="149">
        <f>Q112/O112-1</f>
        <v>2.5316455696202445E-2</v>
      </c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 x14ac:dyDescent="0.2">
      <c r="A114" s="115" t="s">
        <v>132</v>
      </c>
      <c r="B114" s="34">
        <v>7.1428571428571397E-2</v>
      </c>
      <c r="C114" s="34">
        <v>0.27272727272727249</v>
      </c>
      <c r="D114" s="34">
        <v>0.13114754098360648</v>
      </c>
      <c r="E114" s="34">
        <v>9.8360655737705027E-2</v>
      </c>
      <c r="F114" s="34">
        <v>0.14163090128755362</v>
      </c>
      <c r="G114" s="212">
        <f t="shared" ref="G114:N114" si="181">G112/B112-1</f>
        <v>8.3333333333333481E-2</v>
      </c>
      <c r="H114" s="35">
        <f t="shared" si="181"/>
        <v>-4.2857142857142705E-2</v>
      </c>
      <c r="I114" s="35">
        <f t="shared" si="181"/>
        <v>2.898550724637694E-2</v>
      </c>
      <c r="J114" s="35">
        <f t="shared" si="181"/>
        <v>0.10447761194029836</v>
      </c>
      <c r="K114" s="34">
        <f t="shared" si="181"/>
        <v>4.1353383458646586E-2</v>
      </c>
      <c r="L114" s="34">
        <f t="shared" si="181"/>
        <v>9.2307692307692202E-2</v>
      </c>
      <c r="M114" s="34">
        <f t="shared" si="181"/>
        <v>0.10447761194029836</v>
      </c>
      <c r="N114" s="34">
        <f t="shared" si="181"/>
        <v>0.18309859154929575</v>
      </c>
      <c r="O114" s="34">
        <f>O112/J112-1</f>
        <v>6.7567567567567544E-2</v>
      </c>
      <c r="P114" s="34">
        <f>P112/K112-1</f>
        <v>0.11552346570397098</v>
      </c>
      <c r="Q114" s="34">
        <f t="shared" ref="Q114" si="182">Q112/L112-1</f>
        <v>0.14084507042253525</v>
      </c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 x14ac:dyDescent="0.2">
      <c r="A115" s="115"/>
      <c r="B115" s="146"/>
      <c r="C115" s="208"/>
      <c r="D115" s="208"/>
      <c r="E115" s="208"/>
      <c r="F115" s="208"/>
      <c r="G115" s="208"/>
    </row>
    <row r="116" spans="1:53" x14ac:dyDescent="0.2">
      <c r="A116" s="137" t="s">
        <v>256</v>
      </c>
      <c r="B116" s="239"/>
      <c r="C116" s="31"/>
      <c r="D116" s="31"/>
      <c r="E116" s="31"/>
      <c r="F116" s="31"/>
      <c r="G116" s="31"/>
      <c r="O116" s="295"/>
    </row>
    <row r="117" spans="1:53" x14ac:dyDescent="0.2">
      <c r="A117" s="137"/>
      <c r="B117" s="239"/>
      <c r="C117" s="31"/>
      <c r="D117" s="31"/>
      <c r="E117" s="245"/>
      <c r="F117" s="245"/>
      <c r="G117" s="245"/>
      <c r="O117" s="102"/>
      <c r="P117" s="102"/>
      <c r="Q117" s="102"/>
    </row>
    <row r="118" spans="1:53" ht="11.25" customHeight="1" x14ac:dyDescent="0.2">
      <c r="A118" s="137" t="s">
        <v>250</v>
      </c>
      <c r="B118" s="239"/>
      <c r="C118" s="31"/>
      <c r="D118" s="31"/>
      <c r="E118" s="31"/>
      <c r="F118" s="31"/>
      <c r="G118" s="31"/>
    </row>
    <row r="119" spans="1:53" x14ac:dyDescent="0.2">
      <c r="A119" s="137" t="s">
        <v>249</v>
      </c>
      <c r="B119" s="31"/>
      <c r="C119" s="31"/>
      <c r="D119" s="31"/>
      <c r="E119" s="31"/>
      <c r="F119" s="31"/>
      <c r="G119" s="31"/>
    </row>
    <row r="121" spans="1:53" x14ac:dyDescent="0.2">
      <c r="A121" s="137" t="s">
        <v>258</v>
      </c>
    </row>
    <row r="124" spans="1:53" x14ac:dyDescent="0.2">
      <c r="B124" s="93"/>
    </row>
  </sheetData>
  <customSheetViews>
    <customSheetView guid="{168DC811-186D-42DC-8A72-3741D1063270}" scale="80" showGridLines="0">
      <pane xSplit="1" ySplit="5" topLeftCell="G6" activePane="bottomRight" state="frozen"/>
      <selection pane="bottomRight" activeCell="Q8" sqref="Q8"/>
      <colBreaks count="1" manualBreakCount="1">
        <brk id="8" max="1048575" man="1"/>
      </colBreaks>
      <pageMargins left="0.7" right="0.7" top="0.75" bottom="0.75" header="0.3" footer="0.3"/>
      <pageSetup scale="62" orientation="landscape" horizontalDpi="300" verticalDpi="300" r:id="rId1"/>
    </customSheetView>
  </customSheetViews>
  <phoneticPr fontId="0" type="noConversion"/>
  <pageMargins left="0.25" right="0" top="0.25" bottom="0" header="0.3" footer="0.3"/>
  <pageSetup paperSize="9" scale="42" orientation="portrait" r:id="rId2"/>
  <ignoredErrors>
    <ignoredError sqref="J8 J12 J17 J20 J23 J35:J36 J41:J42 J69:J70 J95 K71 J73 J26 J107 J97 J99 J101 J105 J108 J106 J104 J102:K103" formulaRange="1"/>
    <ignoredError sqref="J98:K98 O73 O96 N109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F71"/>
  <sheetViews>
    <sheetView showGridLines="0" zoomScale="80" zoomScaleNormal="80" zoomScaleSheetLayoutView="80" workbookViewId="0">
      <pane xSplit="2" ySplit="4" topLeftCell="C32" activePane="bottomRight" state="frozen"/>
      <selection activeCell="I106" sqref="I106"/>
      <selection pane="topRight" activeCell="I106" sqref="I106"/>
      <selection pane="bottomLeft" activeCell="I106" sqref="I106"/>
      <selection pane="bottomRight" activeCell="O22" sqref="O22"/>
    </sheetView>
  </sheetViews>
  <sheetFormatPr defaultColWidth="9.140625" defaultRowHeight="12.75" outlineLevelCol="1" x14ac:dyDescent="0.2"/>
  <cols>
    <col min="1" max="1" width="47.140625" style="23" customWidth="1"/>
    <col min="2" max="2" width="3.140625" style="2" customWidth="1"/>
    <col min="3" max="3" width="10" style="2" hidden="1" customWidth="1" outlineLevel="1"/>
    <col min="4" max="4" width="11.28515625" style="2" hidden="1" customWidth="1" outlineLevel="1"/>
    <col min="5" max="5" width="10" style="2" hidden="1" customWidth="1" outlineLevel="1"/>
    <col min="6" max="6" width="11.5703125" style="2" bestFit="1" customWidth="1" collapsed="1"/>
    <col min="7" max="7" width="11.5703125" style="2" hidden="1" customWidth="1" outlineLevel="1"/>
    <col min="8" max="8" width="12.28515625" style="2" hidden="1" customWidth="1" outlineLevel="1"/>
    <col min="9" max="9" width="12" style="2" hidden="1" customWidth="1" outlineLevel="1"/>
    <col min="10" max="10" width="12" style="2" customWidth="1" collapsed="1"/>
    <col min="11" max="13" width="12" style="2" hidden="1" customWidth="1" outlineLevel="1"/>
    <col min="14" max="14" width="12" style="2" bestFit="1" customWidth="1" collapsed="1"/>
    <col min="15" max="15" width="11.5703125" style="2" bestFit="1" customWidth="1"/>
    <col min="16" max="16384" width="9.140625" style="2"/>
  </cols>
  <sheetData>
    <row r="1" spans="1:15" x14ac:dyDescent="0.2">
      <c r="A1" s="11"/>
    </row>
    <row r="2" spans="1:15" ht="45" customHeight="1" x14ac:dyDescent="0.2"/>
    <row r="3" spans="1:15" x14ac:dyDescent="0.2">
      <c r="A3" s="18" t="s">
        <v>15</v>
      </c>
      <c r="C3" s="3">
        <v>2017</v>
      </c>
      <c r="D3" s="3">
        <v>2017</v>
      </c>
      <c r="E3" s="3">
        <v>2017</v>
      </c>
      <c r="F3" s="3">
        <v>2017</v>
      </c>
      <c r="G3" s="3">
        <v>2018</v>
      </c>
      <c r="H3" s="3">
        <v>2018</v>
      </c>
      <c r="I3" s="3">
        <v>2018</v>
      </c>
      <c r="J3" s="3">
        <v>2018</v>
      </c>
      <c r="K3" s="3">
        <v>2019</v>
      </c>
      <c r="L3" s="3">
        <v>2019</v>
      </c>
      <c r="M3" s="3">
        <v>2019</v>
      </c>
      <c r="N3" s="3">
        <v>2019</v>
      </c>
      <c r="O3" s="3">
        <v>2020</v>
      </c>
    </row>
    <row r="4" spans="1:15" s="8" customFormat="1" x14ac:dyDescent="0.2">
      <c r="A4" s="25" t="s">
        <v>66</v>
      </c>
      <c r="C4" s="77" t="s">
        <v>9</v>
      </c>
      <c r="D4" s="77" t="s">
        <v>10</v>
      </c>
      <c r="E4" s="77" t="s">
        <v>11</v>
      </c>
      <c r="F4" s="77" t="s">
        <v>12</v>
      </c>
      <c r="G4" s="77" t="s">
        <v>9</v>
      </c>
      <c r="H4" s="77" t="s">
        <v>10</v>
      </c>
      <c r="I4" s="77" t="s">
        <v>11</v>
      </c>
      <c r="J4" s="77" t="s">
        <v>12</v>
      </c>
      <c r="K4" s="77" t="s">
        <v>9</v>
      </c>
      <c r="L4" s="77" t="s">
        <v>10</v>
      </c>
      <c r="M4" s="77" t="s">
        <v>11</v>
      </c>
      <c r="N4" s="77" t="s">
        <v>12</v>
      </c>
      <c r="O4" s="77" t="s">
        <v>9</v>
      </c>
    </row>
    <row r="5" spans="1:15" s="3" customFormat="1" x14ac:dyDescent="0.2">
      <c r="A5" s="18"/>
    </row>
    <row r="6" spans="1:15" s="38" customFormat="1" x14ac:dyDescent="0.2">
      <c r="A6" s="50" t="s">
        <v>17</v>
      </c>
      <c r="B6" s="38" t="s">
        <v>21</v>
      </c>
    </row>
    <row r="7" spans="1:15" x14ac:dyDescent="0.2">
      <c r="A7" s="67" t="s">
        <v>18</v>
      </c>
      <c r="B7" s="117" t="s">
        <v>21</v>
      </c>
    </row>
    <row r="8" spans="1:15" x14ac:dyDescent="0.2">
      <c r="A8" s="68" t="s">
        <v>105</v>
      </c>
      <c r="B8" s="126" t="s">
        <v>21</v>
      </c>
      <c r="C8" s="127">
        <v>91700</v>
      </c>
      <c r="D8" s="127">
        <v>89414</v>
      </c>
      <c r="E8" s="127">
        <v>87665</v>
      </c>
      <c r="F8" s="127">
        <v>86795</v>
      </c>
      <c r="G8" s="127">
        <v>69955</v>
      </c>
      <c r="H8" s="127">
        <v>84091</v>
      </c>
      <c r="I8" s="127">
        <v>97636</v>
      </c>
      <c r="J8" s="127">
        <v>95881</v>
      </c>
      <c r="K8" s="127">
        <v>86688</v>
      </c>
      <c r="L8" s="127">
        <v>84842</v>
      </c>
      <c r="M8" s="127">
        <v>101432</v>
      </c>
      <c r="N8" s="127">
        <v>119165</v>
      </c>
      <c r="O8" s="101">
        <v>224874</v>
      </c>
    </row>
    <row r="9" spans="1:15" x14ac:dyDescent="0.2">
      <c r="A9" s="68" t="s">
        <v>104</v>
      </c>
      <c r="B9" s="126" t="s">
        <v>21</v>
      </c>
      <c r="C9" s="125">
        <v>126472</v>
      </c>
      <c r="D9" s="147">
        <v>147915</v>
      </c>
      <c r="E9" s="147">
        <v>161702</v>
      </c>
      <c r="F9" s="147">
        <v>178479</v>
      </c>
      <c r="G9" s="147">
        <v>169461</v>
      </c>
      <c r="H9" s="147">
        <v>149045</v>
      </c>
      <c r="I9" s="147">
        <v>144878</v>
      </c>
      <c r="J9" s="147">
        <v>184489</v>
      </c>
      <c r="K9" s="147">
        <v>216056</v>
      </c>
      <c r="L9" s="147">
        <v>168204</v>
      </c>
      <c r="M9" s="147">
        <v>179340</v>
      </c>
      <c r="N9" s="147">
        <v>202238</v>
      </c>
      <c r="O9" s="294">
        <v>142539</v>
      </c>
    </row>
    <row r="10" spans="1:15" x14ac:dyDescent="0.2">
      <c r="A10" s="68" t="s">
        <v>19</v>
      </c>
      <c r="B10" s="126"/>
      <c r="C10" s="125">
        <v>2691</v>
      </c>
      <c r="D10" s="147">
        <v>1898</v>
      </c>
      <c r="E10" s="147">
        <v>1913</v>
      </c>
      <c r="F10" s="147">
        <v>3674</v>
      </c>
      <c r="G10" s="147">
        <v>2727</v>
      </c>
      <c r="H10" s="147">
        <v>2256</v>
      </c>
      <c r="I10" s="147">
        <v>4679</v>
      </c>
      <c r="J10" s="147">
        <v>5608</v>
      </c>
      <c r="K10" s="147">
        <v>5364</v>
      </c>
      <c r="L10" s="147">
        <v>4098</v>
      </c>
      <c r="M10" s="147">
        <v>5412</v>
      </c>
      <c r="N10" s="147">
        <v>5453</v>
      </c>
      <c r="O10" s="294">
        <v>6369</v>
      </c>
    </row>
    <row r="11" spans="1:15" x14ac:dyDescent="0.2">
      <c r="A11" s="68" t="s">
        <v>178</v>
      </c>
      <c r="B11" s="126" t="s">
        <v>21</v>
      </c>
      <c r="C11" s="125">
        <v>119811</v>
      </c>
      <c r="D11" s="147">
        <v>123798</v>
      </c>
      <c r="E11" s="147">
        <v>133862</v>
      </c>
      <c r="F11" s="147">
        <v>135705</v>
      </c>
      <c r="G11" s="147">
        <v>137150</v>
      </c>
      <c r="H11" s="147">
        <v>147099</v>
      </c>
      <c r="I11" s="147">
        <v>164307</v>
      </c>
      <c r="J11" s="147">
        <v>164752</v>
      </c>
      <c r="K11" s="147">
        <v>176889</v>
      </c>
      <c r="L11" s="147">
        <v>180680</v>
      </c>
      <c r="M11" s="147">
        <v>179702</v>
      </c>
      <c r="N11" s="147">
        <v>171864</v>
      </c>
      <c r="O11" s="294">
        <v>187137</v>
      </c>
    </row>
    <row r="12" spans="1:15" x14ac:dyDescent="0.2">
      <c r="A12" s="68" t="s">
        <v>181</v>
      </c>
      <c r="B12" s="126" t="s">
        <v>21</v>
      </c>
      <c r="C12" s="200">
        <v>0</v>
      </c>
      <c r="D12" s="201">
        <v>0</v>
      </c>
      <c r="E12" s="201">
        <v>0</v>
      </c>
      <c r="F12" s="201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294">
        <v>0</v>
      </c>
    </row>
    <row r="13" spans="1:15" x14ac:dyDescent="0.2">
      <c r="A13" s="68" t="s">
        <v>179</v>
      </c>
      <c r="B13" s="126" t="s">
        <v>21</v>
      </c>
      <c r="C13" s="125">
        <v>7687</v>
      </c>
      <c r="D13" s="147">
        <v>7337</v>
      </c>
      <c r="E13" s="147">
        <v>8821</v>
      </c>
      <c r="F13" s="147">
        <v>8801</v>
      </c>
      <c r="G13" s="147">
        <v>17802</v>
      </c>
      <c r="H13" s="147">
        <v>11278</v>
      </c>
      <c r="I13" s="147">
        <v>7700</v>
      </c>
      <c r="J13" s="147">
        <v>9639</v>
      </c>
      <c r="K13" s="147">
        <v>11334</v>
      </c>
      <c r="L13" s="147">
        <v>7906</v>
      </c>
      <c r="M13" s="147">
        <v>3002</v>
      </c>
      <c r="N13" s="147">
        <v>4698</v>
      </c>
      <c r="O13" s="294">
        <v>6024</v>
      </c>
    </row>
    <row r="14" spans="1:15" x14ac:dyDescent="0.2">
      <c r="A14" s="68" t="s">
        <v>38</v>
      </c>
      <c r="B14" s="126" t="s">
        <v>21</v>
      </c>
      <c r="C14" s="125">
        <v>35137</v>
      </c>
      <c r="D14" s="147">
        <v>28238</v>
      </c>
      <c r="E14" s="147">
        <v>29291</v>
      </c>
      <c r="F14" s="147">
        <v>39363</v>
      </c>
      <c r="G14" s="147">
        <v>38878</v>
      </c>
      <c r="H14" s="147">
        <v>32965</v>
      </c>
      <c r="I14" s="147">
        <v>34627</v>
      </c>
      <c r="J14" s="147">
        <v>39566</v>
      </c>
      <c r="K14" s="147">
        <v>39727</v>
      </c>
      <c r="L14" s="147">
        <v>43345</v>
      </c>
      <c r="M14" s="147">
        <v>37338</v>
      </c>
      <c r="N14" s="147">
        <v>37840</v>
      </c>
      <c r="O14" s="294">
        <v>37949</v>
      </c>
    </row>
    <row r="15" spans="1:15" x14ac:dyDescent="0.2">
      <c r="A15" s="51" t="s">
        <v>106</v>
      </c>
      <c r="B15" s="135" t="s">
        <v>21</v>
      </c>
      <c r="C15" s="134">
        <f t="shared" ref="C15:G15" si="0">SUM(C8:C14)</f>
        <v>383498</v>
      </c>
      <c r="D15" s="134">
        <f t="shared" si="0"/>
        <v>398600</v>
      </c>
      <c r="E15" s="134">
        <f t="shared" si="0"/>
        <v>423254</v>
      </c>
      <c r="F15" s="134">
        <f t="shared" si="0"/>
        <v>452817</v>
      </c>
      <c r="G15" s="134">
        <f t="shared" si="0"/>
        <v>435973</v>
      </c>
      <c r="H15" s="134">
        <f t="shared" ref="H15:I15" si="1">SUM(H8:H14)</f>
        <v>426734</v>
      </c>
      <c r="I15" s="134">
        <f t="shared" si="1"/>
        <v>453827</v>
      </c>
      <c r="J15" s="134">
        <f t="shared" ref="J15:L15" si="2">SUM(J8:J14)</f>
        <v>499935</v>
      </c>
      <c r="K15" s="134">
        <f t="shared" si="2"/>
        <v>536058</v>
      </c>
      <c r="L15" s="134">
        <f t="shared" si="2"/>
        <v>489075</v>
      </c>
      <c r="M15" s="134">
        <f t="shared" ref="M15" si="3">SUM(M8:M14)</f>
        <v>506226</v>
      </c>
      <c r="N15" s="134">
        <f>SUM(N8:N14)</f>
        <v>541258</v>
      </c>
      <c r="O15" s="134">
        <f>SUM(O8:O14)</f>
        <v>604892</v>
      </c>
    </row>
    <row r="16" spans="1:15" x14ac:dyDescent="0.2">
      <c r="A16" s="19" t="s">
        <v>21</v>
      </c>
      <c r="B16" s="117" t="s">
        <v>21</v>
      </c>
      <c r="D16" s="147"/>
    </row>
    <row r="17" spans="1:43" x14ac:dyDescent="0.2">
      <c r="A17" s="69" t="s">
        <v>180</v>
      </c>
      <c r="B17" s="126" t="s">
        <v>21</v>
      </c>
      <c r="C17" s="127">
        <v>59220</v>
      </c>
      <c r="D17" s="147">
        <v>63978</v>
      </c>
      <c r="E17" s="147">
        <v>63729</v>
      </c>
      <c r="F17" s="147">
        <v>66757</v>
      </c>
      <c r="G17" s="147">
        <v>67748</v>
      </c>
      <c r="H17" s="147">
        <v>66112</v>
      </c>
      <c r="I17" s="147">
        <v>67675</v>
      </c>
      <c r="J17" s="147">
        <v>73510</v>
      </c>
      <c r="K17" s="147">
        <v>73447</v>
      </c>
      <c r="L17" s="147">
        <v>78083</v>
      </c>
      <c r="M17" s="147">
        <v>78471</v>
      </c>
      <c r="N17" s="147">
        <v>79142</v>
      </c>
      <c r="O17" s="294">
        <v>90513</v>
      </c>
    </row>
    <row r="18" spans="1:43" x14ac:dyDescent="0.2">
      <c r="A18" s="69" t="s">
        <v>230</v>
      </c>
      <c r="B18" s="126"/>
      <c r="C18" s="127"/>
      <c r="D18" s="147"/>
      <c r="E18" s="147"/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89835</v>
      </c>
      <c r="L18" s="147">
        <v>93162</v>
      </c>
      <c r="M18" s="147">
        <v>88753</v>
      </c>
      <c r="N18" s="147">
        <v>86396</v>
      </c>
      <c r="O18" s="294">
        <v>99940</v>
      </c>
    </row>
    <row r="19" spans="1:43" x14ac:dyDescent="0.2">
      <c r="A19" s="69" t="s">
        <v>19</v>
      </c>
      <c r="B19" s="126"/>
      <c r="C19" s="127">
        <v>3657</v>
      </c>
      <c r="D19" s="147">
        <v>3692</v>
      </c>
      <c r="E19" s="147">
        <v>3710</v>
      </c>
      <c r="F19" s="147">
        <v>3808</v>
      </c>
      <c r="G19" s="251">
        <v>3783</v>
      </c>
      <c r="H19" s="147">
        <v>3645</v>
      </c>
      <c r="I19" s="147">
        <v>3499</v>
      </c>
      <c r="J19" s="147">
        <v>2642</v>
      </c>
      <c r="K19" s="147">
        <v>2575</v>
      </c>
      <c r="L19" s="147">
        <v>2507</v>
      </c>
      <c r="M19" s="147">
        <v>2441</v>
      </c>
      <c r="N19" s="147">
        <v>2426</v>
      </c>
      <c r="O19" s="294">
        <v>2291</v>
      </c>
    </row>
    <row r="20" spans="1:43" x14ac:dyDescent="0.2">
      <c r="A20" s="69" t="s">
        <v>232</v>
      </c>
      <c r="B20" s="126" t="s">
        <v>21</v>
      </c>
      <c r="C20" s="125">
        <v>16392</v>
      </c>
      <c r="D20" s="147">
        <v>13959</v>
      </c>
      <c r="E20" s="147">
        <v>16118</v>
      </c>
      <c r="F20" s="147">
        <v>9280</v>
      </c>
      <c r="G20" s="147">
        <v>6518</v>
      </c>
      <c r="H20" s="147">
        <v>12702</v>
      </c>
      <c r="I20" s="147">
        <v>12201</v>
      </c>
      <c r="J20" s="147">
        <v>6602</v>
      </c>
      <c r="K20" s="147">
        <v>4570</v>
      </c>
      <c r="L20" s="147">
        <v>4200</v>
      </c>
      <c r="M20" s="147">
        <v>6190</v>
      </c>
      <c r="N20" s="147">
        <v>11855</v>
      </c>
      <c r="O20" s="294">
        <v>16640</v>
      </c>
    </row>
    <row r="21" spans="1:43" x14ac:dyDescent="0.2">
      <c r="A21" s="70" t="s">
        <v>233</v>
      </c>
      <c r="B21" s="133"/>
      <c r="C21" s="125">
        <v>50356</v>
      </c>
      <c r="D21" s="147">
        <v>46973</v>
      </c>
      <c r="E21" s="147">
        <v>43568</v>
      </c>
      <c r="F21" s="147">
        <v>48958</v>
      </c>
      <c r="G21" s="147">
        <v>45104</v>
      </c>
      <c r="H21" s="147">
        <v>41170</v>
      </c>
      <c r="I21" s="147">
        <v>114799</v>
      </c>
      <c r="J21" s="147">
        <v>95495</v>
      </c>
      <c r="K21" s="147">
        <v>90008</v>
      </c>
      <c r="L21" s="147">
        <v>84402</v>
      </c>
      <c r="M21" s="147">
        <v>78845</v>
      </c>
      <c r="N21" s="147">
        <v>73982</v>
      </c>
      <c r="O21" s="294">
        <v>69734</v>
      </c>
    </row>
    <row r="22" spans="1:43" x14ac:dyDescent="0.2">
      <c r="A22" s="69" t="s">
        <v>22</v>
      </c>
      <c r="B22" s="126" t="s">
        <v>21</v>
      </c>
      <c r="C22" s="125">
        <v>187952</v>
      </c>
      <c r="D22" s="147">
        <v>188154</v>
      </c>
      <c r="E22" s="147">
        <v>187953</v>
      </c>
      <c r="F22" s="147">
        <v>204481</v>
      </c>
      <c r="G22" s="147">
        <v>202337</v>
      </c>
      <c r="H22" s="147">
        <v>200981</v>
      </c>
      <c r="I22" s="147">
        <v>357533</v>
      </c>
      <c r="J22" s="147">
        <v>349984</v>
      </c>
      <c r="K22" s="147">
        <v>350239</v>
      </c>
      <c r="L22" s="147">
        <v>350220</v>
      </c>
      <c r="M22" s="147">
        <v>349530</v>
      </c>
      <c r="N22" s="147">
        <v>349529</v>
      </c>
      <c r="O22" s="294">
        <v>348076</v>
      </c>
    </row>
    <row r="23" spans="1:43" x14ac:dyDescent="0.2">
      <c r="A23" s="69" t="s">
        <v>31</v>
      </c>
      <c r="B23" s="126" t="s">
        <v>21</v>
      </c>
      <c r="C23" s="125">
        <f>29275-C19</f>
        <v>25618</v>
      </c>
      <c r="D23" s="147">
        <f>35767-D19</f>
        <v>32075</v>
      </c>
      <c r="E23" s="147">
        <f>34382-E19</f>
        <v>30672</v>
      </c>
      <c r="F23" s="147">
        <f>40177-F19</f>
        <v>36369</v>
      </c>
      <c r="G23" s="147">
        <v>33863</v>
      </c>
      <c r="H23" s="147">
        <v>36033</v>
      </c>
      <c r="I23" s="147">
        <v>32779</v>
      </c>
      <c r="J23" s="147">
        <v>31015</v>
      </c>
      <c r="K23" s="147">
        <v>33164</v>
      </c>
      <c r="L23" s="147">
        <v>33194</v>
      </c>
      <c r="M23" s="147">
        <v>32967</v>
      </c>
      <c r="N23" s="147">
        <v>36016</v>
      </c>
      <c r="O23" s="294">
        <v>32045</v>
      </c>
    </row>
    <row r="24" spans="1:43" x14ac:dyDescent="0.2">
      <c r="A24" s="69" t="s">
        <v>182</v>
      </c>
      <c r="B24" s="126"/>
      <c r="C24" s="200">
        <v>0</v>
      </c>
      <c r="D24" s="147">
        <v>0</v>
      </c>
      <c r="E24" s="147">
        <v>0</v>
      </c>
      <c r="F24" s="147">
        <v>3000</v>
      </c>
      <c r="G24" s="147">
        <v>2944</v>
      </c>
      <c r="H24" s="147">
        <v>2886</v>
      </c>
      <c r="I24" s="147">
        <v>2824</v>
      </c>
      <c r="J24" s="147">
        <v>2753</v>
      </c>
      <c r="K24" s="147">
        <v>2686</v>
      </c>
      <c r="L24" s="147">
        <v>2624</v>
      </c>
      <c r="M24" s="147">
        <v>2555</v>
      </c>
      <c r="N24" s="147">
        <v>2484</v>
      </c>
      <c r="O24" s="294">
        <v>3128</v>
      </c>
    </row>
    <row r="25" spans="1:43" s="8" customFormat="1" x14ac:dyDescent="0.2">
      <c r="A25" s="47" t="s">
        <v>107</v>
      </c>
      <c r="B25" s="132" t="s">
        <v>21</v>
      </c>
      <c r="C25" s="118">
        <f t="shared" ref="C25:H25" si="4">SUM(C15:C24)</f>
        <v>726693</v>
      </c>
      <c r="D25" s="118">
        <f t="shared" si="4"/>
        <v>747431</v>
      </c>
      <c r="E25" s="118">
        <f t="shared" si="4"/>
        <v>769004</v>
      </c>
      <c r="F25" s="118">
        <f t="shared" si="4"/>
        <v>825470</v>
      </c>
      <c r="G25" s="118">
        <f t="shared" si="4"/>
        <v>798270</v>
      </c>
      <c r="H25" s="118">
        <f t="shared" si="4"/>
        <v>790263</v>
      </c>
      <c r="I25" s="118">
        <f t="shared" ref="I25:J25" si="5">SUM(I15:I24)</f>
        <v>1045137</v>
      </c>
      <c r="J25" s="118">
        <f t="shared" si="5"/>
        <v>1061936</v>
      </c>
      <c r="K25" s="118">
        <f t="shared" ref="K25:L25" si="6">SUM(K15:K24)</f>
        <v>1182582</v>
      </c>
      <c r="L25" s="118">
        <f t="shared" si="6"/>
        <v>1137467</v>
      </c>
      <c r="M25" s="118">
        <f t="shared" ref="M25:O25" si="7">SUM(M15:M24)</f>
        <v>1145978</v>
      </c>
      <c r="N25" s="118">
        <f t="shared" si="7"/>
        <v>1183088</v>
      </c>
      <c r="O25" s="118">
        <f t="shared" si="7"/>
        <v>1267259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x14ac:dyDescent="0.2">
      <c r="A26" s="22" t="s">
        <v>21</v>
      </c>
      <c r="B26" s="117" t="s">
        <v>21</v>
      </c>
      <c r="D26" s="147"/>
    </row>
    <row r="27" spans="1:43" s="38" customFormat="1" x14ac:dyDescent="0.2">
      <c r="A27" s="50" t="s">
        <v>23</v>
      </c>
      <c r="B27" s="131" t="s">
        <v>21</v>
      </c>
      <c r="D27" s="15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2">
      <c r="A28" s="67" t="s">
        <v>24</v>
      </c>
      <c r="B28" s="117" t="s">
        <v>21</v>
      </c>
      <c r="D28" s="147"/>
    </row>
    <row r="29" spans="1:43" s="8" customFormat="1" x14ac:dyDescent="0.2">
      <c r="A29" s="68" t="s">
        <v>25</v>
      </c>
      <c r="B29" s="130" t="s">
        <v>21</v>
      </c>
      <c r="C29" s="127">
        <v>5286</v>
      </c>
      <c r="D29" s="147">
        <v>11661</v>
      </c>
      <c r="E29" s="147">
        <v>3834</v>
      </c>
      <c r="F29" s="147">
        <v>5918</v>
      </c>
      <c r="G29" s="147">
        <v>4114</v>
      </c>
      <c r="H29" s="147">
        <v>5428</v>
      </c>
      <c r="I29" s="147">
        <v>4310</v>
      </c>
      <c r="J29" s="147">
        <v>5653</v>
      </c>
      <c r="K29" s="147">
        <v>4560</v>
      </c>
      <c r="L29" s="147">
        <v>3269</v>
      </c>
      <c r="M29" s="147">
        <v>3658</v>
      </c>
      <c r="N29" s="147">
        <v>6564</v>
      </c>
      <c r="O29" s="294">
        <v>8048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8" customFormat="1" x14ac:dyDescent="0.2">
      <c r="A30" s="68" t="s">
        <v>183</v>
      </c>
      <c r="B30" s="130"/>
      <c r="C30" s="125">
        <v>10000</v>
      </c>
      <c r="D30" s="147">
        <v>10000</v>
      </c>
      <c r="E30" s="147">
        <v>0</v>
      </c>
      <c r="F30" s="147">
        <v>10318</v>
      </c>
      <c r="G30" s="147">
        <v>318</v>
      </c>
      <c r="H30" s="147">
        <v>10318</v>
      </c>
      <c r="I30" s="147">
        <v>12318</v>
      </c>
      <c r="J30" s="147">
        <v>21423</v>
      </c>
      <c r="K30" s="147">
        <v>20876</v>
      </c>
      <c r="L30" s="147">
        <v>20885</v>
      </c>
      <c r="M30" s="147">
        <v>20876</v>
      </c>
      <c r="N30" s="147">
        <v>40867</v>
      </c>
      <c r="O30" s="294">
        <v>100666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x14ac:dyDescent="0.2">
      <c r="A31" s="68" t="s">
        <v>26</v>
      </c>
      <c r="B31" s="128" t="s">
        <v>21</v>
      </c>
      <c r="C31" s="125">
        <v>17968</v>
      </c>
      <c r="D31" s="147">
        <v>14189</v>
      </c>
      <c r="E31" s="147">
        <v>8662</v>
      </c>
      <c r="F31" s="147">
        <v>10716</v>
      </c>
      <c r="G31" s="147">
        <v>11504</v>
      </c>
      <c r="H31" s="147">
        <v>10448</v>
      </c>
      <c r="I31" s="147">
        <v>7600</v>
      </c>
      <c r="J31" s="147">
        <v>7722</v>
      </c>
      <c r="K31" s="147">
        <v>11132</v>
      </c>
      <c r="L31" s="147">
        <v>11790</v>
      </c>
      <c r="M31" s="147">
        <v>9585</v>
      </c>
      <c r="N31" s="147">
        <v>13436</v>
      </c>
      <c r="O31" s="294">
        <v>16038</v>
      </c>
    </row>
    <row r="32" spans="1:43" x14ac:dyDescent="0.2">
      <c r="A32" s="68" t="s">
        <v>27</v>
      </c>
      <c r="B32" s="128" t="s">
        <v>21</v>
      </c>
      <c r="C32" s="125">
        <v>29830</v>
      </c>
      <c r="D32" s="147">
        <v>39135</v>
      </c>
      <c r="E32" s="147">
        <v>49385</v>
      </c>
      <c r="F32" s="147">
        <v>55664</v>
      </c>
      <c r="G32" s="147">
        <v>27615</v>
      </c>
      <c r="H32" s="147">
        <v>33338</v>
      </c>
      <c r="I32" s="147">
        <v>46638</v>
      </c>
      <c r="J32" s="147">
        <v>54893</v>
      </c>
      <c r="K32" s="147">
        <v>31954</v>
      </c>
      <c r="L32" s="147">
        <v>42967</v>
      </c>
      <c r="M32" s="147">
        <v>59568</v>
      </c>
      <c r="N32" s="147">
        <v>71626</v>
      </c>
      <c r="O32" s="294">
        <v>28937</v>
      </c>
    </row>
    <row r="33" spans="1:15" x14ac:dyDescent="0.2">
      <c r="A33" s="68" t="s">
        <v>64</v>
      </c>
      <c r="B33" s="128" t="s">
        <v>21</v>
      </c>
      <c r="C33" s="136">
        <v>47886</v>
      </c>
      <c r="D33" s="147">
        <v>41048</v>
      </c>
      <c r="E33" s="147">
        <v>49208</v>
      </c>
      <c r="F33" s="147">
        <v>61633</v>
      </c>
      <c r="G33" s="147">
        <v>61394</v>
      </c>
      <c r="H33" s="147">
        <v>60105</v>
      </c>
      <c r="I33" s="147">
        <v>67305</v>
      </c>
      <c r="J33" s="147">
        <v>64392</v>
      </c>
      <c r="K33" s="147">
        <v>66110</v>
      </c>
      <c r="L33" s="147">
        <v>65286</v>
      </c>
      <c r="M33" s="147">
        <v>70124</v>
      </c>
      <c r="N33" s="147">
        <v>71276</v>
      </c>
      <c r="O33" s="294">
        <v>84747</v>
      </c>
    </row>
    <row r="34" spans="1:15" x14ac:dyDescent="0.2">
      <c r="A34" s="68" t="s">
        <v>217</v>
      </c>
      <c r="B34" s="128"/>
      <c r="C34" s="136"/>
      <c r="D34" s="147"/>
      <c r="E34" s="147"/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22306</v>
      </c>
      <c r="L34" s="147">
        <v>23439</v>
      </c>
      <c r="M34" s="147">
        <v>23516</v>
      </c>
      <c r="N34" s="147">
        <v>24148</v>
      </c>
      <c r="O34" s="294">
        <v>18236</v>
      </c>
    </row>
    <row r="35" spans="1:15" x14ac:dyDescent="0.2">
      <c r="A35" s="68" t="s">
        <v>231</v>
      </c>
      <c r="B35" s="128"/>
      <c r="C35" s="263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1012</v>
      </c>
      <c r="K35" s="147">
        <v>595</v>
      </c>
      <c r="L35" s="147">
        <v>604</v>
      </c>
      <c r="M35" s="147">
        <v>575</v>
      </c>
      <c r="N35" s="147">
        <v>1432</v>
      </c>
      <c r="O35" s="294">
        <v>1692</v>
      </c>
    </row>
    <row r="36" spans="1:15" x14ac:dyDescent="0.2">
      <c r="A36" s="69" t="s">
        <v>29</v>
      </c>
      <c r="B36" s="128" t="s">
        <v>21</v>
      </c>
      <c r="C36" s="129">
        <f t="shared" ref="C36:J36" si="8">SUM(C29:C35)</f>
        <v>110970</v>
      </c>
      <c r="D36" s="129">
        <f t="shared" si="8"/>
        <v>116033</v>
      </c>
      <c r="E36" s="129">
        <f t="shared" si="8"/>
        <v>111089</v>
      </c>
      <c r="F36" s="129">
        <f t="shared" si="8"/>
        <v>144249</v>
      </c>
      <c r="G36" s="129">
        <f t="shared" si="8"/>
        <v>104945</v>
      </c>
      <c r="H36" s="129">
        <f t="shared" si="8"/>
        <v>119637</v>
      </c>
      <c r="I36" s="129">
        <f t="shared" si="8"/>
        <v>138171</v>
      </c>
      <c r="J36" s="129">
        <f t="shared" si="8"/>
        <v>155095</v>
      </c>
      <c r="K36" s="129">
        <f t="shared" ref="K36:L36" si="9">SUM(K29:K35)</f>
        <v>157533</v>
      </c>
      <c r="L36" s="129">
        <f t="shared" si="9"/>
        <v>168240</v>
      </c>
      <c r="M36" s="129">
        <f t="shared" ref="M36" si="10">SUM(M29:M35)</f>
        <v>187902</v>
      </c>
      <c r="N36" s="130">
        <f>SUM(N29:N35)</f>
        <v>229349</v>
      </c>
      <c r="O36" s="130">
        <f>SUM(O29:O35)</f>
        <v>258364</v>
      </c>
    </row>
    <row r="37" spans="1:15" x14ac:dyDescent="0.2">
      <c r="A37" s="72" t="s">
        <v>21</v>
      </c>
      <c r="B37" s="128" t="s">
        <v>21</v>
      </c>
      <c r="D37" s="147"/>
    </row>
    <row r="38" spans="1:15" x14ac:dyDescent="0.2">
      <c r="A38" s="73" t="s">
        <v>227</v>
      </c>
      <c r="B38" s="128"/>
      <c r="C38" s="147">
        <v>35000</v>
      </c>
      <c r="D38" s="147">
        <v>35000</v>
      </c>
      <c r="E38" s="147">
        <v>45000</v>
      </c>
      <c r="F38" s="147">
        <v>50391</v>
      </c>
      <c r="G38" s="147">
        <v>67355</v>
      </c>
      <c r="H38" s="147">
        <v>57326</v>
      </c>
      <c r="I38" s="147">
        <v>288309</v>
      </c>
      <c r="J38" s="147">
        <v>263241</v>
      </c>
      <c r="K38" s="147">
        <v>299765</v>
      </c>
      <c r="L38" s="147">
        <v>231409</v>
      </c>
      <c r="M38" s="147">
        <v>223916</v>
      </c>
      <c r="N38" s="147">
        <v>194131</v>
      </c>
      <c r="O38" s="147">
        <v>234820</v>
      </c>
    </row>
    <row r="39" spans="1:15" x14ac:dyDescent="0.2">
      <c r="A39" s="73" t="s">
        <v>65</v>
      </c>
      <c r="B39" s="126" t="s">
        <v>21</v>
      </c>
      <c r="D39" s="147"/>
      <c r="E39" s="147"/>
    </row>
    <row r="40" spans="1:15" x14ac:dyDescent="0.2">
      <c r="A40" s="68" t="s">
        <v>228</v>
      </c>
      <c r="B40" s="126"/>
      <c r="C40" s="127">
        <v>285</v>
      </c>
      <c r="D40" s="147">
        <v>310</v>
      </c>
      <c r="E40" s="147">
        <v>315</v>
      </c>
      <c r="F40" s="147">
        <v>331</v>
      </c>
      <c r="G40" s="147">
        <v>282</v>
      </c>
      <c r="H40" s="147">
        <v>270</v>
      </c>
      <c r="I40" s="147">
        <v>261</v>
      </c>
      <c r="J40" s="147">
        <v>315</v>
      </c>
      <c r="K40" s="147">
        <v>492</v>
      </c>
      <c r="L40" s="147">
        <v>474</v>
      </c>
      <c r="M40" s="147">
        <v>436</v>
      </c>
      <c r="N40" s="147">
        <v>430</v>
      </c>
      <c r="O40" s="294">
        <v>380</v>
      </c>
    </row>
    <row r="41" spans="1:15" x14ac:dyDescent="0.2">
      <c r="A41" s="68" t="s">
        <v>28</v>
      </c>
      <c r="B41" s="126"/>
      <c r="C41" s="200">
        <v>0</v>
      </c>
      <c r="D41" s="200">
        <v>0</v>
      </c>
      <c r="E41" s="200">
        <v>0</v>
      </c>
      <c r="F41" s="147">
        <v>13557</v>
      </c>
      <c r="G41" s="147">
        <v>8721</v>
      </c>
      <c r="H41" s="147">
        <v>8721</v>
      </c>
      <c r="I41" s="147">
        <v>8721</v>
      </c>
      <c r="J41" s="147">
        <v>0</v>
      </c>
      <c r="K41" s="147">
        <v>0</v>
      </c>
      <c r="L41" s="147">
        <v>0</v>
      </c>
      <c r="M41" s="147">
        <v>0</v>
      </c>
      <c r="N41" s="147">
        <v>1790</v>
      </c>
      <c r="O41" s="294">
        <v>1790</v>
      </c>
    </row>
    <row r="42" spans="1:15" x14ac:dyDescent="0.2">
      <c r="A42" s="68" t="s">
        <v>234</v>
      </c>
      <c r="B42" s="126"/>
      <c r="C42" s="200">
        <v>0</v>
      </c>
      <c r="D42" s="200">
        <v>0</v>
      </c>
      <c r="E42" s="200">
        <v>0</v>
      </c>
      <c r="F42" s="264">
        <v>695</v>
      </c>
      <c r="G42" s="200">
        <v>0</v>
      </c>
      <c r="H42" s="200">
        <v>0</v>
      </c>
      <c r="I42" s="147">
        <v>13352</v>
      </c>
      <c r="J42" s="147">
        <v>8445</v>
      </c>
      <c r="K42" s="147">
        <v>10103</v>
      </c>
      <c r="L42" s="147">
        <v>6366</v>
      </c>
      <c r="M42" s="147">
        <v>720</v>
      </c>
      <c r="N42" s="147">
        <v>966</v>
      </c>
      <c r="O42" s="294">
        <v>773</v>
      </c>
    </row>
    <row r="43" spans="1:15" x14ac:dyDescent="0.2">
      <c r="A43" s="68" t="s">
        <v>218</v>
      </c>
      <c r="B43" s="126"/>
      <c r="C43" s="200"/>
      <c r="D43" s="200"/>
      <c r="E43" s="200"/>
      <c r="F43" s="264">
        <v>0</v>
      </c>
      <c r="G43" s="200">
        <v>0</v>
      </c>
      <c r="H43" s="200">
        <v>0</v>
      </c>
      <c r="I43" s="147">
        <v>0</v>
      </c>
      <c r="J43" s="147">
        <v>0</v>
      </c>
      <c r="K43" s="147">
        <v>77060</v>
      </c>
      <c r="L43" s="147">
        <v>80531</v>
      </c>
      <c r="M43" s="147">
        <v>76080</v>
      </c>
      <c r="N43" s="147">
        <v>74709</v>
      </c>
      <c r="O43" s="294">
        <v>93707</v>
      </c>
    </row>
    <row r="44" spans="1:15" x14ac:dyDescent="0.2">
      <c r="A44" s="68" t="s">
        <v>32</v>
      </c>
      <c r="B44" s="126"/>
      <c r="C44" s="125">
        <v>17729</v>
      </c>
      <c r="D44" s="147">
        <v>16166</v>
      </c>
      <c r="E44" s="147">
        <v>16234</v>
      </c>
      <c r="F44" s="147">
        <v>16202</v>
      </c>
      <c r="G44" s="147">
        <v>15262</v>
      </c>
      <c r="H44" s="147">
        <v>18830</v>
      </c>
      <c r="I44" s="147">
        <v>21875</v>
      </c>
      <c r="J44" s="147">
        <v>16521</v>
      </c>
      <c r="K44" s="147">
        <v>6794</v>
      </c>
      <c r="L44" s="147">
        <v>9094</v>
      </c>
      <c r="M44" s="147">
        <v>9241</v>
      </c>
      <c r="N44" s="147">
        <v>11712</v>
      </c>
      <c r="O44" s="294">
        <v>21521</v>
      </c>
    </row>
    <row r="45" spans="1:15" x14ac:dyDescent="0.2">
      <c r="A45" s="43" t="s">
        <v>73</v>
      </c>
      <c r="B45" s="44" t="s">
        <v>21</v>
      </c>
      <c r="C45" s="120">
        <f t="shared" ref="C45:G45" si="11">SUM(C36:C44)</f>
        <v>163984</v>
      </c>
      <c r="D45" s="120">
        <f t="shared" si="11"/>
        <v>167509</v>
      </c>
      <c r="E45" s="120">
        <f t="shared" si="11"/>
        <v>172638</v>
      </c>
      <c r="F45" s="120">
        <f t="shared" si="11"/>
        <v>225425</v>
      </c>
      <c r="G45" s="120">
        <f t="shared" si="11"/>
        <v>196565</v>
      </c>
      <c r="H45" s="120">
        <f t="shared" ref="H45:I45" si="12">SUM(H36:H44)</f>
        <v>204784</v>
      </c>
      <c r="I45" s="120">
        <f t="shared" si="12"/>
        <v>470689</v>
      </c>
      <c r="J45" s="120">
        <f t="shared" ref="J45:L45" si="13">SUM(J36:J44)</f>
        <v>443617</v>
      </c>
      <c r="K45" s="120">
        <f t="shared" si="13"/>
        <v>551747</v>
      </c>
      <c r="L45" s="120">
        <f t="shared" si="13"/>
        <v>496114</v>
      </c>
      <c r="M45" s="120">
        <f t="shared" ref="M45:O45" si="14">SUM(M36:M44)</f>
        <v>498295</v>
      </c>
      <c r="N45" s="120">
        <f t="shared" si="14"/>
        <v>513087</v>
      </c>
      <c r="O45" s="120">
        <f t="shared" si="14"/>
        <v>611355</v>
      </c>
    </row>
    <row r="46" spans="1:15" x14ac:dyDescent="0.2">
      <c r="A46" s="19" t="s">
        <v>21</v>
      </c>
      <c r="B46" s="2" t="s">
        <v>21</v>
      </c>
      <c r="D46" s="147"/>
    </row>
    <row r="47" spans="1:15" ht="25.5" x14ac:dyDescent="0.2">
      <c r="A47" s="20" t="s">
        <v>74</v>
      </c>
      <c r="B47" s="2" t="s">
        <v>21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01">
        <v>0</v>
      </c>
    </row>
    <row r="48" spans="1:15" x14ac:dyDescent="0.2">
      <c r="A48" s="19"/>
      <c r="D48" s="147"/>
    </row>
    <row r="49" spans="1:214" x14ac:dyDescent="0.2">
      <c r="A49" s="21" t="s">
        <v>108</v>
      </c>
      <c r="B49" s="8" t="s">
        <v>21</v>
      </c>
      <c r="D49" s="147"/>
    </row>
    <row r="50" spans="1:214" x14ac:dyDescent="0.2">
      <c r="A50" s="100"/>
      <c r="B50" s="8"/>
      <c r="D50" s="147"/>
    </row>
    <row r="51" spans="1:214" x14ac:dyDescent="0.2">
      <c r="A51" s="20" t="s">
        <v>75</v>
      </c>
      <c r="B51" s="38" t="s">
        <v>21</v>
      </c>
      <c r="C51" s="119">
        <v>36</v>
      </c>
      <c r="D51" s="147">
        <v>36</v>
      </c>
      <c r="E51" s="147">
        <v>37</v>
      </c>
      <c r="F51" s="147">
        <v>37</v>
      </c>
      <c r="G51" s="147">
        <v>38</v>
      </c>
      <c r="H51" s="147">
        <v>38</v>
      </c>
      <c r="I51" s="147">
        <v>38</v>
      </c>
      <c r="J51" s="147">
        <v>38</v>
      </c>
      <c r="K51" s="147">
        <v>38</v>
      </c>
      <c r="L51" s="147">
        <v>38</v>
      </c>
      <c r="M51" s="147">
        <v>38</v>
      </c>
      <c r="N51" s="147">
        <v>39</v>
      </c>
      <c r="O51" s="294">
        <v>39</v>
      </c>
    </row>
    <row r="52" spans="1:214" x14ac:dyDescent="0.2">
      <c r="A52" s="20" t="s">
        <v>30</v>
      </c>
      <c r="B52" s="2" t="s">
        <v>21</v>
      </c>
      <c r="C52" s="124">
        <v>296792</v>
      </c>
      <c r="D52" s="147">
        <v>303486</v>
      </c>
      <c r="E52" s="147">
        <v>311691</v>
      </c>
      <c r="F52" s="147">
        <v>322246</v>
      </c>
      <c r="G52" s="147">
        <v>327750</v>
      </c>
      <c r="H52" s="147">
        <v>334643</v>
      </c>
      <c r="I52" s="147">
        <v>344720</v>
      </c>
      <c r="J52" s="147">
        <v>364179</v>
      </c>
      <c r="K52" s="147">
        <v>371144</v>
      </c>
      <c r="L52" s="147">
        <v>378633</v>
      </c>
      <c r="M52" s="147">
        <v>386060</v>
      </c>
      <c r="N52" s="147">
        <v>391240</v>
      </c>
      <c r="O52" s="294">
        <v>396939</v>
      </c>
    </row>
    <row r="53" spans="1:214" x14ac:dyDescent="0.2">
      <c r="A53" s="69" t="s">
        <v>33</v>
      </c>
      <c r="B53" s="71" t="s">
        <v>21</v>
      </c>
      <c r="C53" s="124">
        <v>394964</v>
      </c>
      <c r="D53" s="147">
        <v>415342</v>
      </c>
      <c r="E53" s="147">
        <v>436419</v>
      </c>
      <c r="F53" s="147">
        <v>427064</v>
      </c>
      <c r="G53" s="147">
        <v>450676</v>
      </c>
      <c r="H53" s="147">
        <v>465138</v>
      </c>
      <c r="I53" s="147">
        <v>480387</v>
      </c>
      <c r="J53" s="147">
        <v>484244</v>
      </c>
      <c r="K53" s="147">
        <v>498939</v>
      </c>
      <c r="L53" s="147">
        <v>511503</v>
      </c>
      <c r="M53" s="147">
        <v>530547</v>
      </c>
      <c r="N53" s="147">
        <v>551903</v>
      </c>
      <c r="O53" s="294">
        <v>574314</v>
      </c>
    </row>
    <row r="54" spans="1:214" x14ac:dyDescent="0.2">
      <c r="A54" s="69" t="s">
        <v>130</v>
      </c>
      <c r="B54" s="71" t="s">
        <v>21</v>
      </c>
      <c r="C54" s="124">
        <v>-57013</v>
      </c>
      <c r="D54" s="147">
        <v>-55451</v>
      </c>
      <c r="E54" s="147">
        <v>-59290</v>
      </c>
      <c r="F54" s="147">
        <v>-45710</v>
      </c>
      <c r="G54" s="147">
        <v>-59670</v>
      </c>
      <c r="H54" s="147">
        <v>-87621</v>
      </c>
      <c r="I54" s="147">
        <v>-114330</v>
      </c>
      <c r="J54" s="147">
        <v>-83467</v>
      </c>
      <c r="K54" s="147">
        <v>-77212</v>
      </c>
      <c r="L54" s="147">
        <v>-74358</v>
      </c>
      <c r="M54" s="147">
        <v>-86153</v>
      </c>
      <c r="N54" s="147">
        <v>-84892</v>
      </c>
      <c r="O54" s="294">
        <v>-113104</v>
      </c>
    </row>
    <row r="55" spans="1:214" x14ac:dyDescent="0.2">
      <c r="A55" s="20" t="s">
        <v>193</v>
      </c>
      <c r="B55" s="2" t="s">
        <v>21</v>
      </c>
      <c r="C55" s="124">
        <v>-72275</v>
      </c>
      <c r="D55" s="147">
        <v>-83694</v>
      </c>
      <c r="E55" s="147">
        <v>-92698</v>
      </c>
      <c r="F55" s="147">
        <v>-103816</v>
      </c>
      <c r="G55" s="147">
        <v>-117320</v>
      </c>
      <c r="H55" s="147">
        <v>-126952</v>
      </c>
      <c r="I55" s="147">
        <v>-136609</v>
      </c>
      <c r="J55" s="147">
        <v>-146925</v>
      </c>
      <c r="K55" s="147">
        <v>-162333</v>
      </c>
      <c r="L55" s="147">
        <v>-174463</v>
      </c>
      <c r="M55" s="147">
        <v>-182809</v>
      </c>
      <c r="N55" s="147">
        <v>-188289</v>
      </c>
      <c r="O55" s="294">
        <v>-202284</v>
      </c>
    </row>
    <row r="56" spans="1:214" x14ac:dyDescent="0.2">
      <c r="A56" s="121" t="s">
        <v>121</v>
      </c>
      <c r="B56" s="44" t="s">
        <v>21</v>
      </c>
      <c r="C56" s="120">
        <f t="shared" ref="C56:G56" si="15">SUM(C47:C55)</f>
        <v>562504</v>
      </c>
      <c r="D56" s="120">
        <f t="shared" si="15"/>
        <v>579719</v>
      </c>
      <c r="E56" s="120">
        <f t="shared" si="15"/>
        <v>596159</v>
      </c>
      <c r="F56" s="120">
        <f t="shared" si="15"/>
        <v>599821</v>
      </c>
      <c r="G56" s="120">
        <f t="shared" si="15"/>
        <v>601474</v>
      </c>
      <c r="H56" s="120">
        <f t="shared" ref="H56:I56" si="16">SUM(H47:H55)</f>
        <v>585246</v>
      </c>
      <c r="I56" s="120">
        <f t="shared" si="16"/>
        <v>574206</v>
      </c>
      <c r="J56" s="120">
        <f t="shared" ref="J56:L56" si="17">SUM(J47:J55)</f>
        <v>618069</v>
      </c>
      <c r="K56" s="120">
        <f t="shared" si="17"/>
        <v>630576</v>
      </c>
      <c r="L56" s="120">
        <f t="shared" si="17"/>
        <v>641353</v>
      </c>
      <c r="M56" s="120">
        <f t="shared" ref="M56:O56" si="18">SUM(M47:M55)</f>
        <v>647683</v>
      </c>
      <c r="N56" s="120">
        <f t="shared" si="18"/>
        <v>670001</v>
      </c>
      <c r="O56" s="120">
        <f t="shared" si="18"/>
        <v>655904</v>
      </c>
    </row>
    <row r="57" spans="1:214" x14ac:dyDescent="0.2">
      <c r="A57" s="123" t="s">
        <v>137</v>
      </c>
      <c r="B57" s="1"/>
      <c r="C57" s="2">
        <v>205</v>
      </c>
      <c r="D57" s="147">
        <v>203</v>
      </c>
      <c r="E57" s="2">
        <v>207</v>
      </c>
      <c r="F57" s="2">
        <v>224</v>
      </c>
      <c r="G57" s="2">
        <v>231</v>
      </c>
      <c r="H57" s="2">
        <v>233</v>
      </c>
      <c r="I57" s="147">
        <v>242</v>
      </c>
      <c r="J57" s="147">
        <v>250</v>
      </c>
      <c r="K57" s="147">
        <v>259</v>
      </c>
      <c r="L57" s="147">
        <v>0</v>
      </c>
      <c r="M57" s="147">
        <v>0</v>
      </c>
      <c r="N57" s="147">
        <v>0</v>
      </c>
      <c r="O57" s="298">
        <v>0</v>
      </c>
    </row>
    <row r="58" spans="1:214" x14ac:dyDescent="0.2">
      <c r="A58" s="121" t="s">
        <v>122</v>
      </c>
      <c r="B58" s="44" t="s">
        <v>21</v>
      </c>
      <c r="C58" s="120">
        <f t="shared" ref="C58:G58" si="19">SUM(C56:C57)</f>
        <v>562709</v>
      </c>
      <c r="D58" s="120">
        <f t="shared" si="19"/>
        <v>579922</v>
      </c>
      <c r="E58" s="120">
        <f t="shared" si="19"/>
        <v>596366</v>
      </c>
      <c r="F58" s="120">
        <f t="shared" si="19"/>
        <v>600045</v>
      </c>
      <c r="G58" s="120">
        <f t="shared" si="19"/>
        <v>601705</v>
      </c>
      <c r="H58" s="120">
        <f t="shared" ref="H58:I58" si="20">SUM(H56:H57)</f>
        <v>585479</v>
      </c>
      <c r="I58" s="120">
        <f t="shared" si="20"/>
        <v>574448</v>
      </c>
      <c r="J58" s="120">
        <f t="shared" ref="J58:L58" si="21">SUM(J56:J57)</f>
        <v>618319</v>
      </c>
      <c r="K58" s="120">
        <f t="shared" si="21"/>
        <v>630835</v>
      </c>
      <c r="L58" s="120">
        <f t="shared" si="21"/>
        <v>641353</v>
      </c>
      <c r="M58" s="120">
        <f t="shared" ref="M58:O58" si="22">SUM(M56:M57)</f>
        <v>647683</v>
      </c>
      <c r="N58" s="120">
        <f t="shared" si="22"/>
        <v>670001</v>
      </c>
      <c r="O58" s="120">
        <f t="shared" si="22"/>
        <v>655904</v>
      </c>
    </row>
    <row r="59" spans="1:214" x14ac:dyDescent="0.2">
      <c r="A59" s="22" t="s">
        <v>21</v>
      </c>
      <c r="B59" s="2" t="s">
        <v>21</v>
      </c>
      <c r="D59" s="147"/>
    </row>
    <row r="60" spans="1:214" s="49" customFormat="1" x14ac:dyDescent="0.2">
      <c r="A60" s="47" t="s">
        <v>109</v>
      </c>
      <c r="B60" s="48" t="s">
        <v>21</v>
      </c>
      <c r="C60" s="118">
        <f t="shared" ref="C60:D60" si="23">C58+C45</f>
        <v>726693</v>
      </c>
      <c r="D60" s="118">
        <f t="shared" si="23"/>
        <v>747431</v>
      </c>
      <c r="E60" s="118">
        <f t="shared" ref="E60:J60" si="24">E58+E45</f>
        <v>769004</v>
      </c>
      <c r="F60" s="118">
        <f t="shared" si="24"/>
        <v>825470</v>
      </c>
      <c r="G60" s="118">
        <f t="shared" si="24"/>
        <v>798270</v>
      </c>
      <c r="H60" s="118">
        <f t="shared" si="24"/>
        <v>790263</v>
      </c>
      <c r="I60" s="118">
        <f t="shared" si="24"/>
        <v>1045137</v>
      </c>
      <c r="J60" s="118">
        <f t="shared" si="24"/>
        <v>1061936</v>
      </c>
      <c r="K60" s="118">
        <f t="shared" ref="K60:L60" si="25">K58+K45</f>
        <v>1182582</v>
      </c>
      <c r="L60" s="118">
        <f t="shared" si="25"/>
        <v>1137467</v>
      </c>
      <c r="M60" s="118">
        <f t="shared" ref="M60" si="26">M58+M45</f>
        <v>1145978</v>
      </c>
      <c r="N60" s="118">
        <f>N58+N45</f>
        <v>1183088</v>
      </c>
      <c r="O60" s="118">
        <f>O58+O45</f>
        <v>1267259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</row>
    <row r="61" spans="1:214" hidden="1" x14ac:dyDescent="0.2"/>
    <row r="62" spans="1:214" hidden="1" x14ac:dyDescent="0.2"/>
    <row r="63" spans="1:214" hidden="1" x14ac:dyDescent="0.2"/>
    <row r="64" spans="1:214" hidden="1" x14ac:dyDescent="0.2"/>
    <row r="65" spans="1:15" x14ac:dyDescent="0.2">
      <c r="C65" s="101"/>
    </row>
    <row r="66" spans="1:15" x14ac:dyDescent="0.2">
      <c r="C66" s="201">
        <f t="shared" ref="C66:G66" si="27">C25-C60</f>
        <v>0</v>
      </c>
      <c r="D66" s="201">
        <f t="shared" si="27"/>
        <v>0</v>
      </c>
      <c r="E66" s="201">
        <f t="shared" si="27"/>
        <v>0</v>
      </c>
      <c r="F66" s="201">
        <f t="shared" si="27"/>
        <v>0</v>
      </c>
      <c r="G66" s="201">
        <f t="shared" si="27"/>
        <v>0</v>
      </c>
      <c r="H66" s="201">
        <f t="shared" ref="H66:I66" si="28">H25-H60</f>
        <v>0</v>
      </c>
      <c r="I66" s="147">
        <f t="shared" si="28"/>
        <v>0</v>
      </c>
      <c r="J66" s="147">
        <f t="shared" ref="J66:L66" si="29">J25-J60</f>
        <v>0</v>
      </c>
      <c r="K66" s="147">
        <f t="shared" si="29"/>
        <v>0</v>
      </c>
      <c r="L66" s="147">
        <f t="shared" si="29"/>
        <v>0</v>
      </c>
      <c r="M66" s="147">
        <f t="shared" ref="M66:O66" si="30">M25-M60</f>
        <v>0</v>
      </c>
      <c r="N66" s="147">
        <f t="shared" si="30"/>
        <v>0</v>
      </c>
      <c r="O66" s="147">
        <f t="shared" si="30"/>
        <v>0</v>
      </c>
    </row>
    <row r="68" spans="1:15" x14ac:dyDescent="0.2">
      <c r="A68" s="2"/>
    </row>
    <row r="69" spans="1:15" x14ac:dyDescent="0.2">
      <c r="A69" s="2"/>
    </row>
    <row r="70" spans="1:15" x14ac:dyDescent="0.2">
      <c r="A70" s="2"/>
    </row>
    <row r="71" spans="1:15" x14ac:dyDescent="0.2">
      <c r="A71" s="2"/>
    </row>
  </sheetData>
  <phoneticPr fontId="17" type="noConversion"/>
  <pageMargins left="0.7" right="0.7" top="0.33" bottom="0.38" header="0.3" footer="0.3"/>
  <pageSetup paperSize="5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X97"/>
  <sheetViews>
    <sheetView showGridLines="0" zoomScale="80" zoomScaleNormal="80" zoomScaleSheetLayoutView="80" workbookViewId="0">
      <pane xSplit="1" ySplit="5" topLeftCell="F72" activePane="bottomRight" state="frozen"/>
      <selection activeCell="I106" sqref="I106"/>
      <selection pane="topRight" activeCell="I106" sqref="I106"/>
      <selection pane="bottomLeft" activeCell="I106" sqref="I106"/>
      <selection pane="bottomRight" activeCell="Q38" sqref="Q38"/>
    </sheetView>
  </sheetViews>
  <sheetFormatPr defaultColWidth="9.140625" defaultRowHeight="12.75" outlineLevelCol="1" x14ac:dyDescent="0.2"/>
  <cols>
    <col min="1" max="1" width="42.5703125" style="2" customWidth="1"/>
    <col min="2" max="2" width="13.42578125" style="94" hidden="1" customWidth="1" outlineLevel="1"/>
    <col min="3" max="5" width="10.7109375" style="56" hidden="1" customWidth="1" outlineLevel="1"/>
    <col min="6" max="6" width="13" style="188" customWidth="1" collapsed="1"/>
    <col min="7" max="10" width="13" style="188" hidden="1" customWidth="1" outlineLevel="1"/>
    <col min="11" max="11" width="10.7109375" style="94" customWidth="1" collapsed="1"/>
    <col min="12" max="12" width="10.7109375" style="94" hidden="1" customWidth="1" outlineLevel="1"/>
    <col min="13" max="15" width="11.42578125" style="94" hidden="1" customWidth="1" outlineLevel="1"/>
    <col min="16" max="16" width="11" style="94" customWidth="1" collapsed="1"/>
    <col min="17" max="17" width="11" style="99" customWidth="1"/>
    <col min="18" max="18" width="9.140625" style="56" hidden="1" customWidth="1"/>
    <col min="19" max="19" width="11.28515625" style="235" customWidth="1"/>
    <col min="20" max="34" width="9.140625" style="56"/>
    <col min="35" max="16384" width="9.140625" style="2"/>
  </cols>
  <sheetData>
    <row r="1" spans="1:63" x14ac:dyDescent="0.2">
      <c r="A1" s="11"/>
    </row>
    <row r="2" spans="1:63" x14ac:dyDescent="0.2">
      <c r="A2" s="12"/>
    </row>
    <row r="3" spans="1:63" ht="28.5" customHeight="1" x14ac:dyDescent="0.2"/>
    <row r="4" spans="1:63" x14ac:dyDescent="0.2">
      <c r="A4" s="9" t="s">
        <v>46</v>
      </c>
      <c r="B4" s="158" t="s">
        <v>177</v>
      </c>
      <c r="C4" s="158" t="s">
        <v>177</v>
      </c>
      <c r="D4" s="158" t="s">
        <v>177</v>
      </c>
      <c r="E4" s="158" t="s">
        <v>177</v>
      </c>
      <c r="F4" s="158" t="s">
        <v>177</v>
      </c>
      <c r="G4" s="3">
        <v>2018</v>
      </c>
      <c r="H4" s="3">
        <v>2018</v>
      </c>
      <c r="I4" s="3">
        <v>2018</v>
      </c>
      <c r="J4" s="3">
        <v>2018</v>
      </c>
      <c r="K4" s="158">
        <v>2018</v>
      </c>
      <c r="L4" s="158">
        <v>2019</v>
      </c>
      <c r="M4" s="158">
        <v>2019</v>
      </c>
      <c r="N4" s="158">
        <v>2019</v>
      </c>
      <c r="O4" s="158">
        <v>2019</v>
      </c>
      <c r="P4" s="158">
        <v>2019</v>
      </c>
      <c r="Q4" s="300">
        <v>2020</v>
      </c>
    </row>
    <row r="5" spans="1:63" ht="14.25" x14ac:dyDescent="0.2">
      <c r="A5" s="25" t="s">
        <v>66</v>
      </c>
      <c r="B5" s="254" t="s">
        <v>199</v>
      </c>
      <c r="C5" s="254" t="s">
        <v>198</v>
      </c>
      <c r="D5" s="254" t="s">
        <v>200</v>
      </c>
      <c r="E5" s="254" t="s">
        <v>201</v>
      </c>
      <c r="F5" s="254" t="s">
        <v>202</v>
      </c>
      <c r="G5" s="6" t="s">
        <v>163</v>
      </c>
      <c r="H5" s="6" t="s">
        <v>165</v>
      </c>
      <c r="I5" s="6" t="s">
        <v>167</v>
      </c>
      <c r="J5" s="6" t="s">
        <v>170</v>
      </c>
      <c r="K5" s="254" t="s">
        <v>13</v>
      </c>
      <c r="L5" s="6" t="s">
        <v>163</v>
      </c>
      <c r="M5" s="6" t="s">
        <v>165</v>
      </c>
      <c r="N5" s="254" t="s">
        <v>167</v>
      </c>
      <c r="O5" s="254" t="s">
        <v>170</v>
      </c>
      <c r="P5" s="254" t="s">
        <v>13</v>
      </c>
      <c r="Q5" s="82" t="s">
        <v>163</v>
      </c>
      <c r="S5" s="288"/>
    </row>
    <row r="6" spans="1:63" s="8" customFormat="1" x14ac:dyDescent="0.2">
      <c r="B6" s="154"/>
      <c r="C6" s="154"/>
      <c r="D6" s="154"/>
      <c r="E6" s="154"/>
      <c r="F6" s="154"/>
      <c r="G6" s="159"/>
      <c r="H6" s="159"/>
      <c r="I6" s="159"/>
      <c r="J6" s="159"/>
      <c r="K6" s="154"/>
      <c r="L6" s="154"/>
      <c r="M6" s="154"/>
      <c r="N6" s="154"/>
      <c r="O6" s="154"/>
      <c r="P6" s="154"/>
      <c r="Q6" s="301"/>
      <c r="R6" s="1"/>
      <c r="S6" s="28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63" x14ac:dyDescent="0.2">
      <c r="A7" s="13" t="s">
        <v>110</v>
      </c>
      <c r="C7" s="94"/>
      <c r="D7" s="94"/>
      <c r="E7" s="94"/>
      <c r="F7" s="94"/>
    </row>
    <row r="8" spans="1:63" x14ac:dyDescent="0.2">
      <c r="A8" s="14" t="s">
        <v>34</v>
      </c>
      <c r="B8" s="256">
        <v>16788</v>
      </c>
      <c r="C8" s="256">
        <v>20378.064520000004</v>
      </c>
      <c r="D8" s="256">
        <v>21076.999999999996</v>
      </c>
      <c r="E8" s="256">
        <v>-9355.0645199999999</v>
      </c>
      <c r="F8" s="256">
        <v>48888</v>
      </c>
      <c r="G8" s="189">
        <v>23158</v>
      </c>
      <c r="H8" s="189">
        <v>14462</v>
      </c>
      <c r="I8" s="189">
        <v>15249</v>
      </c>
      <c r="J8" s="189">
        <f>+K8-SUM(G8:I8)</f>
        <v>3857</v>
      </c>
      <c r="K8" s="256">
        <v>56726</v>
      </c>
      <c r="L8" s="256">
        <v>14695</v>
      </c>
      <c r="M8" s="256">
        <v>12564</v>
      </c>
      <c r="N8" s="256">
        <v>19044</v>
      </c>
      <c r="O8" s="189">
        <f>+P8-SUM(L8:N8)</f>
        <v>21356</v>
      </c>
      <c r="P8" s="256">
        <v>67659</v>
      </c>
      <c r="Q8" s="302">
        <v>22411</v>
      </c>
      <c r="R8" s="293">
        <f>SUM(L8:O8)-P8</f>
        <v>0</v>
      </c>
    </row>
    <row r="9" spans="1:63" x14ac:dyDescent="0.2">
      <c r="A9" s="15" t="s">
        <v>52</v>
      </c>
      <c r="B9" s="253"/>
      <c r="C9" s="253"/>
      <c r="D9" s="253"/>
      <c r="E9" s="253"/>
      <c r="F9" s="253"/>
      <c r="K9" s="253"/>
      <c r="L9" s="253"/>
      <c r="M9" s="253"/>
      <c r="N9" s="253"/>
      <c r="O9" s="253"/>
      <c r="P9" s="253"/>
      <c r="Q9" s="303"/>
    </row>
    <row r="10" spans="1:63" x14ac:dyDescent="0.2">
      <c r="A10" s="36" t="s">
        <v>53</v>
      </c>
      <c r="B10" s="253"/>
      <c r="C10" s="253"/>
      <c r="D10" s="253"/>
      <c r="E10" s="253"/>
      <c r="F10" s="253"/>
      <c r="K10" s="253"/>
      <c r="L10" s="253"/>
      <c r="M10" s="253"/>
      <c r="N10" s="253"/>
      <c r="O10" s="253"/>
      <c r="P10" s="253"/>
      <c r="Q10" s="303"/>
    </row>
    <row r="11" spans="1:63" x14ac:dyDescent="0.2">
      <c r="A11" s="45" t="s">
        <v>5</v>
      </c>
      <c r="B11" s="255">
        <v>9426</v>
      </c>
      <c r="C11" s="255">
        <v>9637</v>
      </c>
      <c r="D11" s="255">
        <v>9708</v>
      </c>
      <c r="E11" s="255">
        <v>10213</v>
      </c>
      <c r="F11" s="255">
        <v>38984</v>
      </c>
      <c r="G11" s="234">
        <v>10655</v>
      </c>
      <c r="H11" s="234">
        <v>10625</v>
      </c>
      <c r="I11" s="234">
        <v>14065</v>
      </c>
      <c r="J11" s="234">
        <f t="shared" ref="J11:J27" si="0">+K11-SUM(G11:I11)</f>
        <v>13374</v>
      </c>
      <c r="K11" s="255">
        <v>48719</v>
      </c>
      <c r="L11" s="255">
        <v>13724</v>
      </c>
      <c r="M11" s="255">
        <v>12808</v>
      </c>
      <c r="N11" s="255">
        <v>13101</v>
      </c>
      <c r="O11" s="255">
        <f t="shared" ref="O11:O25" si="1">+P11-SUM(L11:N11)</f>
        <v>12560</v>
      </c>
      <c r="P11" s="255">
        <v>52193</v>
      </c>
      <c r="Q11" s="292">
        <v>12472</v>
      </c>
      <c r="R11" s="293">
        <f>SUM(L11:O11)-P11</f>
        <v>0</v>
      </c>
    </row>
    <row r="12" spans="1:63" s="24" customFormat="1" x14ac:dyDescent="0.2">
      <c r="A12" s="156" t="s">
        <v>35</v>
      </c>
      <c r="B12" s="28">
        <v>24</v>
      </c>
      <c r="C12" s="28">
        <v>15.386990571428598</v>
      </c>
      <c r="D12" s="28">
        <v>18.084000000000003</v>
      </c>
      <c r="E12" s="28">
        <v>232.52900942857138</v>
      </c>
      <c r="F12" s="28">
        <v>290</v>
      </c>
      <c r="G12" s="105">
        <f>ROUND(39.509759,0)</f>
        <v>40</v>
      </c>
      <c r="H12" s="250">
        <f>ROUND(39.490241,0)</f>
        <v>39</v>
      </c>
      <c r="I12" s="250">
        <v>61</v>
      </c>
      <c r="J12" s="250">
        <f t="shared" si="0"/>
        <v>114</v>
      </c>
      <c r="K12" s="28">
        <v>254</v>
      </c>
      <c r="L12" s="28">
        <v>116</v>
      </c>
      <c r="M12" s="28">
        <v>118</v>
      </c>
      <c r="N12" s="28">
        <v>118</v>
      </c>
      <c r="O12" s="28">
        <f t="shared" si="1"/>
        <v>118</v>
      </c>
      <c r="P12" s="30">
        <v>470</v>
      </c>
      <c r="Q12" s="30">
        <v>118</v>
      </c>
      <c r="R12" s="293">
        <f t="shared" ref="R12:R28" si="2">SUM(L12:O12)-P12</f>
        <v>0</v>
      </c>
      <c r="S12" s="290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24" customFormat="1" x14ac:dyDescent="0.2">
      <c r="A13" s="156" t="s">
        <v>211</v>
      </c>
      <c r="B13" s="28"/>
      <c r="C13" s="28"/>
      <c r="D13" s="28"/>
      <c r="E13" s="28"/>
      <c r="F13" s="28">
        <v>0</v>
      </c>
      <c r="G13" s="250">
        <v>0</v>
      </c>
      <c r="H13" s="250">
        <v>0</v>
      </c>
      <c r="I13" s="250">
        <v>0</v>
      </c>
      <c r="J13" s="250">
        <f t="shared" si="0"/>
        <v>600.47593517868052</v>
      </c>
      <c r="K13" s="28">
        <v>600.47593517868052</v>
      </c>
      <c r="L13" s="28">
        <v>600.47593517868052</v>
      </c>
      <c r="M13" s="28">
        <v>617.52406482131948</v>
      </c>
      <c r="N13" s="28">
        <v>618</v>
      </c>
      <c r="O13" s="28">
        <f t="shared" si="1"/>
        <v>636</v>
      </c>
      <c r="P13" s="30">
        <v>2472</v>
      </c>
      <c r="Q13" s="30">
        <v>635</v>
      </c>
      <c r="R13" s="293">
        <f t="shared" si="2"/>
        <v>0</v>
      </c>
      <c r="S13" s="290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24" customFormat="1" x14ac:dyDescent="0.2">
      <c r="A14" s="156" t="s">
        <v>111</v>
      </c>
      <c r="B14" s="255">
        <v>5956</v>
      </c>
      <c r="C14" s="255">
        <v>5107</v>
      </c>
      <c r="D14" s="255">
        <v>5708</v>
      </c>
      <c r="E14" s="255">
        <v>6270</v>
      </c>
      <c r="F14" s="255">
        <v>23041</v>
      </c>
      <c r="G14" s="105">
        <v>5074</v>
      </c>
      <c r="H14" s="250">
        <v>6892</v>
      </c>
      <c r="I14" s="250">
        <v>5345</v>
      </c>
      <c r="J14" s="250">
        <f t="shared" si="0"/>
        <v>6590</v>
      </c>
      <c r="K14" s="255">
        <v>23901</v>
      </c>
      <c r="L14" s="255">
        <v>6956</v>
      </c>
      <c r="M14" s="255">
        <v>7155</v>
      </c>
      <c r="N14" s="255">
        <v>7427</v>
      </c>
      <c r="O14" s="255">
        <f t="shared" si="1"/>
        <v>4532</v>
      </c>
      <c r="P14" s="255">
        <v>26070</v>
      </c>
      <c r="Q14" s="292">
        <v>4778</v>
      </c>
      <c r="R14" s="293">
        <f t="shared" si="2"/>
        <v>0</v>
      </c>
      <c r="S14" s="290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24" customFormat="1" x14ac:dyDescent="0.2">
      <c r="A15" s="157" t="s">
        <v>194</v>
      </c>
      <c r="B15" s="28"/>
      <c r="C15" s="28">
        <v>0</v>
      </c>
      <c r="D15" s="28">
        <v>0</v>
      </c>
      <c r="E15" s="28">
        <v>0</v>
      </c>
      <c r="F15" s="28">
        <v>0</v>
      </c>
      <c r="G15" s="203">
        <v>56</v>
      </c>
      <c r="H15" s="203">
        <v>58</v>
      </c>
      <c r="I15" s="203">
        <v>62</v>
      </c>
      <c r="J15" s="203">
        <f t="shared" si="0"/>
        <v>71</v>
      </c>
      <c r="K15" s="28">
        <v>247</v>
      </c>
      <c r="L15" s="28">
        <v>67</v>
      </c>
      <c r="M15" s="28">
        <v>62</v>
      </c>
      <c r="N15" s="28">
        <v>69</v>
      </c>
      <c r="O15" s="28">
        <f t="shared" si="1"/>
        <v>71</v>
      </c>
      <c r="P15" s="28">
        <v>269</v>
      </c>
      <c r="Q15" s="30">
        <v>55</v>
      </c>
      <c r="R15" s="293">
        <f t="shared" si="2"/>
        <v>0</v>
      </c>
      <c r="S15" s="290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24" customFormat="1" x14ac:dyDescent="0.2">
      <c r="A16" s="157" t="s">
        <v>36</v>
      </c>
      <c r="B16" s="203"/>
      <c r="C16" s="203">
        <v>0</v>
      </c>
      <c r="D16" s="203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f t="shared" si="0"/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93">
        <f t="shared" si="2"/>
        <v>0</v>
      </c>
      <c r="S16" s="290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24" customFormat="1" x14ac:dyDescent="0.2">
      <c r="A17" s="157" t="s">
        <v>124</v>
      </c>
      <c r="B17" s="28">
        <v>-12</v>
      </c>
      <c r="C17" s="28">
        <v>22.216999999999999</v>
      </c>
      <c r="D17" s="28">
        <v>2.8629999999999995</v>
      </c>
      <c r="E17" s="28">
        <v>18.920000000000002</v>
      </c>
      <c r="F17" s="28">
        <v>32</v>
      </c>
      <c r="G17" s="105">
        <f>ROUND(6.20872,0)</f>
        <v>6</v>
      </c>
      <c r="H17" s="250">
        <f>ROUND(3.79128,0)</f>
        <v>4</v>
      </c>
      <c r="I17" s="250">
        <v>9</v>
      </c>
      <c r="J17" s="250">
        <f t="shared" si="0"/>
        <v>7</v>
      </c>
      <c r="K17" s="28">
        <v>26</v>
      </c>
      <c r="L17" s="28">
        <v>9</v>
      </c>
      <c r="M17" s="28">
        <v>0</v>
      </c>
      <c r="N17" s="28">
        <v>0</v>
      </c>
      <c r="O17" s="28">
        <f t="shared" si="1"/>
        <v>0</v>
      </c>
      <c r="P17" s="30">
        <v>9</v>
      </c>
      <c r="Q17" s="30">
        <v>0</v>
      </c>
      <c r="R17" s="293">
        <f t="shared" si="2"/>
        <v>0</v>
      </c>
      <c r="S17" s="290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24" customFormat="1" x14ac:dyDescent="0.2">
      <c r="A18" s="157" t="s">
        <v>140</v>
      </c>
      <c r="B18" s="203"/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f t="shared" si="0"/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93">
        <f t="shared" si="2"/>
        <v>0</v>
      </c>
      <c r="S18" s="290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4" customFormat="1" x14ac:dyDescent="0.2">
      <c r="A19" s="157" t="s">
        <v>37</v>
      </c>
      <c r="B19" s="255">
        <v>2225</v>
      </c>
      <c r="C19" s="255">
        <v>-582</v>
      </c>
      <c r="D19" s="255">
        <v>-1197</v>
      </c>
      <c r="E19" s="255">
        <v>1077</v>
      </c>
      <c r="F19" s="255">
        <v>1523</v>
      </c>
      <c r="G19" s="105">
        <f>ROUND(-3318.50205594496,0)</f>
        <v>-3319</v>
      </c>
      <c r="H19" s="250">
        <f>ROUND(-4463.49794405504,0)</f>
        <v>-4463</v>
      </c>
      <c r="I19" s="250">
        <v>-6593</v>
      </c>
      <c r="J19" s="250">
        <f t="shared" si="0"/>
        <v>5755</v>
      </c>
      <c r="K19" s="255">
        <v>-8620</v>
      </c>
      <c r="L19" s="255">
        <v>127</v>
      </c>
      <c r="M19" s="255">
        <v>1840</v>
      </c>
      <c r="N19" s="255">
        <v>-1948</v>
      </c>
      <c r="O19" s="255">
        <f t="shared" si="1"/>
        <v>-340</v>
      </c>
      <c r="P19" s="255">
        <v>-321</v>
      </c>
      <c r="Q19" s="292">
        <v>-5112</v>
      </c>
      <c r="R19" s="293">
        <f t="shared" si="2"/>
        <v>0</v>
      </c>
      <c r="S19" s="290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24" customFormat="1" x14ac:dyDescent="0.2">
      <c r="A20" s="157" t="s">
        <v>158</v>
      </c>
      <c r="B20" s="255"/>
      <c r="C20" s="255">
        <v>-2246</v>
      </c>
      <c r="D20" s="255">
        <v>-2191</v>
      </c>
      <c r="E20" s="255">
        <v>4437</v>
      </c>
      <c r="F20" s="255">
        <v>0</v>
      </c>
      <c r="G20" s="105">
        <v>-2842</v>
      </c>
      <c r="H20" s="250">
        <v>-1098</v>
      </c>
      <c r="I20" s="250">
        <v>-1483</v>
      </c>
      <c r="J20" s="250">
        <f t="shared" si="0"/>
        <v>-2273</v>
      </c>
      <c r="K20" s="255">
        <v>-7696</v>
      </c>
      <c r="L20" s="255">
        <v>-3185</v>
      </c>
      <c r="M20" s="255">
        <v>-1177</v>
      </c>
      <c r="N20" s="255">
        <v>-3081</v>
      </c>
      <c r="O20" s="255">
        <f t="shared" si="1"/>
        <v>-2673</v>
      </c>
      <c r="P20" s="255">
        <v>-10116</v>
      </c>
      <c r="Q20" s="292">
        <v>267</v>
      </c>
      <c r="R20" s="293">
        <f t="shared" si="2"/>
        <v>0</v>
      </c>
      <c r="S20" s="290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24" customFormat="1" x14ac:dyDescent="0.2">
      <c r="A21" s="157" t="s">
        <v>184</v>
      </c>
      <c r="B21" s="255">
        <v>-4256</v>
      </c>
      <c r="C21" s="255">
        <v>1138</v>
      </c>
      <c r="D21" s="255">
        <v>-2299</v>
      </c>
      <c r="E21" s="255">
        <v>6148</v>
      </c>
      <c r="F21" s="255">
        <v>731</v>
      </c>
      <c r="G21" s="105">
        <v>3433</v>
      </c>
      <c r="H21" s="250">
        <v>-2890</v>
      </c>
      <c r="I21" s="250">
        <v>-1529</v>
      </c>
      <c r="J21" s="250">
        <f t="shared" si="0"/>
        <v>361</v>
      </c>
      <c r="K21" s="255">
        <v>-625</v>
      </c>
      <c r="L21" s="255">
        <v>1049</v>
      </c>
      <c r="M21" s="255">
        <v>-3680</v>
      </c>
      <c r="N21" s="255">
        <v>-4228</v>
      </c>
      <c r="O21" s="255">
        <f t="shared" si="1"/>
        <v>-5486</v>
      </c>
      <c r="P21" s="255">
        <v>-12345</v>
      </c>
      <c r="Q21" s="292">
        <v>3539</v>
      </c>
      <c r="R21" s="293">
        <f t="shared" si="2"/>
        <v>0</v>
      </c>
      <c r="S21" s="290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24" customFormat="1" x14ac:dyDescent="0.2">
      <c r="A22" s="157" t="s">
        <v>185</v>
      </c>
      <c r="B22" s="255"/>
      <c r="C22" s="255">
        <v>0</v>
      </c>
      <c r="D22" s="255">
        <v>0</v>
      </c>
      <c r="E22" s="255">
        <v>0</v>
      </c>
      <c r="F22" s="255">
        <v>0</v>
      </c>
      <c r="G22" s="203">
        <v>0</v>
      </c>
      <c r="H22" s="203">
        <v>0</v>
      </c>
      <c r="I22" s="203">
        <v>0</v>
      </c>
      <c r="J22" s="250">
        <f t="shared" si="0"/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  <c r="Q22" s="292">
        <v>0</v>
      </c>
      <c r="R22" s="293">
        <f t="shared" si="2"/>
        <v>0</v>
      </c>
      <c r="S22" s="290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24" customFormat="1" x14ac:dyDescent="0.2">
      <c r="A23" s="157" t="s">
        <v>207</v>
      </c>
      <c r="B23" s="255"/>
      <c r="C23" s="255"/>
      <c r="D23" s="255"/>
      <c r="E23" s="255"/>
      <c r="F23" s="255">
        <v>0</v>
      </c>
      <c r="G23" s="203">
        <v>0</v>
      </c>
      <c r="H23" s="203">
        <v>0</v>
      </c>
      <c r="I23" s="203">
        <v>0</v>
      </c>
      <c r="J23" s="250">
        <f t="shared" si="0"/>
        <v>20056</v>
      </c>
      <c r="K23" s="255">
        <v>20056</v>
      </c>
      <c r="L23" s="255">
        <v>1227</v>
      </c>
      <c r="M23" s="255">
        <v>1940</v>
      </c>
      <c r="N23" s="255">
        <v>0</v>
      </c>
      <c r="O23" s="255">
        <f>+P23-SUM(L23:N23)</f>
        <v>460</v>
      </c>
      <c r="P23" s="255">
        <v>3627</v>
      </c>
      <c r="Q23" s="292">
        <v>0</v>
      </c>
      <c r="R23" s="293">
        <f t="shared" si="2"/>
        <v>0</v>
      </c>
      <c r="S23" s="290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24" customFormat="1" x14ac:dyDescent="0.2">
      <c r="A24" s="157" t="s">
        <v>151</v>
      </c>
      <c r="B24" s="203"/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f t="shared" si="0"/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93">
        <f t="shared" si="2"/>
        <v>0</v>
      </c>
      <c r="S24" s="290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24" customFormat="1" x14ac:dyDescent="0.2">
      <c r="A25" s="157" t="s">
        <v>186</v>
      </c>
      <c r="B25" s="255">
        <v>331.16800000000001</v>
      </c>
      <c r="C25" s="255">
        <v>552.93804</v>
      </c>
      <c r="D25" s="255">
        <v>1821.8939599999999</v>
      </c>
      <c r="E25" s="255">
        <v>110</v>
      </c>
      <c r="F25" s="255">
        <v>2816</v>
      </c>
      <c r="G25" s="203">
        <v>-612</v>
      </c>
      <c r="H25" s="203">
        <v>22</v>
      </c>
      <c r="I25" s="203">
        <v>-30</v>
      </c>
      <c r="J25" s="203">
        <f t="shared" si="0"/>
        <v>47</v>
      </c>
      <c r="K25" s="255">
        <v>-573</v>
      </c>
      <c r="L25" s="255">
        <v>298</v>
      </c>
      <c r="M25" s="255">
        <v>-17</v>
      </c>
      <c r="N25" s="255">
        <v>152</v>
      </c>
      <c r="O25" s="255">
        <f t="shared" si="1"/>
        <v>181</v>
      </c>
      <c r="P25" s="255">
        <v>614</v>
      </c>
      <c r="Q25" s="292">
        <v>195</v>
      </c>
      <c r="R25" s="293">
        <f t="shared" si="2"/>
        <v>0</v>
      </c>
      <c r="S25" s="290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24" customFormat="1" x14ac:dyDescent="0.2">
      <c r="A26" s="157" t="s">
        <v>156</v>
      </c>
      <c r="B26" s="255">
        <v>-20</v>
      </c>
      <c r="C26" s="255">
        <v>-3.1410499999999963</v>
      </c>
      <c r="D26" s="255">
        <v>-35.811700000000002</v>
      </c>
      <c r="E26" s="255">
        <v>-11.047250000000005</v>
      </c>
      <c r="F26" s="255">
        <v>-70</v>
      </c>
      <c r="G26" s="203">
        <f>ROUND(-17.89307,0)</f>
        <v>-18</v>
      </c>
      <c r="H26" s="203">
        <f>ROUND(51.89307,0)</f>
        <v>52</v>
      </c>
      <c r="I26" s="203">
        <v>0</v>
      </c>
      <c r="J26" s="203">
        <f t="shared" si="0"/>
        <v>-11</v>
      </c>
      <c r="K26" s="255">
        <v>23</v>
      </c>
      <c r="L26" s="255">
        <v>291.15050000000002</v>
      </c>
      <c r="M26" s="255">
        <v>426.30423000000013</v>
      </c>
      <c r="N26" s="255">
        <v>-1227.1716799999977</v>
      </c>
      <c r="O26" s="255">
        <f>+P26-SUM(L26:N26)</f>
        <v>-1174.2830500000025</v>
      </c>
      <c r="P26" s="292">
        <v>-1684</v>
      </c>
      <c r="Q26" s="30">
        <v>-144</v>
      </c>
      <c r="R26" s="293">
        <f t="shared" si="2"/>
        <v>0</v>
      </c>
      <c r="S26" s="290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x14ac:dyDescent="0.2">
      <c r="A27" s="36" t="s">
        <v>164</v>
      </c>
      <c r="B27" s="203"/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f t="shared" si="0"/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93">
        <f t="shared" si="2"/>
        <v>0</v>
      </c>
    </row>
    <row r="28" spans="1:63" x14ac:dyDescent="0.2">
      <c r="A28" s="36" t="s">
        <v>225</v>
      </c>
      <c r="B28" s="203"/>
      <c r="C28" s="203"/>
      <c r="D28" s="203"/>
      <c r="E28" s="203"/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13701</v>
      </c>
      <c r="N28" s="203">
        <v>6843</v>
      </c>
      <c r="O28" s="255">
        <f>+P28-SUM(L28:N28)</f>
        <v>6791</v>
      </c>
      <c r="P28" s="203">
        <v>27335</v>
      </c>
      <c r="Q28" s="203">
        <v>6853</v>
      </c>
      <c r="R28" s="293">
        <f t="shared" si="2"/>
        <v>0</v>
      </c>
    </row>
    <row r="29" spans="1:63" x14ac:dyDescent="0.2">
      <c r="A29" s="46" t="s">
        <v>69</v>
      </c>
      <c r="B29" s="255"/>
      <c r="C29" s="255">
        <v>0</v>
      </c>
      <c r="D29" s="255"/>
      <c r="E29" s="255"/>
      <c r="F29" s="255"/>
      <c r="G29" s="203"/>
      <c r="H29" s="203"/>
      <c r="I29" s="203"/>
      <c r="J29" s="203"/>
      <c r="K29" s="255"/>
      <c r="L29" s="255"/>
      <c r="M29" s="255"/>
      <c r="N29" s="255"/>
      <c r="O29" s="255"/>
      <c r="P29" s="255"/>
      <c r="Q29" s="292"/>
      <c r="R29" s="293"/>
    </row>
    <row r="30" spans="1:63" x14ac:dyDescent="0.2">
      <c r="A30" s="36" t="s">
        <v>19</v>
      </c>
      <c r="B30" s="203">
        <v>0</v>
      </c>
      <c r="C30" s="203">
        <v>0</v>
      </c>
      <c r="D30" s="203">
        <v>0</v>
      </c>
      <c r="E30" s="203">
        <v>0</v>
      </c>
      <c r="F30" s="203"/>
      <c r="G30" s="203">
        <v>0</v>
      </c>
      <c r="H30" s="203">
        <v>0</v>
      </c>
      <c r="I30" s="203">
        <v>0</v>
      </c>
      <c r="J30" s="203">
        <f t="shared" ref="J30:J37" si="3">+K30-SUM(G30:I30)</f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f t="shared" ref="O30:O38" si="4">+P30-SUM(L30:N30)</f>
        <v>0</v>
      </c>
      <c r="P30" s="203">
        <v>0</v>
      </c>
      <c r="Q30" s="203">
        <v>0</v>
      </c>
      <c r="R30" s="293"/>
    </row>
    <row r="31" spans="1:63" x14ac:dyDescent="0.2">
      <c r="A31" s="36" t="s">
        <v>20</v>
      </c>
      <c r="B31" s="255">
        <v>-6671</v>
      </c>
      <c r="C31" s="255">
        <v>-3988</v>
      </c>
      <c r="D31" s="255">
        <v>-11405</v>
      </c>
      <c r="E31" s="255">
        <v>1582</v>
      </c>
      <c r="F31" s="255">
        <v>-20482</v>
      </c>
      <c r="G31" s="204">
        <v>-590</v>
      </c>
      <c r="H31" s="204">
        <v>-11129</v>
      </c>
      <c r="I31" s="204">
        <v>2365</v>
      </c>
      <c r="J31" s="204">
        <f t="shared" si="3"/>
        <v>-692</v>
      </c>
      <c r="K31" s="255">
        <v>-10046</v>
      </c>
      <c r="L31" s="255">
        <v>-12016</v>
      </c>
      <c r="M31" s="255">
        <v>-4462</v>
      </c>
      <c r="N31" s="255">
        <v>3</v>
      </c>
      <c r="O31" s="255">
        <f t="shared" si="4"/>
        <v>9382</v>
      </c>
      <c r="P31" s="255">
        <v>-7093</v>
      </c>
      <c r="Q31" s="292">
        <v>-17518</v>
      </c>
      <c r="R31" s="293">
        <f t="shared" ref="R31:R39" si="5">SUM(L31:O31)-P31</f>
        <v>0</v>
      </c>
    </row>
    <row r="32" spans="1:63" x14ac:dyDescent="0.2">
      <c r="A32" s="36" t="s">
        <v>38</v>
      </c>
      <c r="B32" s="255">
        <v>-1285</v>
      </c>
      <c r="C32" s="255">
        <v>8446</v>
      </c>
      <c r="D32" s="255">
        <v>-1967</v>
      </c>
      <c r="E32" s="255">
        <v>-4976</v>
      </c>
      <c r="F32" s="255">
        <v>218</v>
      </c>
      <c r="G32" s="204">
        <v>-2164</v>
      </c>
      <c r="H32" s="204">
        <v>-266</v>
      </c>
      <c r="I32" s="204">
        <v>-914</v>
      </c>
      <c r="J32" s="204">
        <f t="shared" si="3"/>
        <v>-1165</v>
      </c>
      <c r="K32" s="255">
        <v>-4509</v>
      </c>
      <c r="L32" s="255">
        <v>591</v>
      </c>
      <c r="M32" s="255">
        <v>-2624</v>
      </c>
      <c r="N32" s="255">
        <v>2785</v>
      </c>
      <c r="O32" s="255">
        <f t="shared" si="4"/>
        <v>463</v>
      </c>
      <c r="P32" s="255">
        <v>1215</v>
      </c>
      <c r="Q32" s="292">
        <v>-3249</v>
      </c>
      <c r="R32" s="293">
        <f t="shared" si="5"/>
        <v>0</v>
      </c>
    </row>
    <row r="33" spans="1:63" x14ac:dyDescent="0.2">
      <c r="A33" s="36" t="s">
        <v>25</v>
      </c>
      <c r="B33" s="255">
        <v>2185</v>
      </c>
      <c r="C33" s="255">
        <v>3110</v>
      </c>
      <c r="D33" s="255">
        <v>-4924</v>
      </c>
      <c r="E33" s="255">
        <v>1335</v>
      </c>
      <c r="F33" s="255">
        <v>1706</v>
      </c>
      <c r="G33" s="204">
        <v>-1726</v>
      </c>
      <c r="H33" s="204">
        <v>383</v>
      </c>
      <c r="I33" s="204">
        <v>-71</v>
      </c>
      <c r="J33" s="204">
        <f t="shared" si="3"/>
        <v>1054</v>
      </c>
      <c r="K33" s="255">
        <v>-360</v>
      </c>
      <c r="L33" s="255">
        <v>-1159</v>
      </c>
      <c r="M33" s="255">
        <v>-955</v>
      </c>
      <c r="N33" s="255">
        <v>267</v>
      </c>
      <c r="O33" s="255">
        <f t="shared" si="4"/>
        <v>1981</v>
      </c>
      <c r="P33" s="255">
        <v>134</v>
      </c>
      <c r="Q33" s="292">
        <v>1400</v>
      </c>
      <c r="R33" s="293">
        <f t="shared" si="5"/>
        <v>0</v>
      </c>
    </row>
    <row r="34" spans="1:63" x14ac:dyDescent="0.2">
      <c r="A34" s="36" t="s">
        <v>26</v>
      </c>
      <c r="B34" s="255">
        <v>1480</v>
      </c>
      <c r="C34" s="255">
        <v>-3847</v>
      </c>
      <c r="D34" s="255">
        <v>-5788</v>
      </c>
      <c r="E34" s="255">
        <v>1530</v>
      </c>
      <c r="F34" s="255">
        <v>-6625</v>
      </c>
      <c r="G34" s="204">
        <v>877</v>
      </c>
      <c r="H34" s="204">
        <v>-1076</v>
      </c>
      <c r="I34" s="204">
        <v>-5000</v>
      </c>
      <c r="J34" s="204">
        <f t="shared" si="3"/>
        <v>270</v>
      </c>
      <c r="K34" s="255">
        <v>-4929</v>
      </c>
      <c r="L34" s="255">
        <v>3262</v>
      </c>
      <c r="M34" s="255">
        <v>2392</v>
      </c>
      <c r="N34" s="255">
        <v>-2407</v>
      </c>
      <c r="O34" s="255">
        <f t="shared" si="4"/>
        <v>3432</v>
      </c>
      <c r="P34" s="255">
        <v>6679</v>
      </c>
      <c r="Q34" s="292">
        <v>2579</v>
      </c>
      <c r="R34" s="293">
        <f t="shared" si="5"/>
        <v>0</v>
      </c>
    </row>
    <row r="35" spans="1:63" x14ac:dyDescent="0.2">
      <c r="A35" s="36" t="s">
        <v>39</v>
      </c>
      <c r="B35" s="255">
        <v>-20247</v>
      </c>
      <c r="C35" s="255">
        <v>2561</v>
      </c>
      <c r="D35" s="255">
        <v>17038</v>
      </c>
      <c r="E35" s="255">
        <v>13942</v>
      </c>
      <c r="F35" s="255">
        <v>13294</v>
      </c>
      <c r="G35" s="204">
        <v>-24338</v>
      </c>
      <c r="H35" s="204">
        <v>6380</v>
      </c>
      <c r="I35" s="204">
        <v>9842</v>
      </c>
      <c r="J35" s="204">
        <f t="shared" si="3"/>
        <v>8304</v>
      </c>
      <c r="K35" s="255">
        <v>188</v>
      </c>
      <c r="L35" s="255">
        <v>-16599</v>
      </c>
      <c r="M35" s="255">
        <v>9232</v>
      </c>
      <c r="N35" s="255">
        <v>22947</v>
      </c>
      <c r="O35" s="255">
        <f t="shared" si="4"/>
        <v>15476</v>
      </c>
      <c r="P35" s="255">
        <v>31056</v>
      </c>
      <c r="Q35" s="292">
        <v>-36074</v>
      </c>
      <c r="R35" s="293">
        <f t="shared" si="5"/>
        <v>0</v>
      </c>
    </row>
    <row r="36" spans="1:63" x14ac:dyDescent="0.2">
      <c r="A36" s="36" t="s">
        <v>179</v>
      </c>
      <c r="B36" s="255">
        <v>-1471</v>
      </c>
      <c r="C36" s="255">
        <v>354</v>
      </c>
      <c r="D36" s="255">
        <v>-1490</v>
      </c>
      <c r="E36" s="255">
        <v>13644</v>
      </c>
      <c r="F36" s="255">
        <v>11037</v>
      </c>
      <c r="G36" s="204">
        <v>-13906</v>
      </c>
      <c r="H36" s="204">
        <v>6301</v>
      </c>
      <c r="I36" s="204">
        <v>3377</v>
      </c>
      <c r="J36" s="204">
        <f t="shared" si="3"/>
        <v>-9919</v>
      </c>
      <c r="K36" s="255">
        <v>-14147</v>
      </c>
      <c r="L36" s="255">
        <v>-2099</v>
      </c>
      <c r="M36" s="255">
        <v>3444</v>
      </c>
      <c r="N36" s="255">
        <v>4867</v>
      </c>
      <c r="O36" s="255">
        <f t="shared" si="4"/>
        <v>982</v>
      </c>
      <c r="P36" s="255">
        <v>7194</v>
      </c>
      <c r="Q36" s="292">
        <v>-1109</v>
      </c>
      <c r="R36" s="293">
        <f t="shared" si="5"/>
        <v>0</v>
      </c>
    </row>
    <row r="37" spans="1:63" x14ac:dyDescent="0.2">
      <c r="A37" s="36" t="s">
        <v>31</v>
      </c>
      <c r="B37" s="255">
        <v>1569</v>
      </c>
      <c r="C37" s="255">
        <v>-1605</v>
      </c>
      <c r="D37" s="255">
        <v>1277</v>
      </c>
      <c r="E37" s="255">
        <v>-3465</v>
      </c>
      <c r="F37" s="255">
        <v>-2224</v>
      </c>
      <c r="G37" s="204">
        <v>-1789</v>
      </c>
      <c r="H37" s="204">
        <v>-2498</v>
      </c>
      <c r="I37" s="204">
        <v>-1697</v>
      </c>
      <c r="J37" s="204">
        <f t="shared" si="3"/>
        <v>-816</v>
      </c>
      <c r="K37" s="255">
        <v>-6800</v>
      </c>
      <c r="L37" s="255">
        <v>388</v>
      </c>
      <c r="M37" s="255">
        <v>-262</v>
      </c>
      <c r="N37" s="255">
        <v>-1433</v>
      </c>
      <c r="O37" s="255">
        <f t="shared" si="4"/>
        <v>-897</v>
      </c>
      <c r="P37" s="255">
        <v>-2204</v>
      </c>
      <c r="Q37" s="292">
        <v>925</v>
      </c>
      <c r="R37" s="293">
        <f t="shared" si="5"/>
        <v>0</v>
      </c>
    </row>
    <row r="38" spans="1:63" x14ac:dyDescent="0.2">
      <c r="A38" s="36" t="s">
        <v>226</v>
      </c>
      <c r="B38" s="255"/>
      <c r="C38" s="255"/>
      <c r="D38" s="255"/>
      <c r="E38" s="255"/>
      <c r="F38" s="255">
        <v>0</v>
      </c>
      <c r="G38" s="255">
        <v>0</v>
      </c>
      <c r="H38" s="255">
        <v>0</v>
      </c>
      <c r="I38" s="255">
        <v>0</v>
      </c>
      <c r="J38" s="255">
        <v>0</v>
      </c>
      <c r="K38" s="255">
        <v>0</v>
      </c>
      <c r="L38" s="255">
        <v>0</v>
      </c>
      <c r="M38" s="255">
        <v>-13749</v>
      </c>
      <c r="N38" s="255">
        <v>-5679</v>
      </c>
      <c r="O38" s="255">
        <f t="shared" si="4"/>
        <v>-5385</v>
      </c>
      <c r="P38" s="255">
        <v>-24813</v>
      </c>
      <c r="Q38" s="292">
        <v>-6576</v>
      </c>
      <c r="R38" s="293">
        <f t="shared" si="5"/>
        <v>0</v>
      </c>
    </row>
    <row r="39" spans="1:63" s="8" customFormat="1" x14ac:dyDescent="0.2">
      <c r="A39" s="54" t="s">
        <v>112</v>
      </c>
      <c r="B39" s="190">
        <f t="shared" ref="B39:F39" si="6">SUM(B8:B38)</f>
        <v>6022.1680000000015</v>
      </c>
      <c r="C39" s="190">
        <f t="shared" si="6"/>
        <v>39050.46550057143</v>
      </c>
      <c r="D39" s="190">
        <f t="shared" si="6"/>
        <v>25354.029259999996</v>
      </c>
      <c r="E39" s="190">
        <f t="shared" si="6"/>
        <v>42732.337239428569</v>
      </c>
      <c r="F39" s="190">
        <f t="shared" si="6"/>
        <v>113159</v>
      </c>
      <c r="G39" s="190">
        <f t="shared" ref="G39:L39" si="7">SUM(G8:G38)</f>
        <v>-8005</v>
      </c>
      <c r="H39" s="190">
        <f t="shared" si="7"/>
        <v>21798</v>
      </c>
      <c r="I39" s="190">
        <f t="shared" si="7"/>
        <v>33058</v>
      </c>
      <c r="J39" s="190">
        <f t="shared" si="7"/>
        <v>45584.475935178678</v>
      </c>
      <c r="K39" s="190">
        <f t="shared" si="7"/>
        <v>92435.475935178692</v>
      </c>
      <c r="L39" s="190">
        <f t="shared" si="7"/>
        <v>8342.6264351786813</v>
      </c>
      <c r="M39" s="190">
        <f>SUM(M8:M38)</f>
        <v>39373.828294821324</v>
      </c>
      <c r="N39" s="190">
        <f>SUM(N8:N38)</f>
        <v>58237.828320000001</v>
      </c>
      <c r="O39" s="190">
        <f>SUM(O8:O38)</f>
        <v>62465.716950000002</v>
      </c>
      <c r="P39" s="190">
        <f>SUM(P8:P38)</f>
        <v>168420</v>
      </c>
      <c r="Q39" s="304">
        <f>SUM(Q8:Q38)</f>
        <v>-13555</v>
      </c>
      <c r="R39" s="293">
        <f t="shared" si="5"/>
        <v>0</v>
      </c>
      <c r="S39" s="28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x14ac:dyDescent="0.2">
      <c r="A40" s="16"/>
      <c r="B40" s="255"/>
      <c r="C40" s="255"/>
      <c r="D40" s="255"/>
      <c r="E40" s="255"/>
      <c r="F40" s="255"/>
      <c r="K40" s="255"/>
      <c r="L40" s="255"/>
      <c r="M40" s="255"/>
      <c r="N40" s="255"/>
      <c r="O40" s="255"/>
      <c r="P40" s="255"/>
      <c r="Q40" s="292"/>
      <c r="T40" s="103"/>
    </row>
    <row r="41" spans="1:63" x14ac:dyDescent="0.2">
      <c r="A41" s="52" t="s">
        <v>113</v>
      </c>
      <c r="B41" s="192">
        <f t="shared" ref="B41:Q41" si="8">SUM(B39:B39)</f>
        <v>6022.1680000000015</v>
      </c>
      <c r="C41" s="192">
        <f t="shared" si="8"/>
        <v>39050.46550057143</v>
      </c>
      <c r="D41" s="192">
        <f t="shared" si="8"/>
        <v>25354.029259999996</v>
      </c>
      <c r="E41" s="192">
        <f t="shared" si="8"/>
        <v>42732.337239428569</v>
      </c>
      <c r="F41" s="192">
        <f t="shared" si="8"/>
        <v>113159</v>
      </c>
      <c r="G41" s="192">
        <f t="shared" si="8"/>
        <v>-8005</v>
      </c>
      <c r="H41" s="192">
        <f t="shared" si="8"/>
        <v>21798</v>
      </c>
      <c r="I41" s="192">
        <f t="shared" si="8"/>
        <v>33058</v>
      </c>
      <c r="J41" s="192">
        <f t="shared" si="8"/>
        <v>45584.475935178678</v>
      </c>
      <c r="K41" s="192">
        <f t="shared" si="8"/>
        <v>92435.475935178692</v>
      </c>
      <c r="L41" s="192">
        <f t="shared" si="8"/>
        <v>8342.6264351786813</v>
      </c>
      <c r="M41" s="192">
        <f t="shared" si="8"/>
        <v>39373.828294821324</v>
      </c>
      <c r="N41" s="192">
        <f t="shared" si="8"/>
        <v>58237.828320000001</v>
      </c>
      <c r="O41" s="192">
        <f t="shared" si="8"/>
        <v>62465.716950000002</v>
      </c>
      <c r="P41" s="192">
        <f t="shared" si="8"/>
        <v>168420</v>
      </c>
      <c r="Q41" s="192">
        <f t="shared" si="8"/>
        <v>-13555</v>
      </c>
    </row>
    <row r="42" spans="1:63" x14ac:dyDescent="0.2">
      <c r="A42" s="17" t="s">
        <v>21</v>
      </c>
      <c r="B42" s="255"/>
      <c r="C42" s="255"/>
      <c r="D42" s="255"/>
      <c r="E42" s="255"/>
      <c r="F42" s="255"/>
      <c r="K42" s="255"/>
      <c r="L42" s="255"/>
      <c r="M42" s="255"/>
      <c r="N42" s="255"/>
      <c r="O42" s="255"/>
      <c r="P42" s="255"/>
      <c r="Q42" s="292"/>
    </row>
    <row r="43" spans="1:63" x14ac:dyDescent="0.2">
      <c r="A43" s="13" t="s">
        <v>114</v>
      </c>
      <c r="B43" s="255"/>
      <c r="C43" s="255"/>
      <c r="D43" s="255"/>
      <c r="E43" s="255"/>
      <c r="F43" s="255"/>
      <c r="K43" s="255"/>
      <c r="L43" s="255"/>
      <c r="M43" s="255"/>
      <c r="N43" s="255"/>
      <c r="O43" s="255"/>
      <c r="P43" s="255"/>
      <c r="Q43" s="292"/>
    </row>
    <row r="44" spans="1:63" x14ac:dyDescent="0.2">
      <c r="A44" s="15" t="s">
        <v>187</v>
      </c>
      <c r="B44" s="255">
        <v>-10114</v>
      </c>
      <c r="C44" s="255">
        <v>-10333</v>
      </c>
      <c r="D44" s="255">
        <v>-6312</v>
      </c>
      <c r="E44" s="255">
        <v>-8395</v>
      </c>
      <c r="F44" s="255">
        <v>-35154</v>
      </c>
      <c r="G44" s="235">
        <v>-12680</v>
      </c>
      <c r="H44" s="235">
        <v>-6616</v>
      </c>
      <c r="I44" s="235">
        <v>-10774</v>
      </c>
      <c r="J44" s="235">
        <f t="shared" ref="J44:J49" si="9">+K44-SUM(G44:I44)</f>
        <v>-10367</v>
      </c>
      <c r="K44" s="255">
        <v>-40437</v>
      </c>
      <c r="L44" s="255">
        <v>-10878</v>
      </c>
      <c r="M44" s="255">
        <v>-11409</v>
      </c>
      <c r="N44" s="255">
        <v>-10021</v>
      </c>
      <c r="O44" s="255">
        <f t="shared" ref="O44:O48" si="10">+P44-SUM(L44:N44)</f>
        <v>-7830</v>
      </c>
      <c r="P44" s="255">
        <v>-40138</v>
      </c>
      <c r="Q44" s="292">
        <v>-12274</v>
      </c>
      <c r="R44" s="293">
        <f t="shared" ref="R44:R50" si="11">SUM(L44:O44)-P44</f>
        <v>0</v>
      </c>
    </row>
    <row r="45" spans="1:63" x14ac:dyDescent="0.2">
      <c r="A45" s="15" t="s">
        <v>182</v>
      </c>
      <c r="B45" s="255">
        <v>0</v>
      </c>
      <c r="C45" s="255">
        <v>0</v>
      </c>
      <c r="D45" s="255">
        <v>0</v>
      </c>
      <c r="E45" s="255">
        <v>-3000</v>
      </c>
      <c r="F45" s="255">
        <v>-3000</v>
      </c>
      <c r="G45" s="203">
        <v>0</v>
      </c>
      <c r="H45" s="203">
        <v>0</v>
      </c>
      <c r="I45" s="203">
        <v>0</v>
      </c>
      <c r="J45" s="203">
        <f t="shared" si="9"/>
        <v>0</v>
      </c>
      <c r="K45" s="255">
        <v>0</v>
      </c>
      <c r="L45" s="255">
        <v>0</v>
      </c>
      <c r="M45" s="255">
        <v>0</v>
      </c>
      <c r="N45" s="255">
        <v>0</v>
      </c>
      <c r="O45" s="255">
        <f t="shared" si="10"/>
        <v>0</v>
      </c>
      <c r="P45" s="255">
        <v>0</v>
      </c>
      <c r="Q45" s="292">
        <v>-700</v>
      </c>
      <c r="R45" s="293">
        <f t="shared" si="11"/>
        <v>0</v>
      </c>
    </row>
    <row r="46" spans="1:63" x14ac:dyDescent="0.2">
      <c r="A46" s="15" t="s">
        <v>175</v>
      </c>
      <c r="B46" s="255">
        <v>0</v>
      </c>
      <c r="C46" s="255">
        <v>0</v>
      </c>
      <c r="D46" s="255">
        <v>-724</v>
      </c>
      <c r="E46" s="255">
        <v>-22576</v>
      </c>
      <c r="F46" s="255">
        <v>-23300</v>
      </c>
      <c r="G46" s="204">
        <v>-380</v>
      </c>
      <c r="H46" s="204">
        <v>-115</v>
      </c>
      <c r="I46" s="204">
        <v>-231423</v>
      </c>
      <c r="J46" s="204">
        <f t="shared" si="9"/>
        <v>89</v>
      </c>
      <c r="K46" s="255">
        <v>-231829</v>
      </c>
      <c r="L46" s="255">
        <v>0</v>
      </c>
      <c r="M46" s="255">
        <v>0</v>
      </c>
      <c r="N46" s="255">
        <v>0</v>
      </c>
      <c r="O46" s="255">
        <f t="shared" si="10"/>
        <v>0</v>
      </c>
      <c r="P46" s="255">
        <v>0</v>
      </c>
      <c r="Q46" s="292">
        <v>0</v>
      </c>
      <c r="R46" s="293">
        <f>SUM(L46:O46)-P46</f>
        <v>0</v>
      </c>
    </row>
    <row r="47" spans="1:63" x14ac:dyDescent="0.2">
      <c r="A47" s="15" t="s">
        <v>223</v>
      </c>
      <c r="B47" s="33"/>
      <c r="C47" s="33"/>
      <c r="D47" s="33"/>
      <c r="E47" s="33"/>
      <c r="F47" s="33"/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255">
        <v>-241</v>
      </c>
      <c r="N47" s="255">
        <v>0</v>
      </c>
      <c r="O47" s="255">
        <f t="shared" si="10"/>
        <v>0</v>
      </c>
      <c r="P47" s="255">
        <v>-241</v>
      </c>
      <c r="Q47" s="292">
        <v>0</v>
      </c>
      <c r="R47" s="293">
        <f t="shared" si="11"/>
        <v>0</v>
      </c>
    </row>
    <row r="48" spans="1:63" x14ac:dyDescent="0.2">
      <c r="A48" s="15" t="s">
        <v>119</v>
      </c>
      <c r="B48" s="255">
        <v>-129837</v>
      </c>
      <c r="C48" s="255">
        <v>-39585</v>
      </c>
      <c r="D48" s="255">
        <v>-28475</v>
      </c>
      <c r="E48" s="255">
        <v>-204824</v>
      </c>
      <c r="F48" s="255">
        <v>-402721</v>
      </c>
      <c r="G48" s="204">
        <v>-20310</v>
      </c>
      <c r="H48" s="204">
        <v>-20353</v>
      </c>
      <c r="I48" s="204">
        <v>-17294</v>
      </c>
      <c r="J48" s="204">
        <f t="shared" si="9"/>
        <v>-75477</v>
      </c>
      <c r="K48" s="255">
        <v>-133434</v>
      </c>
      <c r="L48" s="255">
        <v>-47683</v>
      </c>
      <c r="M48" s="255">
        <v>-20505</v>
      </c>
      <c r="N48" s="255">
        <v>-49746</v>
      </c>
      <c r="O48" s="255">
        <f t="shared" si="10"/>
        <v>-70040</v>
      </c>
      <c r="P48" s="255">
        <v>-187974</v>
      </c>
      <c r="Q48" s="292">
        <v>-23830</v>
      </c>
      <c r="R48" s="293">
        <f t="shared" si="11"/>
        <v>0</v>
      </c>
    </row>
    <row r="49" spans="1:206" x14ac:dyDescent="0.2">
      <c r="A49" s="15" t="s">
        <v>120</v>
      </c>
      <c r="B49" s="255">
        <v>22879</v>
      </c>
      <c r="C49" s="255">
        <v>16596</v>
      </c>
      <c r="D49" s="255">
        <v>14763</v>
      </c>
      <c r="E49" s="255">
        <v>187201</v>
      </c>
      <c r="F49" s="255">
        <v>241439</v>
      </c>
      <c r="G49" s="204">
        <v>30358</v>
      </c>
      <c r="H49" s="204">
        <v>30453</v>
      </c>
      <c r="I49" s="204">
        <v>18725</v>
      </c>
      <c r="J49" s="204">
        <f t="shared" si="9"/>
        <v>48672</v>
      </c>
      <c r="K49" s="255">
        <v>128208</v>
      </c>
      <c r="L49" s="255">
        <v>21361</v>
      </c>
      <c r="M49" s="255">
        <v>70308</v>
      </c>
      <c r="N49" s="255">
        <v>37474</v>
      </c>
      <c r="O49" s="255">
        <f>+P49-SUM(L49:N49)</f>
        <v>47825</v>
      </c>
      <c r="P49" s="255">
        <v>176968</v>
      </c>
      <c r="Q49" s="292">
        <v>72844</v>
      </c>
      <c r="R49" s="293">
        <f t="shared" si="11"/>
        <v>0</v>
      </c>
    </row>
    <row r="50" spans="1:206" s="8" customFormat="1" x14ac:dyDescent="0.2">
      <c r="A50" s="54" t="s">
        <v>78</v>
      </c>
      <c r="B50" s="190">
        <f t="shared" ref="B50:F50" si="12">SUM(B44:B49)</f>
        <v>-117072</v>
      </c>
      <c r="C50" s="190">
        <f t="shared" si="12"/>
        <v>-33322</v>
      </c>
      <c r="D50" s="190">
        <f t="shared" si="12"/>
        <v>-20748</v>
      </c>
      <c r="E50" s="190">
        <f t="shared" si="12"/>
        <v>-51594</v>
      </c>
      <c r="F50" s="190">
        <f t="shared" si="12"/>
        <v>-222736</v>
      </c>
      <c r="G50" s="190">
        <f t="shared" ref="G50:M50" si="13">SUM(G44:G49)</f>
        <v>-3012</v>
      </c>
      <c r="H50" s="190">
        <f t="shared" si="13"/>
        <v>3369</v>
      </c>
      <c r="I50" s="190">
        <f t="shared" si="13"/>
        <v>-240766</v>
      </c>
      <c r="J50" s="190">
        <f t="shared" si="13"/>
        <v>-37083</v>
      </c>
      <c r="K50" s="190">
        <f t="shared" si="13"/>
        <v>-277492</v>
      </c>
      <c r="L50" s="190">
        <f t="shared" si="13"/>
        <v>-37200</v>
      </c>
      <c r="M50" s="190">
        <f t="shared" si="13"/>
        <v>38153</v>
      </c>
      <c r="N50" s="190">
        <f t="shared" ref="N50:O50" si="14">SUM(N44:N49)</f>
        <v>-22293</v>
      </c>
      <c r="O50" s="190">
        <f t="shared" si="14"/>
        <v>-30045</v>
      </c>
      <c r="P50" s="190">
        <f t="shared" ref="P50:Q50" si="15">SUM(P44:P49)</f>
        <v>-51385</v>
      </c>
      <c r="Q50" s="304">
        <f t="shared" si="15"/>
        <v>36040</v>
      </c>
      <c r="R50" s="293">
        <f t="shared" si="11"/>
        <v>0</v>
      </c>
      <c r="S50" s="28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206" s="8" customFormat="1" x14ac:dyDescent="0.2">
      <c r="A51" s="55" t="s">
        <v>79</v>
      </c>
      <c r="B51" s="205">
        <v>0</v>
      </c>
      <c r="C51" s="205">
        <v>0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  <c r="P51" s="205">
        <v>0</v>
      </c>
      <c r="Q51" s="305">
        <v>0</v>
      </c>
      <c r="R51" s="1"/>
      <c r="S51" s="28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206" x14ac:dyDescent="0.2">
      <c r="A52" s="16"/>
      <c r="B52" s="188"/>
      <c r="C52" s="188"/>
      <c r="D52" s="188"/>
      <c r="E52" s="188"/>
      <c r="K52" s="188"/>
      <c r="L52" s="188"/>
      <c r="M52" s="188"/>
      <c r="N52" s="282"/>
      <c r="O52" s="282"/>
      <c r="P52" s="282"/>
      <c r="Q52" s="306"/>
    </row>
    <row r="53" spans="1:206" x14ac:dyDescent="0.2">
      <c r="A53" s="52" t="s">
        <v>212</v>
      </c>
      <c r="B53" s="192">
        <f t="shared" ref="B53:F53" si="16">SUM(B50:B51)</f>
        <v>-117072</v>
      </c>
      <c r="C53" s="192">
        <f t="shared" si="16"/>
        <v>-33322</v>
      </c>
      <c r="D53" s="192">
        <f t="shared" si="16"/>
        <v>-20748</v>
      </c>
      <c r="E53" s="192">
        <f t="shared" si="16"/>
        <v>-51594</v>
      </c>
      <c r="F53" s="192">
        <f t="shared" si="16"/>
        <v>-222736</v>
      </c>
      <c r="G53" s="192">
        <f t="shared" ref="G53" si="17">SUM(G50:G51)</f>
        <v>-3012</v>
      </c>
      <c r="H53" s="192">
        <f t="shared" ref="H53:I53" si="18">SUM(H50:H51)</f>
        <v>3369</v>
      </c>
      <c r="I53" s="192">
        <f t="shared" si="18"/>
        <v>-240766</v>
      </c>
      <c r="J53" s="192">
        <f t="shared" ref="J53:K53" si="19">SUM(J50:J51)</f>
        <v>-37083</v>
      </c>
      <c r="K53" s="192">
        <f t="shared" si="19"/>
        <v>-277492</v>
      </c>
      <c r="L53" s="192">
        <f t="shared" ref="L53:M53" si="20">SUM(L50:L51)</f>
        <v>-37200</v>
      </c>
      <c r="M53" s="192">
        <f t="shared" si="20"/>
        <v>38153</v>
      </c>
      <c r="N53" s="192">
        <f t="shared" ref="N53:O53" si="21">SUM(N50:N51)</f>
        <v>-22293</v>
      </c>
      <c r="O53" s="192">
        <f t="shared" si="21"/>
        <v>-30045</v>
      </c>
      <c r="P53" s="192">
        <f t="shared" ref="P53:Q53" si="22">SUM(P50:P51)</f>
        <v>-51385</v>
      </c>
      <c r="Q53" s="192">
        <f t="shared" si="22"/>
        <v>36040</v>
      </c>
      <c r="R53" s="293">
        <f t="shared" ref="R53" si="23">SUM(L53:O53)-P53</f>
        <v>0</v>
      </c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</row>
    <row r="54" spans="1:206" x14ac:dyDescent="0.2">
      <c r="A54" s="17" t="s">
        <v>21</v>
      </c>
      <c r="B54" s="255"/>
      <c r="C54" s="255"/>
      <c r="D54" s="255"/>
      <c r="E54" s="255"/>
      <c r="F54" s="255"/>
      <c r="K54" s="255"/>
      <c r="L54" s="255"/>
      <c r="M54" s="255"/>
      <c r="N54" s="255"/>
      <c r="O54" s="255"/>
      <c r="P54" s="255"/>
      <c r="Q54" s="292"/>
    </row>
    <row r="55" spans="1:206" x14ac:dyDescent="0.2">
      <c r="A55" s="13" t="s">
        <v>115</v>
      </c>
      <c r="B55" s="255"/>
      <c r="C55" s="255"/>
      <c r="D55" s="255"/>
      <c r="E55" s="255"/>
      <c r="F55" s="255"/>
      <c r="K55" s="255"/>
      <c r="L55" s="255"/>
      <c r="M55" s="255"/>
      <c r="N55" s="255"/>
      <c r="O55" s="255"/>
      <c r="P55" s="255"/>
      <c r="Q55" s="292"/>
    </row>
    <row r="56" spans="1:206" x14ac:dyDescent="0.2">
      <c r="A56" s="15" t="s">
        <v>40</v>
      </c>
      <c r="B56" s="255">
        <v>0</v>
      </c>
      <c r="C56" s="255">
        <v>0</v>
      </c>
      <c r="D56" s="255">
        <v>0</v>
      </c>
      <c r="E56" s="255">
        <v>0</v>
      </c>
      <c r="F56" s="255">
        <v>0</v>
      </c>
      <c r="G56" s="206">
        <v>0</v>
      </c>
      <c r="H56" s="206">
        <v>0</v>
      </c>
      <c r="I56" s="206">
        <v>0</v>
      </c>
      <c r="J56" s="206">
        <f t="shared" ref="J56:J70" si="24">+K56-SUM(G56:I56)</f>
        <v>0</v>
      </c>
      <c r="K56" s="255">
        <v>0</v>
      </c>
      <c r="L56" s="255">
        <v>0</v>
      </c>
      <c r="M56" s="255">
        <v>0</v>
      </c>
      <c r="N56" s="255">
        <v>0</v>
      </c>
      <c r="O56" s="255">
        <f t="shared" ref="O56:O70" si="25">+P56-SUM(L56:N56)</f>
        <v>0</v>
      </c>
      <c r="P56" s="255">
        <v>0</v>
      </c>
      <c r="Q56" s="292">
        <v>0</v>
      </c>
      <c r="R56" s="293">
        <f t="shared" ref="R56:R71" si="26">SUM(L56:O56)-P56</f>
        <v>0</v>
      </c>
      <c r="S56" s="147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206" x14ac:dyDescent="0.2">
      <c r="A57" s="15" t="s">
        <v>188</v>
      </c>
      <c r="B57" s="255">
        <v>0</v>
      </c>
      <c r="C57" s="255">
        <v>0</v>
      </c>
      <c r="D57" s="255">
        <v>0</v>
      </c>
      <c r="E57" s="255">
        <v>60574</v>
      </c>
      <c r="F57" s="255">
        <v>60574</v>
      </c>
      <c r="G57" s="236">
        <v>12000</v>
      </c>
      <c r="H57" s="236">
        <v>0</v>
      </c>
      <c r="I57" s="236">
        <v>233000</v>
      </c>
      <c r="J57" s="236">
        <f t="shared" si="24"/>
        <v>1614</v>
      </c>
      <c r="K57" s="255">
        <v>246614</v>
      </c>
      <c r="L57" s="255">
        <v>46000</v>
      </c>
      <c r="M57" s="255">
        <v>0</v>
      </c>
      <c r="N57" s="255">
        <v>0</v>
      </c>
      <c r="O57" s="255">
        <f t="shared" si="25"/>
        <v>0</v>
      </c>
      <c r="P57" s="255">
        <v>46000</v>
      </c>
      <c r="Q57" s="292">
        <v>110000</v>
      </c>
      <c r="R57" s="293">
        <f t="shared" si="26"/>
        <v>0</v>
      </c>
      <c r="S57" s="147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206" x14ac:dyDescent="0.2">
      <c r="A58" s="15" t="s">
        <v>189</v>
      </c>
      <c r="B58" s="255">
        <v>0</v>
      </c>
      <c r="C58" s="255">
        <v>0</v>
      </c>
      <c r="D58" s="255">
        <v>0</v>
      </c>
      <c r="E58" s="255">
        <v>-45192</v>
      </c>
      <c r="F58" s="255">
        <v>-45192</v>
      </c>
      <c r="G58" s="236">
        <v>-5036</v>
      </c>
      <c r="H58" s="236">
        <v>-29</v>
      </c>
      <c r="I58" s="236">
        <v>-18</v>
      </c>
      <c r="J58" s="236">
        <f t="shared" si="24"/>
        <v>-150126</v>
      </c>
      <c r="K58" s="255">
        <v>-155209</v>
      </c>
      <c r="L58" s="255">
        <v>-10572</v>
      </c>
      <c r="M58" s="255">
        <v>-69018</v>
      </c>
      <c r="N58" s="255">
        <v>-8173</v>
      </c>
      <c r="O58" s="255">
        <f t="shared" si="25"/>
        <v>-10484</v>
      </c>
      <c r="P58" s="255">
        <v>-98247</v>
      </c>
      <c r="Q58" s="292">
        <v>-10201</v>
      </c>
      <c r="R58" s="293">
        <f t="shared" si="26"/>
        <v>0</v>
      </c>
      <c r="S58" s="147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206" x14ac:dyDescent="0.2">
      <c r="A59" s="15" t="s">
        <v>206</v>
      </c>
      <c r="B59" s="255"/>
      <c r="C59" s="255"/>
      <c r="D59" s="255"/>
      <c r="E59" s="255"/>
      <c r="F59" s="255"/>
      <c r="G59" s="236"/>
      <c r="H59" s="236"/>
      <c r="I59" s="236"/>
      <c r="J59" s="236">
        <f t="shared" si="24"/>
        <v>149000</v>
      </c>
      <c r="K59" s="255">
        <v>149000</v>
      </c>
      <c r="L59" s="255">
        <v>0</v>
      </c>
      <c r="M59" s="255">
        <v>0</v>
      </c>
      <c r="N59" s="255">
        <v>0</v>
      </c>
      <c r="O59" s="255">
        <f t="shared" si="25"/>
        <v>0</v>
      </c>
      <c r="P59" s="255">
        <v>0</v>
      </c>
      <c r="Q59" s="292">
        <v>0</v>
      </c>
      <c r="R59" s="293">
        <f t="shared" si="26"/>
        <v>0</v>
      </c>
      <c r="S59" s="147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206" x14ac:dyDescent="0.2">
      <c r="A60" s="15" t="s">
        <v>138</v>
      </c>
      <c r="B60" s="255">
        <v>0</v>
      </c>
      <c r="C60" s="255">
        <v>0</v>
      </c>
      <c r="D60" s="255">
        <v>0</v>
      </c>
      <c r="E60" s="255">
        <v>-790</v>
      </c>
      <c r="F60" s="255">
        <v>-790</v>
      </c>
      <c r="G60" s="203">
        <v>0</v>
      </c>
      <c r="H60" s="203">
        <v>0</v>
      </c>
      <c r="I60" s="203">
        <v>0</v>
      </c>
      <c r="J60" s="203">
        <f t="shared" si="24"/>
        <v>-762</v>
      </c>
      <c r="K60" s="255">
        <v>-762</v>
      </c>
      <c r="L60" s="255">
        <v>-97</v>
      </c>
      <c r="M60" s="255">
        <v>-20</v>
      </c>
      <c r="N60" s="255">
        <v>0</v>
      </c>
      <c r="O60" s="255">
        <f>+P60-SUM(L60:N60)</f>
        <v>0</v>
      </c>
      <c r="P60" s="255">
        <v>-117</v>
      </c>
      <c r="Q60" s="292">
        <v>0</v>
      </c>
      <c r="R60" s="293">
        <f t="shared" si="26"/>
        <v>0</v>
      </c>
      <c r="S60" s="147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206" x14ac:dyDescent="0.2">
      <c r="A61" s="15" t="s">
        <v>41</v>
      </c>
      <c r="B61" s="255">
        <v>-43</v>
      </c>
      <c r="C61" s="255">
        <v>-51</v>
      </c>
      <c r="D61" s="255">
        <v>-39</v>
      </c>
      <c r="E61" s="255">
        <v>-41</v>
      </c>
      <c r="F61" s="255">
        <v>-174</v>
      </c>
      <c r="G61" s="236">
        <v>-42</v>
      </c>
      <c r="H61" s="236">
        <v>-41</v>
      </c>
      <c r="I61" s="236">
        <v>-22</v>
      </c>
      <c r="J61" s="236">
        <f t="shared" si="24"/>
        <v>-47</v>
      </c>
      <c r="K61" s="255">
        <v>-152</v>
      </c>
      <c r="L61" s="255">
        <v>-137</v>
      </c>
      <c r="M61" s="255">
        <v>-70</v>
      </c>
      <c r="N61" s="255">
        <v>-67</v>
      </c>
      <c r="O61" s="255">
        <f t="shared" si="25"/>
        <v>-62</v>
      </c>
      <c r="P61" s="255">
        <v>-336</v>
      </c>
      <c r="Q61" s="292">
        <v>-67</v>
      </c>
      <c r="R61" s="293">
        <f t="shared" si="26"/>
        <v>0</v>
      </c>
      <c r="S61" s="147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206" x14ac:dyDescent="0.2">
      <c r="A62" s="15" t="s">
        <v>42</v>
      </c>
      <c r="B62" s="203">
        <v>0</v>
      </c>
      <c r="C62" s="203">
        <v>0</v>
      </c>
      <c r="D62" s="203">
        <v>0</v>
      </c>
      <c r="E62" s="203">
        <v>0</v>
      </c>
      <c r="F62" s="203">
        <v>0</v>
      </c>
      <c r="G62" s="203">
        <v>0</v>
      </c>
      <c r="H62" s="203">
        <v>0</v>
      </c>
      <c r="I62" s="203">
        <v>0</v>
      </c>
      <c r="J62" s="203">
        <f t="shared" si="24"/>
        <v>0</v>
      </c>
      <c r="K62" s="203">
        <v>0</v>
      </c>
      <c r="L62" s="203">
        <v>0</v>
      </c>
      <c r="M62" s="203">
        <v>0</v>
      </c>
      <c r="N62" s="203">
        <v>0</v>
      </c>
      <c r="O62" s="203">
        <f t="shared" si="25"/>
        <v>0</v>
      </c>
      <c r="P62" s="203">
        <v>0</v>
      </c>
      <c r="Q62" s="203">
        <v>0</v>
      </c>
      <c r="R62" s="293">
        <f t="shared" si="26"/>
        <v>0</v>
      </c>
      <c r="S62" s="147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206" x14ac:dyDescent="0.2">
      <c r="A63" s="15" t="s">
        <v>55</v>
      </c>
      <c r="B63" s="203">
        <v>0</v>
      </c>
      <c r="C63" s="203">
        <v>0</v>
      </c>
      <c r="D63" s="203">
        <v>0</v>
      </c>
      <c r="E63" s="203">
        <v>0</v>
      </c>
      <c r="F63" s="203">
        <v>0</v>
      </c>
      <c r="G63" s="203">
        <v>0</v>
      </c>
      <c r="H63" s="203">
        <v>0</v>
      </c>
      <c r="I63" s="203">
        <v>0</v>
      </c>
      <c r="J63" s="203">
        <f t="shared" si="24"/>
        <v>0</v>
      </c>
      <c r="K63" s="203">
        <v>0</v>
      </c>
      <c r="L63" s="203">
        <v>0</v>
      </c>
      <c r="M63" s="203">
        <v>0</v>
      </c>
      <c r="N63" s="203">
        <v>0</v>
      </c>
      <c r="O63" s="203">
        <f t="shared" si="25"/>
        <v>0</v>
      </c>
      <c r="P63" s="203">
        <v>0</v>
      </c>
      <c r="Q63" s="203">
        <v>0</v>
      </c>
      <c r="R63" s="293">
        <f t="shared" si="26"/>
        <v>0</v>
      </c>
      <c r="S63" s="147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206" x14ac:dyDescent="0.2">
      <c r="A64" s="15" t="s">
        <v>54</v>
      </c>
      <c r="B64" s="203">
        <v>0</v>
      </c>
      <c r="C64" s="203">
        <v>0</v>
      </c>
      <c r="D64" s="203">
        <v>0</v>
      </c>
      <c r="E64" s="203">
        <v>0</v>
      </c>
      <c r="F64" s="203">
        <v>0</v>
      </c>
      <c r="G64" s="203">
        <v>0</v>
      </c>
      <c r="H64" s="203">
        <v>0</v>
      </c>
      <c r="I64" s="203">
        <v>0</v>
      </c>
      <c r="J64" s="203">
        <f t="shared" si="24"/>
        <v>0</v>
      </c>
      <c r="K64" s="203">
        <v>0</v>
      </c>
      <c r="L64" s="203">
        <v>0</v>
      </c>
      <c r="M64" s="203">
        <v>0</v>
      </c>
      <c r="N64" s="203">
        <v>0</v>
      </c>
      <c r="O64" s="203">
        <f t="shared" si="25"/>
        <v>0</v>
      </c>
      <c r="P64" s="203">
        <v>0</v>
      </c>
      <c r="Q64" s="203">
        <v>0</v>
      </c>
      <c r="R64" s="293">
        <f t="shared" si="26"/>
        <v>0</v>
      </c>
      <c r="S64" s="147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15" t="s">
        <v>43</v>
      </c>
      <c r="B65" s="255">
        <v>191</v>
      </c>
      <c r="C65" s="255">
        <v>1587</v>
      </c>
      <c r="D65" s="255">
        <v>2497</v>
      </c>
      <c r="E65" s="255">
        <v>4286</v>
      </c>
      <c r="F65" s="255">
        <v>8561</v>
      </c>
      <c r="G65" s="236">
        <v>431</v>
      </c>
      <c r="H65" s="236">
        <v>0</v>
      </c>
      <c r="I65" s="236">
        <v>653</v>
      </c>
      <c r="J65" s="236">
        <f t="shared" si="24"/>
        <v>313</v>
      </c>
      <c r="K65" s="255">
        <v>1397</v>
      </c>
      <c r="L65" s="255">
        <v>22</v>
      </c>
      <c r="M65" s="255">
        <v>316</v>
      </c>
      <c r="N65" s="255">
        <v>0</v>
      </c>
      <c r="O65" s="255">
        <f t="shared" si="25"/>
        <v>649</v>
      </c>
      <c r="P65" s="255">
        <v>987</v>
      </c>
      <c r="Q65" s="292">
        <v>921</v>
      </c>
      <c r="R65" s="293">
        <f t="shared" si="26"/>
        <v>0</v>
      </c>
      <c r="S65" s="147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15" t="s">
        <v>56</v>
      </c>
      <c r="B66" s="203">
        <v>0</v>
      </c>
      <c r="C66" s="203">
        <v>0</v>
      </c>
      <c r="D66" s="203">
        <v>0</v>
      </c>
      <c r="E66" s="203">
        <v>0</v>
      </c>
      <c r="F66" s="203">
        <v>0</v>
      </c>
      <c r="G66" s="203">
        <v>0</v>
      </c>
      <c r="H66" s="203">
        <v>0</v>
      </c>
      <c r="I66" s="203">
        <v>0</v>
      </c>
      <c r="J66" s="203">
        <f t="shared" si="24"/>
        <v>0</v>
      </c>
      <c r="K66" s="203">
        <v>0</v>
      </c>
      <c r="L66" s="203">
        <v>0</v>
      </c>
      <c r="M66" s="203">
        <v>0</v>
      </c>
      <c r="N66" s="203">
        <v>0</v>
      </c>
      <c r="O66" s="203">
        <f t="shared" si="25"/>
        <v>0</v>
      </c>
      <c r="P66" s="203">
        <v>0</v>
      </c>
      <c r="Q66" s="203">
        <v>0</v>
      </c>
      <c r="R66" s="293">
        <f t="shared" si="26"/>
        <v>0</v>
      </c>
      <c r="S66" s="147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5.5" x14ac:dyDescent="0.2">
      <c r="A67" s="20" t="s">
        <v>139</v>
      </c>
      <c r="B67" s="203">
        <v>0</v>
      </c>
      <c r="C67" s="203">
        <v>0</v>
      </c>
      <c r="D67" s="203">
        <v>0</v>
      </c>
      <c r="E67" s="203">
        <v>0</v>
      </c>
      <c r="F67" s="203">
        <v>0</v>
      </c>
      <c r="G67" s="203">
        <v>0</v>
      </c>
      <c r="H67" s="203">
        <v>0</v>
      </c>
      <c r="I67" s="203">
        <v>0</v>
      </c>
      <c r="J67" s="203">
        <f t="shared" si="24"/>
        <v>0</v>
      </c>
      <c r="K67" s="203">
        <v>0</v>
      </c>
      <c r="L67" s="203">
        <v>0</v>
      </c>
      <c r="M67" s="203">
        <v>0</v>
      </c>
      <c r="N67" s="203">
        <v>0</v>
      </c>
      <c r="O67" s="203">
        <f t="shared" si="25"/>
        <v>0</v>
      </c>
      <c r="P67" s="203">
        <v>0</v>
      </c>
      <c r="Q67" s="203">
        <v>0</v>
      </c>
      <c r="R67" s="293">
        <f t="shared" si="26"/>
        <v>0</v>
      </c>
      <c r="S67" s="147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15" t="s">
        <v>123</v>
      </c>
      <c r="B68" s="203">
        <v>0</v>
      </c>
      <c r="C68" s="203">
        <v>0</v>
      </c>
      <c r="D68" s="203">
        <v>0</v>
      </c>
      <c r="E68" s="203">
        <v>0</v>
      </c>
      <c r="F68" s="203">
        <v>0</v>
      </c>
      <c r="G68" s="203">
        <v>0</v>
      </c>
      <c r="H68" s="203">
        <v>0</v>
      </c>
      <c r="I68" s="203">
        <v>0</v>
      </c>
      <c r="J68" s="203">
        <f t="shared" si="24"/>
        <v>0</v>
      </c>
      <c r="K68" s="203">
        <v>0</v>
      </c>
      <c r="L68" s="203">
        <v>0</v>
      </c>
      <c r="M68" s="203">
        <v>0</v>
      </c>
      <c r="N68" s="203">
        <v>0</v>
      </c>
      <c r="O68" s="203">
        <f t="shared" si="25"/>
        <v>0</v>
      </c>
      <c r="P68" s="203">
        <v>0</v>
      </c>
      <c r="Q68" s="203">
        <v>0</v>
      </c>
      <c r="R68" s="293">
        <f t="shared" si="26"/>
        <v>0</v>
      </c>
      <c r="S68" s="147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15" t="s">
        <v>157</v>
      </c>
      <c r="B69" s="203">
        <v>0</v>
      </c>
      <c r="C69" s="203">
        <v>0</v>
      </c>
      <c r="D69" s="203">
        <v>0</v>
      </c>
      <c r="E69" s="203">
        <v>0</v>
      </c>
      <c r="F69" s="203">
        <v>0</v>
      </c>
      <c r="G69" s="203">
        <v>0</v>
      </c>
      <c r="H69" s="203">
        <v>0</v>
      </c>
      <c r="I69" s="203">
        <v>0</v>
      </c>
      <c r="J69" s="203">
        <f t="shared" si="24"/>
        <v>0</v>
      </c>
      <c r="K69" s="203">
        <v>0</v>
      </c>
      <c r="L69" s="203">
        <v>0</v>
      </c>
      <c r="M69" s="203">
        <v>0</v>
      </c>
      <c r="N69" s="203">
        <v>0</v>
      </c>
      <c r="O69" s="203">
        <f t="shared" si="25"/>
        <v>0</v>
      </c>
      <c r="P69" s="203">
        <v>0</v>
      </c>
      <c r="Q69" s="203">
        <v>0</v>
      </c>
      <c r="R69" s="293">
        <f t="shared" si="26"/>
        <v>0</v>
      </c>
      <c r="S69" s="147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15" t="s">
        <v>44</v>
      </c>
      <c r="B70" s="255">
        <v>-11913</v>
      </c>
      <c r="C70" s="255">
        <v>-11419</v>
      </c>
      <c r="D70" s="255">
        <v>-9004</v>
      </c>
      <c r="E70" s="255">
        <v>-11118</v>
      </c>
      <c r="F70" s="255">
        <v>-43454</v>
      </c>
      <c r="G70" s="236">
        <v>-13504</v>
      </c>
      <c r="H70" s="236">
        <v>-9632</v>
      </c>
      <c r="I70" s="236">
        <v>-9657</v>
      </c>
      <c r="J70" s="236">
        <f t="shared" si="24"/>
        <v>-10316</v>
      </c>
      <c r="K70" s="255">
        <v>-43109</v>
      </c>
      <c r="L70" s="255">
        <v>-15408</v>
      </c>
      <c r="M70" s="255">
        <v>-12130</v>
      </c>
      <c r="N70" s="255">
        <v>-8346</v>
      </c>
      <c r="O70" s="255">
        <f t="shared" si="25"/>
        <v>-5480</v>
      </c>
      <c r="P70" s="255">
        <v>-41364</v>
      </c>
      <c r="Q70" s="292">
        <v>-13995</v>
      </c>
      <c r="R70" s="293">
        <f t="shared" si="26"/>
        <v>0</v>
      </c>
      <c r="S70" s="147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54" t="s">
        <v>80</v>
      </c>
      <c r="B71" s="190">
        <f t="shared" ref="B71:F71" si="27">SUM(B56:B70)</f>
        <v>-11765</v>
      </c>
      <c r="C71" s="190">
        <f t="shared" si="27"/>
        <v>-9883</v>
      </c>
      <c r="D71" s="190">
        <f t="shared" si="27"/>
        <v>-6546</v>
      </c>
      <c r="E71" s="190">
        <f t="shared" si="27"/>
        <v>7719</v>
      </c>
      <c r="F71" s="190">
        <f t="shared" si="27"/>
        <v>-20475</v>
      </c>
      <c r="G71" s="190">
        <f t="shared" ref="G71" si="28">SUM(G56:G70)</f>
        <v>-6151</v>
      </c>
      <c r="H71" s="190">
        <f t="shared" ref="H71:I71" si="29">SUM(H56:H70)</f>
        <v>-9702</v>
      </c>
      <c r="I71" s="190">
        <f t="shared" si="29"/>
        <v>223956</v>
      </c>
      <c r="J71" s="190">
        <f t="shared" ref="J71:K71" si="30">SUM(J56:J70)</f>
        <v>-10324</v>
      </c>
      <c r="K71" s="190">
        <f t="shared" si="30"/>
        <v>197779</v>
      </c>
      <c r="L71" s="190">
        <f t="shared" ref="L71:M71" si="31">SUM(L56:L70)</f>
        <v>19808</v>
      </c>
      <c r="M71" s="190">
        <f t="shared" si="31"/>
        <v>-80922</v>
      </c>
      <c r="N71" s="190">
        <f t="shared" ref="N71:O71" si="32">SUM(N56:N70)</f>
        <v>-16586</v>
      </c>
      <c r="O71" s="190">
        <f t="shared" si="32"/>
        <v>-15377</v>
      </c>
      <c r="P71" s="296">
        <f>SUM(P56:P70)</f>
        <v>-93077</v>
      </c>
      <c r="Q71" s="307">
        <f>SUM(Q56:Q70)</f>
        <v>86658</v>
      </c>
      <c r="R71" s="293">
        <f t="shared" si="26"/>
        <v>0</v>
      </c>
      <c r="S71" s="147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55" t="s">
        <v>81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308"/>
      <c r="R72" s="2"/>
      <c r="S72" s="147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17" t="s">
        <v>21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283"/>
      <c r="O73" s="283"/>
      <c r="P73" s="283"/>
      <c r="Q73" s="309"/>
      <c r="R73" s="2"/>
      <c r="S73" s="147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53" t="s">
        <v>76</v>
      </c>
      <c r="B74" s="192">
        <f t="shared" ref="B74:F74" si="33">SUM(B71:B72)</f>
        <v>-11765</v>
      </c>
      <c r="C74" s="192">
        <f t="shared" si="33"/>
        <v>-9883</v>
      </c>
      <c r="D74" s="192">
        <f t="shared" si="33"/>
        <v>-6546</v>
      </c>
      <c r="E74" s="192">
        <f t="shared" si="33"/>
        <v>7719</v>
      </c>
      <c r="F74" s="192">
        <f t="shared" si="33"/>
        <v>-20475</v>
      </c>
      <c r="G74" s="192">
        <f t="shared" ref="G74" si="34">SUM(G71:G72)</f>
        <v>-6151</v>
      </c>
      <c r="H74" s="192">
        <f t="shared" ref="H74:I74" si="35">SUM(H71:H72)</f>
        <v>-9702</v>
      </c>
      <c r="I74" s="192">
        <f t="shared" si="35"/>
        <v>223956</v>
      </c>
      <c r="J74" s="192">
        <f t="shared" ref="J74:K74" si="36">SUM(J71:J72)</f>
        <v>-10324</v>
      </c>
      <c r="K74" s="192">
        <f t="shared" si="36"/>
        <v>197779</v>
      </c>
      <c r="L74" s="192">
        <f t="shared" ref="L74:M74" si="37">SUM(L71:L72)</f>
        <v>19808</v>
      </c>
      <c r="M74" s="192">
        <f t="shared" si="37"/>
        <v>-80922</v>
      </c>
      <c r="N74" s="192">
        <f t="shared" ref="N74:O74" si="38">SUM(N71:N72)</f>
        <v>-16586</v>
      </c>
      <c r="O74" s="192">
        <f t="shared" si="38"/>
        <v>-15377</v>
      </c>
      <c r="P74" s="192">
        <f t="shared" ref="P74:Q74" si="39">SUM(P71:P72)</f>
        <v>-93077</v>
      </c>
      <c r="Q74" s="192">
        <f t="shared" si="39"/>
        <v>86658</v>
      </c>
      <c r="R74" s="2"/>
      <c r="S74" s="147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16"/>
      <c r="B75" s="255"/>
      <c r="C75" s="255"/>
      <c r="D75" s="255"/>
      <c r="E75" s="255"/>
      <c r="F75" s="255"/>
      <c r="G75" s="193"/>
      <c r="H75" s="193"/>
      <c r="I75" s="193"/>
      <c r="J75" s="193"/>
      <c r="K75" s="255"/>
      <c r="L75" s="255"/>
      <c r="M75" s="255"/>
      <c r="N75" s="255"/>
      <c r="O75" s="255"/>
      <c r="P75" s="255"/>
      <c r="Q75" s="292"/>
      <c r="R75" s="2"/>
      <c r="S75" s="147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16" t="s">
        <v>57</v>
      </c>
      <c r="B76" s="255">
        <v>469</v>
      </c>
      <c r="C76" s="255">
        <v>1110</v>
      </c>
      <c r="D76" s="255">
        <v>224</v>
      </c>
      <c r="E76" s="255">
        <v>2132</v>
      </c>
      <c r="F76" s="255">
        <v>3935</v>
      </c>
      <c r="G76" s="194">
        <v>-644</v>
      </c>
      <c r="H76" s="194">
        <v>-1938</v>
      </c>
      <c r="I76" s="194">
        <v>-426</v>
      </c>
      <c r="J76" s="203">
        <f t="shared" ref="J76" si="40">+K76-SUM(G76:I76)</f>
        <v>140</v>
      </c>
      <c r="K76" s="255">
        <v>-2868</v>
      </c>
      <c r="L76" s="255">
        <v>-455</v>
      </c>
      <c r="M76" s="255">
        <v>215</v>
      </c>
      <c r="N76" s="255">
        <v>-1521</v>
      </c>
      <c r="O76" s="203">
        <f>+P76-SUM(L76:N76)</f>
        <v>716</v>
      </c>
      <c r="P76" s="255">
        <v>-1045</v>
      </c>
      <c r="Q76" s="292">
        <v>-2653</v>
      </c>
      <c r="R76" s="293">
        <f t="shared" ref="R76" si="41">SUM(L76:O76)-P76</f>
        <v>0</v>
      </c>
      <c r="S76" s="147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17" t="s">
        <v>21</v>
      </c>
      <c r="B77" s="255"/>
      <c r="C77" s="255"/>
      <c r="D77" s="255"/>
      <c r="E77" s="255"/>
      <c r="F77" s="255"/>
      <c r="G77" s="193"/>
      <c r="H77" s="193"/>
      <c r="I77" s="193"/>
      <c r="J77" s="193"/>
      <c r="K77" s="255"/>
      <c r="L77" s="255"/>
      <c r="M77" s="255"/>
      <c r="N77" s="255"/>
      <c r="O77" s="255"/>
      <c r="P77" s="255"/>
      <c r="Q77" s="292"/>
      <c r="R77" s="2"/>
      <c r="S77" s="147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13" t="s">
        <v>116</v>
      </c>
      <c r="B78" s="195">
        <f t="shared" ref="B78:F78" si="42">B74+B53+B41+B76</f>
        <v>-122345.83199999999</v>
      </c>
      <c r="C78" s="195">
        <f t="shared" si="42"/>
        <v>-3044.5344994285697</v>
      </c>
      <c r="D78" s="195">
        <f t="shared" si="42"/>
        <v>-1715.9707400000043</v>
      </c>
      <c r="E78" s="195">
        <f t="shared" si="42"/>
        <v>989.33723942856886</v>
      </c>
      <c r="F78" s="195">
        <f t="shared" si="42"/>
        <v>-126117</v>
      </c>
      <c r="G78" s="195">
        <f t="shared" ref="G78:M78" si="43">G74+G53+G41+G76</f>
        <v>-17812</v>
      </c>
      <c r="H78" s="195">
        <f t="shared" si="43"/>
        <v>13527</v>
      </c>
      <c r="I78" s="195">
        <f t="shared" si="43"/>
        <v>15822</v>
      </c>
      <c r="J78" s="195">
        <f t="shared" si="43"/>
        <v>-1682.5240648213221</v>
      </c>
      <c r="K78" s="195">
        <f t="shared" si="43"/>
        <v>9854.4759351786925</v>
      </c>
      <c r="L78" s="195">
        <f t="shared" si="43"/>
        <v>-9504.3735648213187</v>
      </c>
      <c r="M78" s="195">
        <f t="shared" si="43"/>
        <v>-3180.1717051786763</v>
      </c>
      <c r="N78" s="195">
        <f t="shared" ref="N78:O78" si="44">N74+N53+N41+N76</f>
        <v>17837.828320000001</v>
      </c>
      <c r="O78" s="195">
        <f t="shared" si="44"/>
        <v>17759.716950000002</v>
      </c>
      <c r="P78" s="195">
        <f t="shared" ref="P78:Q78" si="45">P74+P53+P41+P76</f>
        <v>22913</v>
      </c>
      <c r="Q78" s="310">
        <f t="shared" si="45"/>
        <v>106490</v>
      </c>
      <c r="R78" s="2"/>
      <c r="S78" s="147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37" t="s">
        <v>117</v>
      </c>
      <c r="B79" s="196">
        <v>220394</v>
      </c>
      <c r="C79" s="196">
        <v>98048.168000000005</v>
      </c>
      <c r="D79" s="196">
        <v>95003.633500571435</v>
      </c>
      <c r="E79" s="196">
        <v>93287.662760571431</v>
      </c>
      <c r="F79" s="196">
        <v>220394</v>
      </c>
      <c r="G79" s="196">
        <f>F81</f>
        <v>94277</v>
      </c>
      <c r="H79" s="196">
        <f>G83</f>
        <v>76465</v>
      </c>
      <c r="I79" s="196">
        <f>H83</f>
        <v>89992</v>
      </c>
      <c r="J79" s="196">
        <f>I83</f>
        <v>105814</v>
      </c>
      <c r="K79" s="196">
        <f>F81</f>
        <v>94277</v>
      </c>
      <c r="L79" s="196">
        <f>J81</f>
        <v>104131.47593517868</v>
      </c>
      <c r="M79" s="196">
        <f>L81</f>
        <v>94627.102370357359</v>
      </c>
      <c r="N79" s="284">
        <f>M81</f>
        <v>91446.93066517869</v>
      </c>
      <c r="O79" s="284">
        <f>N81</f>
        <v>109284.75898517869</v>
      </c>
      <c r="P79" s="284">
        <f>Cashflow!$J$81</f>
        <v>104131.47593517868</v>
      </c>
      <c r="Q79" s="311">
        <f>O81</f>
        <v>127044.47593517869</v>
      </c>
      <c r="R79" s="2"/>
      <c r="S79" s="14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37" t="s">
        <v>159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283"/>
      <c r="O80" s="283"/>
      <c r="P80" s="283"/>
      <c r="Q80" s="309"/>
      <c r="R80" s="2"/>
      <c r="S80" s="147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37" t="s">
        <v>45</v>
      </c>
      <c r="B81" s="197">
        <v>98048.168000000005</v>
      </c>
      <c r="C81" s="197">
        <v>95003.633500571435</v>
      </c>
      <c r="D81" s="197">
        <v>93287.662760571431</v>
      </c>
      <c r="E81" s="197">
        <v>94277</v>
      </c>
      <c r="F81" s="197">
        <v>94277</v>
      </c>
      <c r="G81" s="197">
        <f t="shared" ref="G81:H81" si="46">SUM(G78:G80)</f>
        <v>76465</v>
      </c>
      <c r="H81" s="197">
        <f t="shared" si="46"/>
        <v>89992</v>
      </c>
      <c r="I81" s="197">
        <f t="shared" ref="I81:J81" si="47">SUM(I78:I80)</f>
        <v>105814</v>
      </c>
      <c r="J81" s="197">
        <f t="shared" si="47"/>
        <v>104131.47593517868</v>
      </c>
      <c r="K81" s="197">
        <f t="shared" ref="K81:M81" si="48">SUM(K78:K80)</f>
        <v>104131.47593517869</v>
      </c>
      <c r="L81" s="197">
        <f t="shared" si="48"/>
        <v>94627.102370357359</v>
      </c>
      <c r="M81" s="197">
        <f t="shared" si="48"/>
        <v>91446.93066517869</v>
      </c>
      <c r="N81" s="197">
        <f t="shared" ref="N81:O81" si="49">SUM(N78:N80)</f>
        <v>109284.75898517869</v>
      </c>
      <c r="O81" s="197">
        <f t="shared" si="49"/>
        <v>127044.47593517869</v>
      </c>
      <c r="P81" s="197">
        <f t="shared" ref="P81:Q81" si="50">SUM(P78:P80)</f>
        <v>127044.47593517868</v>
      </c>
      <c r="Q81" s="312">
        <f t="shared" si="50"/>
        <v>233534.47593517869</v>
      </c>
      <c r="R81" s="2"/>
      <c r="S81" s="147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16" t="s">
        <v>118</v>
      </c>
      <c r="B82" s="207"/>
      <c r="C82" s="207">
        <v>0</v>
      </c>
      <c r="D82" s="207">
        <v>0</v>
      </c>
      <c r="E82" s="207">
        <v>0</v>
      </c>
      <c r="F82" s="207">
        <v>0</v>
      </c>
      <c r="G82" s="207">
        <v>0</v>
      </c>
      <c r="H82" s="207">
        <v>0</v>
      </c>
      <c r="I82" s="207">
        <v>0</v>
      </c>
      <c r="J82" s="207">
        <v>0</v>
      </c>
      <c r="K82" s="207">
        <v>0</v>
      </c>
      <c r="L82" s="207">
        <v>0</v>
      </c>
      <c r="M82" s="207">
        <v>0</v>
      </c>
      <c r="N82" s="207">
        <v>0</v>
      </c>
      <c r="O82" s="207">
        <v>0</v>
      </c>
      <c r="P82" s="207">
        <v>0</v>
      </c>
      <c r="Q82" s="313">
        <v>0</v>
      </c>
      <c r="R82" s="2"/>
      <c r="S82" s="147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53" t="s">
        <v>77</v>
      </c>
      <c r="B83" s="192">
        <f t="shared" ref="B83:F83" si="51">SUM(B81:B82)</f>
        <v>98048.168000000005</v>
      </c>
      <c r="C83" s="192">
        <f t="shared" si="51"/>
        <v>95003.633500571435</v>
      </c>
      <c r="D83" s="192">
        <f t="shared" si="51"/>
        <v>93287.662760571431</v>
      </c>
      <c r="E83" s="192">
        <f t="shared" si="51"/>
        <v>94277</v>
      </c>
      <c r="F83" s="192">
        <f t="shared" si="51"/>
        <v>94277</v>
      </c>
      <c r="G83" s="192">
        <f t="shared" ref="G83" si="52">SUM(G81:G82)</f>
        <v>76465</v>
      </c>
      <c r="H83" s="192">
        <f t="shared" ref="H83:I83" si="53">SUM(H81:H82)</f>
        <v>89992</v>
      </c>
      <c r="I83" s="192">
        <f t="shared" si="53"/>
        <v>105814</v>
      </c>
      <c r="J83" s="192">
        <f t="shared" ref="J83:K83" si="54">SUM(J81:J82)</f>
        <v>104131.47593517868</v>
      </c>
      <c r="K83" s="192">
        <f t="shared" si="54"/>
        <v>104131.47593517869</v>
      </c>
      <c r="L83" s="192">
        <f t="shared" ref="L83:M83" si="55">SUM(L81:L82)</f>
        <v>94627.102370357359</v>
      </c>
      <c r="M83" s="192">
        <f t="shared" si="55"/>
        <v>91446.93066517869</v>
      </c>
      <c r="N83" s="192">
        <f t="shared" ref="N83:O83" si="56">SUM(N81:N82)</f>
        <v>109284.75898517869</v>
      </c>
      <c r="O83" s="192">
        <f t="shared" si="56"/>
        <v>127044.47593517869</v>
      </c>
      <c r="P83" s="192">
        <f t="shared" ref="P83:Q83" si="57">SUM(P81:P82)</f>
        <v>127044.47593517868</v>
      </c>
      <c r="Q83" s="192">
        <f t="shared" si="57"/>
        <v>233534.47593517869</v>
      </c>
      <c r="R83" s="2"/>
      <c r="S83" s="147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16"/>
      <c r="B84" s="153"/>
      <c r="C84" s="103"/>
      <c r="D84" s="2"/>
      <c r="E84" s="2"/>
      <c r="F84" s="193"/>
      <c r="G84" s="193"/>
      <c r="H84" s="193"/>
      <c r="I84" s="193"/>
      <c r="J84" s="193"/>
      <c r="K84" s="193"/>
      <c r="L84" s="193"/>
      <c r="M84" s="193"/>
      <c r="N84" s="283"/>
      <c r="O84" s="283"/>
      <c r="P84" s="283"/>
      <c r="Q84" s="309"/>
      <c r="R84" s="2"/>
      <c r="S84" s="147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B85" s="153"/>
      <c r="C85" s="103"/>
      <c r="D85" s="2"/>
      <c r="E85" s="2"/>
      <c r="F85" s="193"/>
      <c r="G85" s="193"/>
      <c r="H85" s="193"/>
      <c r="I85" s="193"/>
      <c r="J85" s="193"/>
      <c r="K85" s="193"/>
      <c r="L85" s="193"/>
      <c r="M85" s="193"/>
      <c r="N85" s="283"/>
      <c r="O85" s="283"/>
      <c r="P85" s="283"/>
      <c r="Q85" s="309"/>
      <c r="R85" s="2"/>
      <c r="S85" s="147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324" t="s">
        <v>257</v>
      </c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</row>
    <row r="87" spans="1:34" x14ac:dyDescent="0.2">
      <c r="A87" s="324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</row>
    <row r="88" spans="1:34" x14ac:dyDescent="0.2">
      <c r="C88" s="103"/>
    </row>
    <row r="89" spans="1:34" x14ac:dyDescent="0.2">
      <c r="C89" s="103"/>
    </row>
    <row r="90" spans="1:34" x14ac:dyDescent="0.2">
      <c r="C90" s="103"/>
    </row>
    <row r="91" spans="1:34" x14ac:dyDescent="0.2">
      <c r="C91" s="103"/>
    </row>
    <row r="92" spans="1:34" x14ac:dyDescent="0.2">
      <c r="C92" s="103"/>
    </row>
    <row r="93" spans="1:34" x14ac:dyDescent="0.2">
      <c r="C93" s="103"/>
    </row>
    <row r="94" spans="1:34" x14ac:dyDescent="0.2">
      <c r="C94" s="103"/>
    </row>
    <row r="95" spans="1:34" x14ac:dyDescent="0.2">
      <c r="C95" s="103"/>
    </row>
    <row r="96" spans="1:34" x14ac:dyDescent="0.2">
      <c r="C96" s="103"/>
    </row>
    <row r="97" spans="3:3" x14ac:dyDescent="0.2">
      <c r="C97" s="103"/>
    </row>
  </sheetData>
  <mergeCells count="1">
    <mergeCell ref="A86:Q87"/>
  </mergeCells>
  <phoneticPr fontId="17" type="noConversion"/>
  <pageMargins left="0.38" right="0.36" top="0.39" bottom="0.46" header="0.3" footer="0.3"/>
  <pageSetup paperSize="5" scale="49" orientation="landscape" r:id="rId1"/>
  <ignoredErrors>
    <ignoredError sqref="J23 J13 J76 O30 O45 O56:O59 O61:O7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03"/>
  <sheetViews>
    <sheetView showGridLines="0" tabSelected="1"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5" sqref="B95"/>
    </sheetView>
  </sheetViews>
  <sheetFormatPr defaultColWidth="9.140625" defaultRowHeight="21" outlineLevelCol="1" x14ac:dyDescent="0.35"/>
  <cols>
    <col min="1" max="1" width="2.42578125" style="160" customWidth="1"/>
    <col min="2" max="2" width="62.42578125" style="163" customWidth="1"/>
    <col min="3" max="5" width="18.28515625" style="163" hidden="1" customWidth="1" outlineLevel="1"/>
    <col min="6" max="6" width="17.28515625" style="163" hidden="1" customWidth="1" outlineLevel="1"/>
    <col min="7" max="7" width="17.28515625" style="163" bestFit="1" customWidth="1" collapsed="1"/>
    <col min="8" max="10" width="17.28515625" style="163" hidden="1" customWidth="1" outlineLevel="1"/>
    <col min="11" max="11" width="18.42578125" style="243" hidden="1" customWidth="1" outlineLevel="1"/>
    <col min="12" max="12" width="16.85546875" style="243" customWidth="1" collapsed="1"/>
    <col min="13" max="15" width="16.85546875" style="243" hidden="1" customWidth="1" outlineLevel="1"/>
    <col min="16" max="16" width="18.5703125" style="243" hidden="1" customWidth="1" outlineLevel="1"/>
    <col min="17" max="17" width="18.42578125" style="243" customWidth="1" collapsed="1"/>
    <col min="18" max="21" width="18.42578125" style="243" hidden="1" customWidth="1" outlineLevel="1"/>
    <col min="22" max="22" width="18.42578125" style="243" customWidth="1" collapsed="1"/>
    <col min="23" max="23" width="16.28515625" style="243" hidden="1" customWidth="1" outlineLevel="1"/>
    <col min="24" max="26" width="17.5703125" style="163" hidden="1" customWidth="1" outlineLevel="1"/>
    <col min="27" max="27" width="20.85546875" style="163" customWidth="1" collapsed="1"/>
    <col min="28" max="28" width="17.5703125" style="163" customWidth="1"/>
    <col min="29" max="16384" width="9.140625" style="163"/>
  </cols>
  <sheetData>
    <row r="1" spans="1:28" ht="21.75" thickBot="1" x14ac:dyDescent="0.4">
      <c r="A1" s="160" t="s">
        <v>176</v>
      </c>
      <c r="B1" s="161"/>
      <c r="C1" s="162"/>
    </row>
    <row r="2" spans="1:28" ht="21.75" thickBot="1" x14ac:dyDescent="0.4">
      <c r="B2" s="161"/>
      <c r="C2" s="325">
        <v>2017</v>
      </c>
      <c r="D2" s="326"/>
      <c r="E2" s="326"/>
      <c r="F2" s="326"/>
      <c r="G2" s="327"/>
      <c r="H2" s="319"/>
      <c r="I2" s="320"/>
      <c r="J2" s="320"/>
      <c r="K2" s="321"/>
      <c r="L2" s="322"/>
      <c r="M2" s="323"/>
      <c r="N2" s="321"/>
      <c r="O2" s="321"/>
      <c r="P2" s="321"/>
      <c r="Q2" s="322"/>
      <c r="R2" s="325">
        <v>2018</v>
      </c>
      <c r="S2" s="326"/>
      <c r="T2" s="326"/>
      <c r="U2" s="326"/>
      <c r="V2" s="327"/>
      <c r="W2" s="325">
        <v>2019</v>
      </c>
      <c r="X2" s="326"/>
      <c r="Y2" s="326"/>
      <c r="Z2" s="326"/>
      <c r="AA2" s="327"/>
    </row>
    <row r="3" spans="1:28" s="269" customFormat="1" ht="24" thickBot="1" x14ac:dyDescent="0.3">
      <c r="A3" s="265"/>
      <c r="B3" s="266"/>
      <c r="C3" s="267" t="s">
        <v>244</v>
      </c>
      <c r="D3" s="267" t="s">
        <v>244</v>
      </c>
      <c r="E3" s="267" t="s">
        <v>244</v>
      </c>
      <c r="F3" s="267" t="s">
        <v>245</v>
      </c>
      <c r="G3" s="268" t="s">
        <v>245</v>
      </c>
      <c r="H3" s="331">
        <v>2018</v>
      </c>
      <c r="I3" s="332"/>
      <c r="J3" s="332"/>
      <c r="K3" s="332"/>
      <c r="L3" s="333"/>
      <c r="M3" s="328">
        <v>2019</v>
      </c>
      <c r="N3" s="329"/>
      <c r="O3" s="329"/>
      <c r="P3" s="329"/>
      <c r="Q3" s="330"/>
      <c r="R3" s="267" t="s">
        <v>238</v>
      </c>
      <c r="S3" s="267" t="s">
        <v>238</v>
      </c>
      <c r="T3" s="267" t="s">
        <v>238</v>
      </c>
      <c r="U3" s="267" t="s">
        <v>238</v>
      </c>
      <c r="V3" s="268" t="s">
        <v>238</v>
      </c>
      <c r="W3" s="267" t="s">
        <v>238</v>
      </c>
      <c r="X3" s="267" t="s">
        <v>238</v>
      </c>
      <c r="Y3" s="267" t="s">
        <v>238</v>
      </c>
      <c r="Z3" s="267" t="s">
        <v>238</v>
      </c>
      <c r="AA3" s="268" t="s">
        <v>238</v>
      </c>
      <c r="AB3" s="299" t="s">
        <v>246</v>
      </c>
    </row>
    <row r="4" spans="1:28" x14ac:dyDescent="0.35">
      <c r="A4" s="164"/>
      <c r="B4" s="165"/>
      <c r="C4" s="166" t="s">
        <v>9</v>
      </c>
      <c r="D4" s="166" t="s">
        <v>10</v>
      </c>
      <c r="E4" s="166" t="s">
        <v>11</v>
      </c>
      <c r="F4" s="166" t="s">
        <v>12</v>
      </c>
      <c r="G4" s="166" t="s">
        <v>195</v>
      </c>
      <c r="H4" s="166" t="s">
        <v>9</v>
      </c>
      <c r="I4" s="166" t="s">
        <v>10</v>
      </c>
      <c r="J4" s="166" t="s">
        <v>11</v>
      </c>
      <c r="K4" s="166" t="s">
        <v>12</v>
      </c>
      <c r="L4" s="166" t="s">
        <v>13</v>
      </c>
      <c r="M4" s="166" t="s">
        <v>9</v>
      </c>
      <c r="N4" s="166" t="s">
        <v>10</v>
      </c>
      <c r="O4" s="166" t="s">
        <v>11</v>
      </c>
      <c r="P4" s="166" t="s">
        <v>12</v>
      </c>
      <c r="Q4" s="166" t="s">
        <v>13</v>
      </c>
      <c r="R4" s="166" t="s">
        <v>9</v>
      </c>
      <c r="S4" s="166" t="s">
        <v>10</v>
      </c>
      <c r="T4" s="166" t="s">
        <v>11</v>
      </c>
      <c r="U4" s="166" t="s">
        <v>12</v>
      </c>
      <c r="V4" s="166" t="s">
        <v>237</v>
      </c>
      <c r="W4" s="166" t="s">
        <v>9</v>
      </c>
      <c r="X4" s="166" t="s">
        <v>10</v>
      </c>
      <c r="Y4" s="166" t="s">
        <v>11</v>
      </c>
      <c r="Z4" s="166" t="s">
        <v>12</v>
      </c>
      <c r="AA4" s="166" t="s">
        <v>235</v>
      </c>
      <c r="AB4" s="166" t="s">
        <v>9</v>
      </c>
    </row>
    <row r="5" spans="1:28" x14ac:dyDescent="0.35">
      <c r="A5" s="167" t="s">
        <v>1</v>
      </c>
      <c r="B5" s="165"/>
      <c r="X5" s="243"/>
      <c r="Y5" s="243"/>
      <c r="Z5" s="243"/>
      <c r="AA5" s="243"/>
      <c r="AB5" s="243"/>
    </row>
    <row r="6" spans="1:28" hidden="1" x14ac:dyDescent="0.35">
      <c r="A6" s="169"/>
      <c r="B6" s="170" t="s">
        <v>160</v>
      </c>
      <c r="C6" s="178"/>
      <c r="D6" s="178"/>
      <c r="E6" s="178"/>
      <c r="F6" s="178"/>
      <c r="G6" s="178"/>
      <c r="H6" s="178"/>
      <c r="I6" s="178"/>
      <c r="J6" s="178"/>
      <c r="X6" s="243"/>
      <c r="Y6" s="243"/>
      <c r="Z6" s="243"/>
      <c r="AA6" s="243"/>
      <c r="AB6" s="243"/>
    </row>
    <row r="7" spans="1:28" hidden="1" x14ac:dyDescent="0.35">
      <c r="A7" s="164"/>
      <c r="B7" s="172" t="s">
        <v>149</v>
      </c>
      <c r="X7" s="243"/>
      <c r="Y7" s="243"/>
      <c r="Z7" s="243"/>
      <c r="AA7" s="243"/>
      <c r="AB7" s="243"/>
    </row>
    <row r="8" spans="1:28" hidden="1" x14ac:dyDescent="0.35">
      <c r="A8" s="164"/>
      <c r="B8" s="172" t="s">
        <v>162</v>
      </c>
      <c r="X8" s="243"/>
      <c r="Y8" s="243"/>
      <c r="Z8" s="243"/>
      <c r="AA8" s="243"/>
      <c r="AB8" s="243"/>
    </row>
    <row r="9" spans="1:28" hidden="1" x14ac:dyDescent="0.35">
      <c r="A9" s="164"/>
      <c r="B9" s="172" t="s">
        <v>58</v>
      </c>
      <c r="X9" s="243"/>
      <c r="Y9" s="243"/>
      <c r="Z9" s="243"/>
      <c r="AA9" s="243"/>
      <c r="AB9" s="243"/>
    </row>
    <row r="10" spans="1:28" hidden="1" x14ac:dyDescent="0.35">
      <c r="A10" s="164"/>
      <c r="B10" s="172" t="s">
        <v>60</v>
      </c>
      <c r="X10" s="243"/>
      <c r="Y10" s="243"/>
      <c r="Z10" s="243"/>
      <c r="AA10" s="243"/>
      <c r="AB10" s="243"/>
    </row>
    <row r="11" spans="1:28" hidden="1" x14ac:dyDescent="0.35">
      <c r="A11" s="164"/>
      <c r="B11" s="165"/>
      <c r="X11" s="243"/>
      <c r="Y11" s="243"/>
      <c r="Z11" s="243"/>
      <c r="AA11" s="243"/>
      <c r="AB11" s="243"/>
    </row>
    <row r="12" spans="1:28" hidden="1" x14ac:dyDescent="0.35">
      <c r="A12" s="169"/>
      <c r="B12" s="170" t="s">
        <v>161</v>
      </c>
      <c r="C12" s="178"/>
      <c r="D12" s="178"/>
      <c r="E12" s="178"/>
      <c r="F12" s="178"/>
      <c r="G12" s="178"/>
      <c r="H12" s="178"/>
      <c r="I12" s="178"/>
      <c r="J12" s="178"/>
      <c r="X12" s="243"/>
      <c r="Y12" s="243"/>
      <c r="Z12" s="243"/>
      <c r="AA12" s="243"/>
      <c r="AB12" s="243"/>
    </row>
    <row r="13" spans="1:28" hidden="1" x14ac:dyDescent="0.35">
      <c r="A13" s="164"/>
      <c r="B13" s="172" t="s">
        <v>149</v>
      </c>
      <c r="X13" s="243"/>
      <c r="Y13" s="243"/>
      <c r="Z13" s="243"/>
      <c r="AA13" s="243"/>
      <c r="AB13" s="243"/>
    </row>
    <row r="14" spans="1:28" hidden="1" x14ac:dyDescent="0.35">
      <c r="A14" s="164"/>
      <c r="B14" s="172" t="s">
        <v>58</v>
      </c>
      <c r="X14" s="243"/>
      <c r="Y14" s="243"/>
      <c r="Z14" s="243"/>
      <c r="AA14" s="243"/>
      <c r="AB14" s="243"/>
    </row>
    <row r="15" spans="1:28" hidden="1" x14ac:dyDescent="0.35">
      <c r="A15" s="164"/>
      <c r="B15" s="172" t="s">
        <v>60</v>
      </c>
      <c r="X15" s="243"/>
      <c r="Y15" s="243"/>
      <c r="Z15" s="243"/>
      <c r="AA15" s="243"/>
      <c r="AB15" s="243"/>
    </row>
    <row r="16" spans="1:28" x14ac:dyDescent="0.35">
      <c r="A16" s="167"/>
      <c r="B16" s="165"/>
      <c r="X16" s="243"/>
      <c r="Y16" s="243"/>
      <c r="Z16" s="243"/>
      <c r="AA16" s="243"/>
      <c r="AB16" s="243"/>
    </row>
    <row r="17" spans="1:30" x14ac:dyDescent="0.35">
      <c r="A17" s="169"/>
      <c r="B17" s="170" t="s">
        <v>242</v>
      </c>
      <c r="C17" s="171">
        <f t="shared" ref="C17:L17" si="0">C23+C30+C42+C48+C54</f>
        <v>134026</v>
      </c>
      <c r="D17" s="171">
        <f t="shared" si="0"/>
        <v>137498</v>
      </c>
      <c r="E17" s="171">
        <f t="shared" si="0"/>
        <v>138601</v>
      </c>
      <c r="F17" s="171">
        <f t="shared" si="0"/>
        <v>142242</v>
      </c>
      <c r="G17" s="171">
        <f t="shared" si="0"/>
        <v>552367</v>
      </c>
      <c r="H17" s="171">
        <f t="shared" si="0"/>
        <v>149871</v>
      </c>
      <c r="I17" s="171">
        <f t="shared" si="0"/>
        <v>150494</v>
      </c>
      <c r="J17" s="171">
        <f t="shared" si="0"/>
        <v>148417</v>
      </c>
      <c r="K17" s="171">
        <f t="shared" si="0"/>
        <v>149040</v>
      </c>
      <c r="L17" s="171">
        <f t="shared" si="0"/>
        <v>597822</v>
      </c>
      <c r="M17" s="171">
        <f t="shared" ref="M17:Q17" si="1">M23+M30+M42+M48+M54+M36</f>
        <v>152612</v>
      </c>
      <c r="N17" s="171">
        <f t="shared" si="1"/>
        <v>155638</v>
      </c>
      <c r="O17" s="171">
        <f t="shared" si="1"/>
        <v>162639</v>
      </c>
      <c r="P17" s="171">
        <f t="shared" si="1"/>
        <v>163128</v>
      </c>
      <c r="Q17" s="171">
        <f t="shared" si="1"/>
        <v>634017</v>
      </c>
      <c r="R17" s="171">
        <f>R23+R30+R36</f>
        <v>149870.96685598622</v>
      </c>
      <c r="S17" s="171">
        <f t="shared" ref="S17:V17" si="2">S23+S30+S36</f>
        <v>150494.46117321268</v>
      </c>
      <c r="T17" s="171">
        <f t="shared" si="2"/>
        <v>148416.88236976153</v>
      </c>
      <c r="U17" s="171">
        <f t="shared" si="2"/>
        <v>149040.3301324464</v>
      </c>
      <c r="V17" s="171">
        <f t="shared" si="2"/>
        <v>597821.64053140674</v>
      </c>
      <c r="W17" s="171">
        <f>W23+W30+W36</f>
        <v>152612</v>
      </c>
      <c r="X17" s="171">
        <f t="shared" ref="X17:AB17" si="3">X23+X30+X36</f>
        <v>155638</v>
      </c>
      <c r="Y17" s="171">
        <f t="shared" si="3"/>
        <v>162639</v>
      </c>
      <c r="Z17" s="171">
        <f t="shared" si="3"/>
        <v>163128</v>
      </c>
      <c r="AA17" s="171">
        <f t="shared" si="3"/>
        <v>634017</v>
      </c>
      <c r="AB17" s="291">
        <f t="shared" si="3"/>
        <v>153559</v>
      </c>
      <c r="AD17" s="249"/>
    </row>
    <row r="18" spans="1:30" x14ac:dyDescent="0.35">
      <c r="A18" s="164"/>
      <c r="B18" s="172" t="s">
        <v>149</v>
      </c>
      <c r="C18" s="173">
        <v>4.6505817131256455E-2</v>
      </c>
      <c r="D18" s="173">
        <v>5.065370714225681E-2</v>
      </c>
      <c r="E18" s="173">
        <v>6.975756967652802E-2</v>
      </c>
      <c r="F18" s="173">
        <v>7.9619284716740513E-2</v>
      </c>
      <c r="G18" s="173">
        <v>6.1725618640125823E-2</v>
      </c>
      <c r="H18" s="173">
        <f t="shared" ref="H18:Q18" si="4">H17/C17-1</f>
        <v>0.11822332980168038</v>
      </c>
      <c r="I18" s="173">
        <f t="shared" si="4"/>
        <v>9.4517738439831911E-2</v>
      </c>
      <c r="J18" s="173">
        <f t="shared" si="4"/>
        <v>7.0821999841270911E-2</v>
      </c>
      <c r="K18" s="173">
        <f t="shared" si="4"/>
        <v>4.779179145400092E-2</v>
      </c>
      <c r="L18" s="173">
        <f t="shared" si="4"/>
        <v>8.2291302702732105E-2</v>
      </c>
      <c r="M18" s="173">
        <f t="shared" si="4"/>
        <v>1.82890619265903E-2</v>
      </c>
      <c r="N18" s="173">
        <f t="shared" si="4"/>
        <v>3.4180764681648546E-2</v>
      </c>
      <c r="O18" s="173">
        <f t="shared" si="4"/>
        <v>9.5824602302970741E-2</v>
      </c>
      <c r="P18" s="173">
        <f t="shared" si="4"/>
        <v>9.4524959742350978E-2</v>
      </c>
      <c r="Q18" s="173">
        <f t="shared" si="4"/>
        <v>6.0544777542479222E-2</v>
      </c>
      <c r="R18" s="173">
        <v>0.11822412187019271</v>
      </c>
      <c r="S18" s="173">
        <v>9.4516632636036713E-2</v>
      </c>
      <c r="T18" s="173">
        <v>7.0822240426617E-2</v>
      </c>
      <c r="U18" s="173">
        <v>4.7790611168654351E-2</v>
      </c>
      <c r="V18" s="173">
        <v>8.2287332816930681E-2</v>
      </c>
      <c r="W18" s="173">
        <v>1.8289287121552311E-2</v>
      </c>
      <c r="X18" s="173">
        <v>3.4177595551954099E-2</v>
      </c>
      <c r="Y18" s="173">
        <v>9.5825470816762515E-2</v>
      </c>
      <c r="Z18" s="173">
        <v>9.4522535309969014E-2</v>
      </c>
      <c r="AA18" s="173">
        <v>6.0547189264690049E-2</v>
      </c>
      <c r="AB18" s="173">
        <f t="shared" ref="AB18" si="5">AB17/W17-1</f>
        <v>6.2052787461013281E-3</v>
      </c>
    </row>
    <row r="19" spans="1:30" x14ac:dyDescent="0.35">
      <c r="A19" s="164"/>
      <c r="B19" s="172" t="s">
        <v>162</v>
      </c>
      <c r="C19" s="173">
        <v>4.9000000000000002E-2</v>
      </c>
      <c r="D19" s="173">
        <v>4.8525496185022776E-2</v>
      </c>
      <c r="E19" s="173">
        <v>6.4270961809923532E-2</v>
      </c>
      <c r="F19" s="173">
        <v>6.8680050795172143E-2</v>
      </c>
      <c r="G19" s="173">
        <v>5.7701269035152603E-2</v>
      </c>
      <c r="H19" s="173">
        <v>0.104152477303735</v>
      </c>
      <c r="I19" s="173">
        <v>9.7943653485765836E-2</v>
      </c>
      <c r="J19" s="174">
        <v>8.7427961273436328E-2</v>
      </c>
      <c r="K19" s="174">
        <v>6.7816377226745272E-2</v>
      </c>
      <c r="L19" s="173">
        <v>8.905334615962901E-2</v>
      </c>
      <c r="M19" s="173">
        <v>3.9E-2</v>
      </c>
      <c r="N19" s="181">
        <v>4.3999999999999997E-2</v>
      </c>
      <c r="O19" s="181">
        <v>0.10100000000000001</v>
      </c>
      <c r="P19" s="181">
        <v>9.5000000000000001E-2</v>
      </c>
      <c r="Q19" s="173">
        <v>7.0000000000000007E-2</v>
      </c>
      <c r="R19" s="173">
        <f>H19</f>
        <v>0.104152477303735</v>
      </c>
      <c r="S19" s="173">
        <f t="shared" ref="S19:V19" si="6">I19</f>
        <v>9.7943653485765836E-2</v>
      </c>
      <c r="T19" s="173">
        <f t="shared" si="6"/>
        <v>8.7427961273436328E-2</v>
      </c>
      <c r="U19" s="173">
        <f t="shared" si="6"/>
        <v>6.7816377226745272E-2</v>
      </c>
      <c r="V19" s="173">
        <f t="shared" si="6"/>
        <v>8.905334615962901E-2</v>
      </c>
      <c r="W19" s="173">
        <f>M19</f>
        <v>3.9E-2</v>
      </c>
      <c r="X19" s="173">
        <f>N19</f>
        <v>4.3999999999999997E-2</v>
      </c>
      <c r="Y19" s="173">
        <f>O19</f>
        <v>0.10100000000000001</v>
      </c>
      <c r="Z19" s="173">
        <f>P19</f>
        <v>9.5000000000000001E-2</v>
      </c>
      <c r="AA19" s="173">
        <f>Q19</f>
        <v>7.0000000000000007E-2</v>
      </c>
      <c r="AB19" s="181">
        <v>1.5189806188657951E-2</v>
      </c>
    </row>
    <row r="20" spans="1:30" x14ac:dyDescent="0.35">
      <c r="A20" s="164"/>
      <c r="B20" s="172" t="s">
        <v>58</v>
      </c>
      <c r="C20" s="175">
        <f t="shared" ref="C20:L20" si="7">ROUND(C26+C33+C45+C51+C57,0)</f>
        <v>46710</v>
      </c>
      <c r="D20" s="175">
        <f t="shared" si="7"/>
        <v>47415</v>
      </c>
      <c r="E20" s="175">
        <f t="shared" si="7"/>
        <v>51154</v>
      </c>
      <c r="F20" s="175">
        <f t="shared" si="7"/>
        <v>48906</v>
      </c>
      <c r="G20" s="175">
        <f t="shared" si="7"/>
        <v>194185</v>
      </c>
      <c r="H20" s="175">
        <f t="shared" si="7"/>
        <v>49845</v>
      </c>
      <c r="I20" s="175">
        <f t="shared" si="7"/>
        <v>49501</v>
      </c>
      <c r="J20" s="175">
        <f t="shared" si="7"/>
        <v>49898</v>
      </c>
      <c r="K20" s="175">
        <f t="shared" si="7"/>
        <v>48327</v>
      </c>
      <c r="L20" s="175">
        <f t="shared" si="7"/>
        <v>197571</v>
      </c>
      <c r="M20" s="175">
        <f>ROUND(M26+M33+M45+M51+M57+M39,0)</f>
        <v>52274</v>
      </c>
      <c r="N20" s="175">
        <f t="shared" ref="N20:Q20" si="8">ROUND(N26+N33+N45+N51+N57+N39,0)</f>
        <v>50623</v>
      </c>
      <c r="O20" s="175">
        <f t="shared" si="8"/>
        <v>52930</v>
      </c>
      <c r="P20" s="175">
        <f t="shared" si="8"/>
        <v>53945</v>
      </c>
      <c r="Q20" s="175">
        <f t="shared" si="8"/>
        <v>209772</v>
      </c>
      <c r="R20" s="175">
        <f>ROUND(R26+R33+R39,0)</f>
        <v>49845</v>
      </c>
      <c r="S20" s="175">
        <f>ROUND(S26+S33+S39,0)-1</f>
        <v>49501</v>
      </c>
      <c r="T20" s="175">
        <f t="shared" ref="T20:V20" si="9">ROUND(T26+T33+T39,0)</f>
        <v>49898</v>
      </c>
      <c r="U20" s="175">
        <f t="shared" si="9"/>
        <v>48327</v>
      </c>
      <c r="V20" s="175">
        <f t="shared" si="9"/>
        <v>197571</v>
      </c>
      <c r="W20" s="175">
        <f>ROUND(W26+W33+W39,0)</f>
        <v>52274</v>
      </c>
      <c r="X20" s="175">
        <f t="shared" ref="X20:AB20" si="10">ROUND(X26+X33+X39,0)</f>
        <v>50623</v>
      </c>
      <c r="Y20" s="175">
        <f t="shared" si="10"/>
        <v>52930</v>
      </c>
      <c r="Z20" s="175">
        <f t="shared" si="10"/>
        <v>53945</v>
      </c>
      <c r="AA20" s="175">
        <f t="shared" si="10"/>
        <v>209772</v>
      </c>
      <c r="AB20" s="175">
        <f t="shared" si="10"/>
        <v>49519</v>
      </c>
      <c r="AD20" s="249"/>
    </row>
    <row r="21" spans="1:30" x14ac:dyDescent="0.35">
      <c r="A21" s="164"/>
      <c r="B21" s="172" t="s">
        <v>60</v>
      </c>
      <c r="C21" s="174">
        <f t="shared" ref="C21:H21" si="11">C20/C17</f>
        <v>0.34851446734215752</v>
      </c>
      <c r="D21" s="174">
        <f t="shared" si="11"/>
        <v>0.34484137951097471</v>
      </c>
      <c r="E21" s="174">
        <f t="shared" si="11"/>
        <v>0.36907381620623225</v>
      </c>
      <c r="F21" s="174">
        <f t="shared" ref="F21" si="12">F20/F17</f>
        <v>0.34382249968363776</v>
      </c>
      <c r="G21" s="174">
        <f t="shared" ref="G21" si="13">G20/G17</f>
        <v>0.35155069003036027</v>
      </c>
      <c r="H21" s="174">
        <f t="shared" si="11"/>
        <v>0.33258602398062331</v>
      </c>
      <c r="I21" s="174">
        <f>I20/I17</f>
        <v>0.32892341222905896</v>
      </c>
      <c r="J21" s="174">
        <f>J20/J17</f>
        <v>0.33620137854827953</v>
      </c>
      <c r="K21" s="174">
        <f>K20/K17</f>
        <v>0.32425523349436391</v>
      </c>
      <c r="L21" s="174">
        <f t="shared" ref="L21:M21" si="14">L20/L17</f>
        <v>0.33048465931330728</v>
      </c>
      <c r="M21" s="174">
        <f t="shared" si="14"/>
        <v>0.34252876575891805</v>
      </c>
      <c r="N21" s="174">
        <f t="shared" ref="N21:O21" si="15">N20/N17</f>
        <v>0.32526118300158058</v>
      </c>
      <c r="O21" s="174">
        <f t="shared" si="15"/>
        <v>0.3254446965365011</v>
      </c>
      <c r="P21" s="174">
        <f t="shared" ref="P21:AA21" si="16">P20/P17</f>
        <v>0.33069123632975334</v>
      </c>
      <c r="Q21" s="174">
        <f t="shared" si="16"/>
        <v>0.3308617907721717</v>
      </c>
      <c r="R21" s="174">
        <f t="shared" si="16"/>
        <v>0.33258609753213231</v>
      </c>
      <c r="S21" s="174">
        <f t="shared" si="16"/>
        <v>0.32892240428055669</v>
      </c>
      <c r="T21" s="174">
        <f t="shared" si="16"/>
        <v>0.33620164501020555</v>
      </c>
      <c r="U21" s="174">
        <f t="shared" si="16"/>
        <v>0.32425451525136623</v>
      </c>
      <c r="V21" s="174">
        <f t="shared" si="16"/>
        <v>0.33048485803287103</v>
      </c>
      <c r="W21" s="174">
        <f t="shared" si="16"/>
        <v>0.34252876575891805</v>
      </c>
      <c r="X21" s="174">
        <f t="shared" si="16"/>
        <v>0.32526118300158058</v>
      </c>
      <c r="Y21" s="174">
        <f t="shared" si="16"/>
        <v>0.3254446965365011</v>
      </c>
      <c r="Z21" s="174">
        <f t="shared" si="16"/>
        <v>0.33069123632975334</v>
      </c>
      <c r="AA21" s="174">
        <f t="shared" si="16"/>
        <v>0.3308617907721717</v>
      </c>
      <c r="AB21" s="174">
        <f t="shared" ref="AB21" si="17">AB20/AB17</f>
        <v>0.32247540033472477</v>
      </c>
    </row>
    <row r="22" spans="1:30" x14ac:dyDescent="0.35">
      <c r="A22" s="164"/>
      <c r="B22" s="172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</row>
    <row r="23" spans="1:30" x14ac:dyDescent="0.35">
      <c r="A23" s="177"/>
      <c r="B23" s="177" t="s">
        <v>153</v>
      </c>
      <c r="C23" s="179">
        <v>55921</v>
      </c>
      <c r="D23" s="179">
        <v>58255</v>
      </c>
      <c r="E23" s="179">
        <v>59608</v>
      </c>
      <c r="F23" s="179">
        <f>+G23-SUM(C23,D23,E23)</f>
        <v>61010</v>
      </c>
      <c r="G23" s="179">
        <v>234794</v>
      </c>
      <c r="H23" s="179">
        <v>63903</v>
      </c>
      <c r="I23" s="179">
        <v>64812</v>
      </c>
      <c r="J23" s="179">
        <v>64303</v>
      </c>
      <c r="K23" s="179">
        <f>+L23-SUM(H23:J23)</f>
        <v>65126</v>
      </c>
      <c r="L23" s="179">
        <v>258144</v>
      </c>
      <c r="M23" s="179">
        <v>69038</v>
      </c>
      <c r="N23" s="179">
        <v>72236</v>
      </c>
      <c r="O23" s="179">
        <v>77714</v>
      </c>
      <c r="P23" s="179">
        <f>+Q23-SUM(M23:O23)</f>
        <v>75171</v>
      </c>
      <c r="Q23" s="179">
        <v>294159</v>
      </c>
      <c r="R23" s="179">
        <v>76148.167060416323</v>
      </c>
      <c r="S23" s="179">
        <v>78614.312935322407</v>
      </c>
      <c r="T23" s="179">
        <v>77757.039113754727</v>
      </c>
      <c r="U23" s="179">
        <v>78632.585690686348</v>
      </c>
      <c r="V23" s="179">
        <v>311152.10480017978</v>
      </c>
      <c r="W23" s="179">
        <v>81286</v>
      </c>
      <c r="X23" s="179">
        <v>85581</v>
      </c>
      <c r="Y23" s="179">
        <v>91096</v>
      </c>
      <c r="Z23" s="179">
        <v>88471</v>
      </c>
      <c r="AA23" s="179">
        <v>346434</v>
      </c>
      <c r="AB23" s="179">
        <v>83739</v>
      </c>
    </row>
    <row r="24" spans="1:30" x14ac:dyDescent="0.35">
      <c r="A24" s="164"/>
      <c r="B24" s="172" t="s">
        <v>149</v>
      </c>
      <c r="C24" s="173">
        <v>0.15781609425933762</v>
      </c>
      <c r="D24" s="173">
        <v>0.15136182816147836</v>
      </c>
      <c r="E24" s="173">
        <v>0.12891676635079641</v>
      </c>
      <c r="F24" s="173">
        <v>0.1167645106386701</v>
      </c>
      <c r="G24" s="173">
        <v>0.13796817406137452</v>
      </c>
      <c r="H24" s="173">
        <f t="shared" ref="H24:Q24" si="18">H23/C23-1</f>
        <v>0.14273707551724746</v>
      </c>
      <c r="I24" s="173">
        <f t="shared" si="18"/>
        <v>0.11255686207192506</v>
      </c>
      <c r="J24" s="173">
        <f t="shared" si="18"/>
        <v>7.8764595356328071E-2</v>
      </c>
      <c r="K24" s="173">
        <f t="shared" si="18"/>
        <v>6.746435010653995E-2</v>
      </c>
      <c r="L24" s="173">
        <f t="shared" si="18"/>
        <v>9.9448878591446022E-2</v>
      </c>
      <c r="M24" s="173">
        <f t="shared" si="18"/>
        <v>8.0356164812293684E-2</v>
      </c>
      <c r="N24" s="173">
        <f t="shared" si="18"/>
        <v>0.11454668888477437</v>
      </c>
      <c r="O24" s="173">
        <f t="shared" si="18"/>
        <v>0.20855947622972493</v>
      </c>
      <c r="P24" s="173">
        <f t="shared" si="18"/>
        <v>0.15423947424991558</v>
      </c>
      <c r="Q24" s="173">
        <f t="shared" si="18"/>
        <v>0.13951515433246553</v>
      </c>
      <c r="R24" s="173">
        <v>0.2121233488330192</v>
      </c>
      <c r="S24" s="173">
        <v>0.18933606925635882</v>
      </c>
      <c r="T24" s="173">
        <v>0.14559720208257043</v>
      </c>
      <c r="U24" s="173">
        <v>9.3570729091322358E-2</v>
      </c>
      <c r="V24" s="173">
        <v>0.15798827964705398</v>
      </c>
      <c r="W24" s="173">
        <v>6.7471524764441071E-2</v>
      </c>
      <c r="X24" s="173">
        <v>8.8618558180483253E-2</v>
      </c>
      <c r="Y24" s="173">
        <v>0.17154666687772191</v>
      </c>
      <c r="Z24" s="173">
        <v>0.12511879423645822</v>
      </c>
      <c r="AA24" s="173">
        <v>0.11339115068007688</v>
      </c>
      <c r="AB24" s="173">
        <f t="shared" ref="AB24" si="19">AB23/W23-1</f>
        <v>3.0177398321974191E-2</v>
      </c>
    </row>
    <row r="25" spans="1:30" x14ac:dyDescent="0.35">
      <c r="A25" s="164"/>
      <c r="B25" s="172" t="s">
        <v>162</v>
      </c>
      <c r="C25" s="173">
        <v>0.15235101898850245</v>
      </c>
      <c r="D25" s="173">
        <v>0.14485320587353745</v>
      </c>
      <c r="E25" s="173">
        <v>0.12063360440937987</v>
      </c>
      <c r="F25" s="173">
        <v>0.10686042279762753</v>
      </c>
      <c r="G25" s="173">
        <v>0.13035117064593615</v>
      </c>
      <c r="H25" s="173">
        <v>0.12985053069688801</v>
      </c>
      <c r="I25" s="173">
        <v>0.11510196684888774</v>
      </c>
      <c r="J25" s="174">
        <v>9.0617499511791433E-2</v>
      </c>
      <c r="K25" s="174">
        <v>8.1936981556266941E-2</v>
      </c>
      <c r="L25" s="173">
        <v>0.1037809117620101</v>
      </c>
      <c r="M25" s="173">
        <v>0.1</v>
      </c>
      <c r="N25" s="181">
        <v>0.126</v>
      </c>
      <c r="O25" s="181">
        <v>0.217</v>
      </c>
      <c r="P25" s="173">
        <v>0.156</v>
      </c>
      <c r="Q25" s="173">
        <v>0.15</v>
      </c>
      <c r="R25" s="173">
        <v>0.19238882504405108</v>
      </c>
      <c r="S25" s="173">
        <v>0.18952045791185457</v>
      </c>
      <c r="T25" s="173">
        <v>0.15739406888615903</v>
      </c>
      <c r="U25" s="173">
        <v>0.10894136492313544</v>
      </c>
      <c r="V25" s="173">
        <v>0.1605128318680098</v>
      </c>
      <c r="W25" s="173">
        <v>8.76506851370491E-2</v>
      </c>
      <c r="X25" s="173">
        <v>0.10010589674361836</v>
      </c>
      <c r="Y25" s="173">
        <v>0.18068313647309786</v>
      </c>
      <c r="Z25" s="173">
        <v>0.12654231897760515</v>
      </c>
      <c r="AA25" s="173">
        <v>0.12386732726735761</v>
      </c>
      <c r="AB25" s="181">
        <v>4.1131479135403604E-2</v>
      </c>
    </row>
    <row r="26" spans="1:30" x14ac:dyDescent="0.35">
      <c r="A26" s="164"/>
      <c r="B26" s="172" t="s">
        <v>58</v>
      </c>
      <c r="C26" s="175">
        <f>ROUND(17890.6824188671,0)</f>
        <v>17891</v>
      </c>
      <c r="D26" s="175">
        <v>17784.168604602171</v>
      </c>
      <c r="E26" s="175">
        <f>ROUND(20434.2308482625,0)</f>
        <v>20434</v>
      </c>
      <c r="F26" s="175">
        <f>ROUND(+G26-SUM(C26,D26,E26),0)</f>
        <v>19252</v>
      </c>
      <c r="G26" s="175">
        <f>ROUND(75361.1380508299,0)</f>
        <v>75361</v>
      </c>
      <c r="H26" s="175">
        <v>21476</v>
      </c>
      <c r="I26" s="175">
        <v>20779</v>
      </c>
      <c r="J26" s="175">
        <v>20779</v>
      </c>
      <c r="K26" s="175">
        <f>+L26-SUM(H26:J26)</f>
        <v>20189</v>
      </c>
      <c r="L26" s="175">
        <v>83223</v>
      </c>
      <c r="M26" s="175">
        <v>22346</v>
      </c>
      <c r="N26" s="175">
        <v>22330</v>
      </c>
      <c r="O26" s="175">
        <v>26227</v>
      </c>
      <c r="P26" s="175">
        <f>+Q26-SUM(M26:O26)</f>
        <v>23578</v>
      </c>
      <c r="Q26" s="175">
        <v>94481</v>
      </c>
      <c r="R26" s="175">
        <v>24247.168207756244</v>
      </c>
      <c r="S26" s="175">
        <v>25806.112536955741</v>
      </c>
      <c r="T26" s="175">
        <v>24717.498250572389</v>
      </c>
      <c r="U26" s="175">
        <v>24563.072901162224</v>
      </c>
      <c r="V26" s="175">
        <v>99333.851896446577</v>
      </c>
      <c r="W26" s="175">
        <v>26043</v>
      </c>
      <c r="X26" s="175">
        <v>26167</v>
      </c>
      <c r="Y26" s="175">
        <v>28863</v>
      </c>
      <c r="Z26" s="175">
        <v>26781</v>
      </c>
      <c r="AA26" s="175">
        <v>107854</v>
      </c>
      <c r="AB26" s="175">
        <v>24774</v>
      </c>
    </row>
    <row r="27" spans="1:30" x14ac:dyDescent="0.35">
      <c r="A27" s="164"/>
      <c r="B27" s="172" t="s">
        <v>60</v>
      </c>
      <c r="C27" s="174">
        <f>C26/C23</f>
        <v>0.31993347758444951</v>
      </c>
      <c r="D27" s="174">
        <f t="shared" ref="D27:H27" si="20">D26/D23</f>
        <v>0.30528141111667961</v>
      </c>
      <c r="E27" s="174">
        <f t="shared" si="20"/>
        <v>0.3428063347201718</v>
      </c>
      <c r="F27" s="174">
        <f t="shared" ref="F27" si="21">F26/F23</f>
        <v>0.3155548270775283</v>
      </c>
      <c r="G27" s="174">
        <f t="shared" ref="G27" si="22">G26/G23</f>
        <v>0.32096646421969899</v>
      </c>
      <c r="H27" s="174">
        <f t="shared" si="20"/>
        <v>0.33607185891116226</v>
      </c>
      <c r="I27" s="174">
        <f t="shared" ref="I27:J27" si="23">I26/I23</f>
        <v>0.32060420909708076</v>
      </c>
      <c r="J27" s="174">
        <f t="shared" si="23"/>
        <v>0.32314199959566425</v>
      </c>
      <c r="K27" s="174">
        <f t="shared" ref="K27:L27" si="24">K26/K23</f>
        <v>0.30999907870896415</v>
      </c>
      <c r="L27" s="174">
        <f t="shared" si="24"/>
        <v>0.32238982893268875</v>
      </c>
      <c r="M27" s="174">
        <f t="shared" ref="M27:N27" si="25">M26/M23</f>
        <v>0.32367681566673429</v>
      </c>
      <c r="N27" s="174">
        <f t="shared" si="25"/>
        <v>0.30912564372335122</v>
      </c>
      <c r="O27" s="174">
        <f t="shared" ref="O27:P27" si="26">O26/O23</f>
        <v>0.33748102015080939</v>
      </c>
      <c r="P27" s="174">
        <f t="shared" si="26"/>
        <v>0.31365819265408201</v>
      </c>
      <c r="Q27" s="174">
        <f>Q26/Q23</f>
        <v>0.32119024065216428</v>
      </c>
      <c r="R27" s="174">
        <f>R26/R23</f>
        <v>0.31842090418957064</v>
      </c>
      <c r="S27" s="174">
        <f t="shared" ref="S27:V27" si="27">S26/S23</f>
        <v>0.32826226641689221</v>
      </c>
      <c r="T27" s="174">
        <f t="shared" si="27"/>
        <v>0.31788116590205939</v>
      </c>
      <c r="U27" s="174">
        <f t="shared" si="27"/>
        <v>0.31237778441859887</v>
      </c>
      <c r="V27" s="174">
        <f t="shared" si="27"/>
        <v>0.31924531559970726</v>
      </c>
      <c r="W27" s="174">
        <f>W26/W23</f>
        <v>0.32038727456142507</v>
      </c>
      <c r="X27" s="174">
        <f t="shared" ref="X27:AA27" si="28">X26/X23</f>
        <v>0.30575711898669095</v>
      </c>
      <c r="Y27" s="174">
        <f t="shared" si="28"/>
        <v>0.31684157372442256</v>
      </c>
      <c r="Z27" s="174">
        <f t="shared" si="28"/>
        <v>0.30270936238993568</v>
      </c>
      <c r="AA27" s="174">
        <f t="shared" si="28"/>
        <v>0.31132625550609927</v>
      </c>
      <c r="AB27" s="174">
        <f t="shared" ref="AB27" si="29">AB26/AB23</f>
        <v>0.29584781284706052</v>
      </c>
    </row>
    <row r="28" spans="1:30" x14ac:dyDescent="0.35">
      <c r="A28" s="164"/>
      <c r="B28" s="172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</row>
    <row r="29" spans="1:30" x14ac:dyDescent="0.35">
      <c r="A29" s="164"/>
      <c r="B29" s="17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</row>
    <row r="30" spans="1:30" x14ac:dyDescent="0.35">
      <c r="A30" s="177"/>
      <c r="B30" s="177" t="s">
        <v>152</v>
      </c>
      <c r="C30" s="179">
        <v>18932</v>
      </c>
      <c r="D30" s="179">
        <v>18923</v>
      </c>
      <c r="E30" s="179">
        <v>18872</v>
      </c>
      <c r="F30" s="179">
        <f>+G30-SUM(C30,D30,E30)</f>
        <v>20286</v>
      </c>
      <c r="G30" s="179">
        <v>77013</v>
      </c>
      <c r="H30" s="179">
        <v>22797</v>
      </c>
      <c r="I30" s="179">
        <v>19817</v>
      </c>
      <c r="J30" s="179">
        <v>20375</v>
      </c>
      <c r="K30" s="179">
        <f>+L30-SUM(H30:J30)</f>
        <v>21402</v>
      </c>
      <c r="L30" s="179">
        <v>84391</v>
      </c>
      <c r="M30" s="179">
        <v>20569</v>
      </c>
      <c r="N30" s="179">
        <v>20016</v>
      </c>
      <c r="O30" s="179">
        <v>23978</v>
      </c>
      <c r="P30" s="179">
        <f>+Q30-SUM(M30:O30)</f>
        <v>26026</v>
      </c>
      <c r="Q30" s="179">
        <v>90589</v>
      </c>
      <c r="R30" s="179">
        <v>24140.716187444454</v>
      </c>
      <c r="S30" s="179">
        <v>21172.537169999996</v>
      </c>
      <c r="T30" s="179">
        <v>21666.227190000001</v>
      </c>
      <c r="U30" s="179">
        <v>22865.514659999993</v>
      </c>
      <c r="V30" s="179">
        <v>89844.995207444445</v>
      </c>
      <c r="W30" s="179">
        <v>22248</v>
      </c>
      <c r="X30" s="179">
        <v>21730</v>
      </c>
      <c r="Y30" s="179">
        <v>25631</v>
      </c>
      <c r="Z30" s="179">
        <v>27856</v>
      </c>
      <c r="AA30" s="179">
        <v>97465</v>
      </c>
      <c r="AB30" s="179">
        <v>27029</v>
      </c>
    </row>
    <row r="31" spans="1:30" x14ac:dyDescent="0.35">
      <c r="A31" s="164"/>
      <c r="B31" s="172" t="s">
        <v>149</v>
      </c>
      <c r="C31" s="181">
        <v>0.15526481317864382</v>
      </c>
      <c r="D31" s="181">
        <v>8.4913876829762813E-2</v>
      </c>
      <c r="E31" s="181">
        <v>0.18255626641190092</v>
      </c>
      <c r="F31" s="181">
        <v>7.5171344960278219E-2</v>
      </c>
      <c r="G31" s="181">
        <v>0.12172505947529899</v>
      </c>
      <c r="H31" s="181">
        <f t="shared" ref="H31:Q31" si="30">H30/C30-1</f>
        <v>0.20415170082400169</v>
      </c>
      <c r="I31" s="181">
        <f t="shared" si="30"/>
        <v>4.7244094488188892E-2</v>
      </c>
      <c r="J31" s="181">
        <f t="shared" si="30"/>
        <v>7.9641797371767797E-2</v>
      </c>
      <c r="K31" s="181">
        <f t="shared" si="30"/>
        <v>5.501330967169471E-2</v>
      </c>
      <c r="L31" s="181">
        <f t="shared" si="30"/>
        <v>9.5802007453287041E-2</v>
      </c>
      <c r="M31" s="181">
        <f t="shared" si="30"/>
        <v>-9.7732157740053505E-2</v>
      </c>
      <c r="N31" s="181">
        <f t="shared" si="30"/>
        <v>1.004188323156896E-2</v>
      </c>
      <c r="O31" s="181">
        <f t="shared" si="30"/>
        <v>0.17683435582822082</v>
      </c>
      <c r="P31" s="181">
        <f t="shared" si="30"/>
        <v>0.21605457433884689</v>
      </c>
      <c r="Q31" s="181">
        <f t="shared" si="30"/>
        <v>7.3443850647580966E-2</v>
      </c>
      <c r="R31" s="181">
        <v>0.13532522794008672</v>
      </c>
      <c r="S31" s="181">
        <v>3.8818963441629162E-3</v>
      </c>
      <c r="T31" s="181">
        <v>3.9368385784354087E-2</v>
      </c>
      <c r="U31" s="181">
        <v>3.6832266521939383E-2</v>
      </c>
      <c r="V31" s="181">
        <v>5.3866943787367783E-2</v>
      </c>
      <c r="W31" s="181">
        <v>-7.8403481187059865E-2</v>
      </c>
      <c r="X31" s="181">
        <v>2.6329524209780963E-2</v>
      </c>
      <c r="Y31" s="181">
        <v>0.18299322605783108</v>
      </c>
      <c r="Z31" s="181">
        <v>0.21825379459882255</v>
      </c>
      <c r="AA31" s="181">
        <v>8.4812790906845903E-2</v>
      </c>
      <c r="AB31" s="181">
        <f t="shared" ref="AB31" si="31">AB30/W30-1</f>
        <v>0.21489572096368215</v>
      </c>
    </row>
    <row r="32" spans="1:30" x14ac:dyDescent="0.35">
      <c r="A32" s="164"/>
      <c r="B32" s="172" t="s">
        <v>162</v>
      </c>
      <c r="C32" s="173">
        <v>0.15625881183456625</v>
      </c>
      <c r="D32" s="173">
        <v>8.5925937063991764E-2</v>
      </c>
      <c r="E32" s="173">
        <v>0.18313485759232662</v>
      </c>
      <c r="F32" s="173">
        <v>7.5285882262229098E-2</v>
      </c>
      <c r="G32" s="173">
        <v>0.12238539808923177</v>
      </c>
      <c r="H32" s="173">
        <v>0.20412407210167127</v>
      </c>
      <c r="I32" s="173">
        <v>4.725912118564346E-2</v>
      </c>
      <c r="J32" s="174">
        <v>7.9651754267672015E-2</v>
      </c>
      <c r="K32" s="174">
        <v>5.5000409410426609E-2</v>
      </c>
      <c r="L32" s="173">
        <v>9.5797890578221301E-2</v>
      </c>
      <c r="M32" s="173">
        <v>-9.8000000000000004E-2</v>
      </c>
      <c r="N32" s="181">
        <v>0.01</v>
      </c>
      <c r="O32" s="181">
        <v>0.17699999999999999</v>
      </c>
      <c r="P32" s="173">
        <v>0.216</v>
      </c>
      <c r="Q32" s="173">
        <v>7.2999999999999995E-2</v>
      </c>
      <c r="R32" s="173">
        <v>0.13502306072919135</v>
      </c>
      <c r="S32" s="173">
        <v>4.5258241443262293E-3</v>
      </c>
      <c r="T32" s="173">
        <v>4.0815849427945139E-2</v>
      </c>
      <c r="U32" s="173">
        <v>3.8181547156444173E-2</v>
      </c>
      <c r="V32" s="173">
        <v>5.465384128904871E-2</v>
      </c>
      <c r="W32" s="173">
        <v>-7.6661845867398548E-2</v>
      </c>
      <c r="X32" s="173">
        <v>2.6975149432786338E-2</v>
      </c>
      <c r="Y32" s="173">
        <v>0.18286178794395647</v>
      </c>
      <c r="Z32" s="173">
        <v>0.21831034469248523</v>
      </c>
      <c r="AA32" s="173">
        <v>8.5416247648292698E-2</v>
      </c>
      <c r="AB32" s="181">
        <v>0.21561497984223843</v>
      </c>
    </row>
    <row r="33" spans="1:28" x14ac:dyDescent="0.35">
      <c r="A33" s="164"/>
      <c r="B33" s="172" t="s">
        <v>58</v>
      </c>
      <c r="C33" s="175">
        <f>ROUND(6623.4364085443,0)</f>
        <v>6623</v>
      </c>
      <c r="D33" s="175">
        <v>6616.794367465307</v>
      </c>
      <c r="E33" s="175">
        <f>ROUND(6797.84019495859,0)+1</f>
        <v>6799</v>
      </c>
      <c r="F33" s="175">
        <f>ROUND(+G33-SUM(C33,D33,E33),0)</f>
        <v>7562</v>
      </c>
      <c r="G33" s="175">
        <f>ROUND(27600.7825640754,0)</f>
        <v>27601</v>
      </c>
      <c r="H33" s="175">
        <v>5555</v>
      </c>
      <c r="I33" s="175">
        <v>3104</v>
      </c>
      <c r="J33" s="175">
        <v>4578</v>
      </c>
      <c r="K33" s="175">
        <f>+L33-SUM(H33:J33)</f>
        <v>4386</v>
      </c>
      <c r="L33" s="175">
        <v>17623</v>
      </c>
      <c r="M33" s="175">
        <v>3574</v>
      </c>
      <c r="N33" s="175">
        <v>3151</v>
      </c>
      <c r="O33" s="175">
        <v>4590</v>
      </c>
      <c r="P33" s="175">
        <f>+Q33-SUM(M33:O33)</f>
        <v>5624</v>
      </c>
      <c r="Q33" s="175">
        <v>16939</v>
      </c>
      <c r="R33" s="175">
        <v>5511.3214201459086</v>
      </c>
      <c r="S33" s="175">
        <v>3496.5549440261566</v>
      </c>
      <c r="T33" s="175">
        <v>5257.7920387148552</v>
      </c>
      <c r="U33" s="175">
        <v>5132.9121908205634</v>
      </c>
      <c r="V33" s="175">
        <v>19398.580593707491</v>
      </c>
      <c r="W33" s="175">
        <v>4446</v>
      </c>
      <c r="X33" s="175">
        <v>3981</v>
      </c>
      <c r="Y33" s="175">
        <v>5222</v>
      </c>
      <c r="Z33" s="175">
        <v>6768</v>
      </c>
      <c r="AA33" s="175">
        <v>20417</v>
      </c>
      <c r="AB33" s="175">
        <v>7436</v>
      </c>
    </row>
    <row r="34" spans="1:28" x14ac:dyDescent="0.35">
      <c r="A34" s="164"/>
      <c r="B34" s="172" t="s">
        <v>60</v>
      </c>
      <c r="C34" s="174">
        <f t="shared" ref="C34:H34" si="32">C33/C30</f>
        <v>0.34983097401225438</v>
      </c>
      <c r="D34" s="174">
        <f t="shared" si="32"/>
        <v>0.34966941644904648</v>
      </c>
      <c r="E34" s="174">
        <f t="shared" si="32"/>
        <v>0.36026918185671897</v>
      </c>
      <c r="F34" s="174">
        <f t="shared" ref="F34" si="33">F33/F30</f>
        <v>0.37276939761411809</v>
      </c>
      <c r="G34" s="174">
        <f t="shared" ref="G34" si="34">G33/G30</f>
        <v>0.35839403737031411</v>
      </c>
      <c r="H34" s="174">
        <f t="shared" si="32"/>
        <v>0.24367241303680309</v>
      </c>
      <c r="I34" s="174">
        <f t="shared" ref="I34:J34" si="35">I33/I30</f>
        <v>0.15663319372256143</v>
      </c>
      <c r="J34" s="174">
        <f t="shared" si="35"/>
        <v>0.22468711656441717</v>
      </c>
      <c r="K34" s="174">
        <f t="shared" ref="K34:L34" si="36">K33/K30</f>
        <v>0.2049341183067003</v>
      </c>
      <c r="L34" s="174">
        <f t="shared" si="36"/>
        <v>0.20882558566671802</v>
      </c>
      <c r="M34" s="174">
        <f t="shared" ref="M34:N34" si="37">M33/M30</f>
        <v>0.17375662404589431</v>
      </c>
      <c r="N34" s="174">
        <f t="shared" si="37"/>
        <v>0.15742406075139889</v>
      </c>
      <c r="O34" s="174">
        <f t="shared" ref="O34:Q34" si="38">O33/O30</f>
        <v>0.19142547335057136</v>
      </c>
      <c r="P34" s="174">
        <f t="shared" si="38"/>
        <v>0.21609160070698533</v>
      </c>
      <c r="Q34" s="174">
        <f t="shared" si="38"/>
        <v>0.18698738257404321</v>
      </c>
      <c r="R34" s="174">
        <f>R33/R30</f>
        <v>0.22829983076526691</v>
      </c>
      <c r="S34" s="174">
        <f t="shared" ref="S34:V34" si="39">S33/S30</f>
        <v>0.16514576953868951</v>
      </c>
      <c r="T34" s="174">
        <f t="shared" si="39"/>
        <v>0.24267224711562044</v>
      </c>
      <c r="U34" s="174">
        <f t="shared" si="39"/>
        <v>0.2244826878880567</v>
      </c>
      <c r="V34" s="174">
        <f t="shared" si="39"/>
        <v>0.21591164370277743</v>
      </c>
      <c r="W34" s="174">
        <f>W33/W30</f>
        <v>0.19983818770226539</v>
      </c>
      <c r="X34" s="174">
        <f t="shared" ref="X34:AA34" si="40">X33/X30</f>
        <v>0.18320294523699954</v>
      </c>
      <c r="Y34" s="174">
        <f t="shared" si="40"/>
        <v>0.20373766142561742</v>
      </c>
      <c r="Z34" s="174">
        <f t="shared" si="40"/>
        <v>0.24296381390005745</v>
      </c>
      <c r="AA34" s="174">
        <f t="shared" si="40"/>
        <v>0.20948032627096907</v>
      </c>
      <c r="AB34" s="174">
        <f t="shared" ref="AB34" si="41">AB33/AB30</f>
        <v>0.27511191683007141</v>
      </c>
    </row>
    <row r="35" spans="1:28" x14ac:dyDescent="0.35">
      <c r="A35" s="164"/>
      <c r="B35" s="172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x14ac:dyDescent="0.35">
      <c r="A36" s="177"/>
      <c r="B36" s="177" t="s">
        <v>236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>
        <v>49582.083608125431</v>
      </c>
      <c r="S36" s="179">
        <v>50707.611067890277</v>
      </c>
      <c r="T36" s="179">
        <v>48993.616066006805</v>
      </c>
      <c r="U36" s="179">
        <v>47542.229781760056</v>
      </c>
      <c r="V36" s="179">
        <v>196824.54052378255</v>
      </c>
      <c r="W36" s="179">
        <v>49078</v>
      </c>
      <c r="X36" s="179">
        <v>48327</v>
      </c>
      <c r="Y36" s="179">
        <v>45912</v>
      </c>
      <c r="Z36" s="179">
        <v>46801</v>
      </c>
      <c r="AA36" s="179">
        <v>190118</v>
      </c>
      <c r="AB36" s="179">
        <v>42791</v>
      </c>
    </row>
    <row r="37" spans="1:28" x14ac:dyDescent="0.35">
      <c r="A37" s="164"/>
      <c r="B37" s="172" t="s">
        <v>149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>
        <v>-7.1766246416520296E-3</v>
      </c>
      <c r="S37" s="173">
        <v>7.3355111803201645E-3</v>
      </c>
      <c r="T37" s="173">
        <v>-1.7200992854702113E-2</v>
      </c>
      <c r="U37" s="173">
        <v>-1.5358179166956365E-2</v>
      </c>
      <c r="V37" s="173">
        <v>-8.0080471518180207E-3</v>
      </c>
      <c r="W37" s="173">
        <v>-1.0166648342362583E-2</v>
      </c>
      <c r="X37" s="173">
        <v>-4.694780562040235E-2</v>
      </c>
      <c r="Y37" s="173">
        <v>-6.2898318463676772E-2</v>
      </c>
      <c r="Z37" s="173">
        <v>-1.5590976383788258E-2</v>
      </c>
      <c r="AA37" s="173">
        <v>-3.4068793325929936E-2</v>
      </c>
      <c r="AB37" s="173">
        <f t="shared" ref="AB37" si="42">AB36/W36-1</f>
        <v>-0.12810220465381639</v>
      </c>
    </row>
    <row r="38" spans="1:28" x14ac:dyDescent="0.35">
      <c r="A38" s="164"/>
      <c r="B38" s="172" t="s">
        <v>162</v>
      </c>
      <c r="C38" s="173"/>
      <c r="D38" s="173"/>
      <c r="E38" s="173"/>
      <c r="F38" s="173"/>
      <c r="G38" s="173"/>
      <c r="H38" s="173"/>
      <c r="I38" s="173"/>
      <c r="J38" s="174"/>
      <c r="K38" s="174"/>
      <c r="L38" s="173"/>
      <c r="M38" s="173"/>
      <c r="N38" s="181"/>
      <c r="O38" s="181"/>
      <c r="P38" s="173"/>
      <c r="Q38" s="173"/>
      <c r="R38" s="173">
        <v>-1.9987302814858054E-2</v>
      </c>
      <c r="S38" s="173">
        <v>1.6785846230720658E-2</v>
      </c>
      <c r="T38" s="173">
        <v>1.1701728919066845E-2</v>
      </c>
      <c r="U38" s="173">
        <v>2.0109333595353496E-2</v>
      </c>
      <c r="V38" s="173">
        <v>7.0608280109063504E-3</v>
      </c>
      <c r="W38" s="173">
        <v>1.6162810467584166E-2</v>
      </c>
      <c r="X38" s="173">
        <v>-3.5680958427906306E-2</v>
      </c>
      <c r="Y38" s="173">
        <v>-6.2191215513976217E-2</v>
      </c>
      <c r="Z38" s="173">
        <v>-1.671263092743791E-2</v>
      </c>
      <c r="AA38" s="173">
        <v>-2.4642124558533207E-2</v>
      </c>
      <c r="AB38" s="181">
        <v>-0.11863677605004952</v>
      </c>
    </row>
    <row r="39" spans="1:28" x14ac:dyDescent="0.35">
      <c r="A39" s="164"/>
      <c r="B39" s="172" t="s">
        <v>58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>
        <v>20086.983382073111</v>
      </c>
      <c r="S39" s="175">
        <v>20199.203012760525</v>
      </c>
      <c r="T39" s="175">
        <v>19922.494664906415</v>
      </c>
      <c r="U39" s="175">
        <v>18631.327774917048</v>
      </c>
      <c r="V39" s="175">
        <v>78839.00883465707</v>
      </c>
      <c r="W39" s="175">
        <v>21785</v>
      </c>
      <c r="X39" s="175">
        <v>20475</v>
      </c>
      <c r="Y39" s="175">
        <v>18845</v>
      </c>
      <c r="Z39" s="175">
        <v>20396</v>
      </c>
      <c r="AA39" s="175">
        <v>81501</v>
      </c>
      <c r="AB39" s="175">
        <v>17309</v>
      </c>
    </row>
    <row r="40" spans="1:28" x14ac:dyDescent="0.35">
      <c r="A40" s="164"/>
      <c r="B40" s="172" t="s">
        <v>60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>
        <f t="shared" ref="R40:V40" si="43">R39/R36</f>
        <v>0.40512584224639742</v>
      </c>
      <c r="S40" s="174">
        <f t="shared" si="43"/>
        <v>0.39834657139963991</v>
      </c>
      <c r="T40" s="174">
        <f t="shared" si="43"/>
        <v>0.40663450189236433</v>
      </c>
      <c r="U40" s="174">
        <f t="shared" si="43"/>
        <v>0.39189007037413087</v>
      </c>
      <c r="V40" s="174">
        <f t="shared" si="43"/>
        <v>0.40055477139615553</v>
      </c>
      <c r="W40" s="174">
        <f t="shared" ref="W40:AA40" si="44">W39/W36</f>
        <v>0.44388524389746936</v>
      </c>
      <c r="X40" s="174">
        <f t="shared" si="44"/>
        <v>0.4236762058476628</v>
      </c>
      <c r="Y40" s="174">
        <f t="shared" si="44"/>
        <v>0.41045913922286115</v>
      </c>
      <c r="Z40" s="174">
        <f t="shared" si="44"/>
        <v>0.43580265378944893</v>
      </c>
      <c r="AA40" s="174">
        <f t="shared" si="44"/>
        <v>0.42868639476535625</v>
      </c>
      <c r="AB40" s="174">
        <f t="shared" ref="AB40" si="45">AB39/AB36</f>
        <v>0.40450094646070434</v>
      </c>
    </row>
    <row r="41" spans="1:28" x14ac:dyDescent="0.35">
      <c r="A41" s="164"/>
      <c r="B41" s="172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</row>
    <row r="42" spans="1:28" x14ac:dyDescent="0.35">
      <c r="A42" s="177"/>
      <c r="B42" s="177" t="s">
        <v>150</v>
      </c>
      <c r="C42" s="179">
        <v>17043</v>
      </c>
      <c r="D42" s="179">
        <v>17835</v>
      </c>
      <c r="E42" s="179">
        <v>18496</v>
      </c>
      <c r="F42" s="179">
        <f>+G42-SUM(C42,D42,E42)</f>
        <v>17577</v>
      </c>
      <c r="G42" s="179">
        <v>70951</v>
      </c>
      <c r="H42" s="179">
        <v>17499</v>
      </c>
      <c r="I42" s="179">
        <v>18549</v>
      </c>
      <c r="J42" s="179">
        <v>17278</v>
      </c>
      <c r="K42" s="179">
        <f>+L42-SUM(H42:J42)</f>
        <v>16911</v>
      </c>
      <c r="L42" s="179">
        <v>70237</v>
      </c>
      <c r="M42" s="179">
        <v>17425</v>
      </c>
      <c r="N42" s="179">
        <v>17541</v>
      </c>
      <c r="O42" s="179">
        <v>16950</v>
      </c>
      <c r="P42" s="179">
        <f>+Q42-SUM(M42:O42)</f>
        <v>16094</v>
      </c>
      <c r="Q42" s="179">
        <v>68010</v>
      </c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</row>
    <row r="43" spans="1:28" x14ac:dyDescent="0.35">
      <c r="A43" s="164"/>
      <c r="B43" s="172" t="s">
        <v>149</v>
      </c>
      <c r="C43" s="173">
        <v>-2.9384857740985537E-2</v>
      </c>
      <c r="D43" s="173">
        <v>1.6522774338959989E-2</v>
      </c>
      <c r="E43" s="173">
        <v>5.5768957384487727E-2</v>
      </c>
      <c r="F43" s="173">
        <v>4.9804676911162193E-2</v>
      </c>
      <c r="G43" s="173">
        <v>2.2847259742702963E-2</v>
      </c>
      <c r="H43" s="173">
        <f t="shared" ref="H43:Q43" si="46">H42/C42-1</f>
        <v>2.6755852842809347E-2</v>
      </c>
      <c r="I43" s="173">
        <f t="shared" si="46"/>
        <v>4.003364171572743E-2</v>
      </c>
      <c r="J43" s="173">
        <f t="shared" si="46"/>
        <v>-6.5852076124567449E-2</v>
      </c>
      <c r="K43" s="173">
        <f t="shared" si="46"/>
        <v>-3.7890424987199189E-2</v>
      </c>
      <c r="L43" s="173">
        <f t="shared" si="46"/>
        <v>-1.006328311087934E-2</v>
      </c>
      <c r="M43" s="173">
        <f t="shared" si="46"/>
        <v>-4.2288130750328667E-3</v>
      </c>
      <c r="N43" s="173">
        <f t="shared" si="46"/>
        <v>-5.4342552159146074E-2</v>
      </c>
      <c r="O43" s="173">
        <f t="shared" si="46"/>
        <v>-1.8983678666512294E-2</v>
      </c>
      <c r="P43" s="173">
        <f t="shared" si="46"/>
        <v>-4.8311749748684241E-2</v>
      </c>
      <c r="Q43" s="173">
        <f t="shared" si="46"/>
        <v>-3.1706935091191268E-2</v>
      </c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81"/>
    </row>
    <row r="44" spans="1:28" x14ac:dyDescent="0.35">
      <c r="A44" s="164"/>
      <c r="B44" s="172" t="s">
        <v>162</v>
      </c>
      <c r="C44" s="173">
        <v>-8.7898081101827064E-3</v>
      </c>
      <c r="D44" s="173">
        <v>3.0415633413528154E-2</v>
      </c>
      <c r="E44" s="173">
        <v>6.9456755626851718E-2</v>
      </c>
      <c r="F44" s="173">
        <v>5.1325079581286515E-2</v>
      </c>
      <c r="G44" s="173">
        <v>3.5398495320312362E-2</v>
      </c>
      <c r="H44" s="173">
        <v>2.2017804564526511E-2</v>
      </c>
      <c r="I44" s="173">
        <v>4.6765098007093719E-2</v>
      </c>
      <c r="J44" s="174">
        <v>-4.7263843395054406E-2</v>
      </c>
      <c r="K44" s="174">
        <v>-1.2110295222743761E-2</v>
      </c>
      <c r="L44" s="173">
        <v>1.7229201583262022E-3</v>
      </c>
      <c r="M44" s="173">
        <v>1.6E-2</v>
      </c>
      <c r="N44" s="181">
        <v>-0.05</v>
      </c>
      <c r="O44" s="181">
        <v>-2.1000000000000001E-2</v>
      </c>
      <c r="P44" s="181">
        <v>-0.05</v>
      </c>
      <c r="Q44" s="173">
        <v>-2.7E-2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81"/>
    </row>
    <row r="45" spans="1:28" x14ac:dyDescent="0.35">
      <c r="A45" s="164"/>
      <c r="B45" s="172" t="s">
        <v>58</v>
      </c>
      <c r="C45" s="175">
        <f>ROUND(6904.8321447588,0)</f>
        <v>6905</v>
      </c>
      <c r="D45" s="175">
        <v>7512.1982279049298</v>
      </c>
      <c r="E45" s="175">
        <f>ROUND(8500.24509549765,0)</f>
        <v>8500</v>
      </c>
      <c r="F45" s="175">
        <f>ROUND(+G45-SUM(C45,D45,E45),0)</f>
        <v>6697</v>
      </c>
      <c r="G45" s="175">
        <f>ROUND(29614.3890430638,0)</f>
        <v>29614</v>
      </c>
      <c r="H45" s="175">
        <v>7056</v>
      </c>
      <c r="I45" s="175">
        <v>7924</v>
      </c>
      <c r="J45" s="175">
        <v>7320</v>
      </c>
      <c r="K45" s="175">
        <f>+L45-SUM(H45:J45)</f>
        <v>6871</v>
      </c>
      <c r="L45" s="175">
        <v>29171</v>
      </c>
      <c r="M45" s="175">
        <v>7625</v>
      </c>
      <c r="N45" s="175">
        <v>7552</v>
      </c>
      <c r="O45" s="175">
        <v>7150</v>
      </c>
      <c r="P45" s="175">
        <f>+Q45-SUM(M45:O45)</f>
        <v>6947</v>
      </c>
      <c r="Q45" s="175">
        <v>29274</v>
      </c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314"/>
    </row>
    <row r="46" spans="1:28" x14ac:dyDescent="0.35">
      <c r="A46" s="164"/>
      <c r="B46" s="172" t="s">
        <v>60</v>
      </c>
      <c r="C46" s="182">
        <f t="shared" ref="C46:H46" si="47">C45/C42</f>
        <v>0.40515167517455847</v>
      </c>
      <c r="D46" s="182">
        <f t="shared" si="47"/>
        <v>0.42120539545303781</v>
      </c>
      <c r="E46" s="182">
        <f t="shared" si="47"/>
        <v>0.45955882352941174</v>
      </c>
      <c r="F46" s="182">
        <f t="shared" ref="F46" si="48">F45/F42</f>
        <v>0.38100927348239177</v>
      </c>
      <c r="G46" s="182">
        <f t="shared" ref="G46" si="49">G45/G42</f>
        <v>0.4173866471226621</v>
      </c>
      <c r="H46" s="182">
        <f t="shared" si="47"/>
        <v>0.40322304131664666</v>
      </c>
      <c r="I46" s="182">
        <f t="shared" ref="I46:J46" si="50">I45/I42</f>
        <v>0.4271928405843981</v>
      </c>
      <c r="J46" s="182">
        <f t="shared" si="50"/>
        <v>0.42366014585021416</v>
      </c>
      <c r="K46" s="182">
        <f t="shared" ref="K46:L46" si="51">K45/K42</f>
        <v>0.40630358937969369</v>
      </c>
      <c r="L46" s="182">
        <f t="shared" si="51"/>
        <v>0.41532240841721602</v>
      </c>
      <c r="M46" s="182">
        <f t="shared" ref="M46:N46" si="52">M45/M42</f>
        <v>0.43758967001434718</v>
      </c>
      <c r="N46" s="182">
        <f t="shared" si="52"/>
        <v>0.43053417707086256</v>
      </c>
      <c r="O46" s="182">
        <f t="shared" ref="O46" si="53">O45/O42</f>
        <v>0.42182890855457228</v>
      </c>
      <c r="P46" s="182">
        <f>P45/P42</f>
        <v>0.43165154716043247</v>
      </c>
      <c r="Q46" s="182">
        <f>Q45/Q42</f>
        <v>0.43043670048522276</v>
      </c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</row>
    <row r="47" spans="1:28" x14ac:dyDescent="0.35">
      <c r="A47" s="164"/>
      <c r="B47" s="172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AB47" s="315"/>
    </row>
    <row r="48" spans="1:28" x14ac:dyDescent="0.35">
      <c r="A48" s="177"/>
      <c r="B48" s="177" t="s">
        <v>171</v>
      </c>
      <c r="C48" s="179">
        <v>21014</v>
      </c>
      <c r="D48" s="179">
        <v>21038</v>
      </c>
      <c r="E48" s="179">
        <v>21642</v>
      </c>
      <c r="F48" s="179">
        <f>+G48-SUM(C48,D48,E48)</f>
        <v>22833</v>
      </c>
      <c r="G48" s="179">
        <v>86527</v>
      </c>
      <c r="H48" s="179">
        <v>23972</v>
      </c>
      <c r="I48" s="179">
        <v>24228</v>
      </c>
      <c r="J48" s="179">
        <v>24517</v>
      </c>
      <c r="K48" s="179">
        <f>+L48-SUM(H48:J48)</f>
        <v>25224</v>
      </c>
      <c r="L48" s="179">
        <v>97941</v>
      </c>
      <c r="M48" s="179">
        <v>25724</v>
      </c>
      <c r="N48" s="179">
        <v>26422</v>
      </c>
      <c r="O48" s="179">
        <v>26542</v>
      </c>
      <c r="P48" s="179">
        <f>+Q48-SUM(M48:O48)</f>
        <v>27892</v>
      </c>
      <c r="Q48" s="179">
        <v>106580</v>
      </c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</row>
    <row r="49" spans="1:28" x14ac:dyDescent="0.35">
      <c r="A49" s="164"/>
      <c r="B49" s="172" t="s">
        <v>149</v>
      </c>
      <c r="C49" s="173">
        <v>6.033033591401038E-2</v>
      </c>
      <c r="D49" s="173">
        <v>9.0929353505007082E-2</v>
      </c>
      <c r="E49" s="173">
        <v>8.98484146246743E-2</v>
      </c>
      <c r="F49" s="173">
        <v>0.11622234807444021</v>
      </c>
      <c r="G49" s="173">
        <v>8.953790310479226E-2</v>
      </c>
      <c r="H49" s="173">
        <f t="shared" ref="H49:Q49" si="54">H48/C48-1</f>
        <v>0.14076330065670506</v>
      </c>
      <c r="I49" s="173">
        <f t="shared" si="54"/>
        <v>0.15163038311626575</v>
      </c>
      <c r="J49" s="173">
        <f t="shared" si="54"/>
        <v>0.13284354495887629</v>
      </c>
      <c r="K49" s="173">
        <f t="shared" si="54"/>
        <v>0.10471685718039669</v>
      </c>
      <c r="L49" s="173">
        <f t="shared" si="54"/>
        <v>0.13191258219977575</v>
      </c>
      <c r="M49" s="173">
        <f t="shared" si="54"/>
        <v>7.3085266143834371E-2</v>
      </c>
      <c r="N49" s="173">
        <f t="shared" si="54"/>
        <v>9.05563810467227E-2</v>
      </c>
      <c r="O49" s="173">
        <f t="shared" si="54"/>
        <v>8.2595749887832914E-2</v>
      </c>
      <c r="P49" s="173">
        <f t="shared" si="54"/>
        <v>0.10577228036790354</v>
      </c>
      <c r="Q49" s="173">
        <f t="shared" si="54"/>
        <v>8.8206164936032838E-2</v>
      </c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81"/>
    </row>
    <row r="50" spans="1:28" x14ac:dyDescent="0.35">
      <c r="A50" s="164"/>
      <c r="B50" s="172" t="s">
        <v>162</v>
      </c>
      <c r="C50" s="173">
        <v>5.9375507743957501E-2</v>
      </c>
      <c r="D50" s="173">
        <v>8.7111291904700794E-2</v>
      </c>
      <c r="E50" s="173">
        <v>7.8793541177875737E-2</v>
      </c>
      <c r="F50" s="173">
        <v>9.9241949534063068E-2</v>
      </c>
      <c r="G50" s="173">
        <v>8.1234534877984155E-2</v>
      </c>
      <c r="H50" s="173">
        <v>0.11758214400387579</v>
      </c>
      <c r="I50" s="173">
        <v>0.15109154048019469</v>
      </c>
      <c r="J50" s="174">
        <v>0.15493095253100586</v>
      </c>
      <c r="K50" s="174">
        <v>0.12982663917595483</v>
      </c>
      <c r="L50" s="173">
        <v>0.13830205588900712</v>
      </c>
      <c r="M50" s="173">
        <v>0.1</v>
      </c>
      <c r="N50" s="181">
        <v>0.10299999999999999</v>
      </c>
      <c r="O50" s="181">
        <v>8.6999999999999994E-2</v>
      </c>
      <c r="P50" s="181">
        <v>0.106</v>
      </c>
      <c r="Q50" s="173">
        <v>9.9000000000000005E-2</v>
      </c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81"/>
    </row>
    <row r="51" spans="1:28" x14ac:dyDescent="0.35">
      <c r="A51" s="164"/>
      <c r="B51" s="172" t="s">
        <v>58</v>
      </c>
      <c r="C51" s="175">
        <f>ROUND(8588.46080539107,0)</f>
        <v>8588</v>
      </c>
      <c r="D51" s="175">
        <v>8699.880853350036</v>
      </c>
      <c r="E51" s="175">
        <f>ROUND(9007.93462975813,0)</f>
        <v>9008</v>
      </c>
      <c r="F51" s="175">
        <f>ROUND(+G51-SUM(C51,D51,E51),0)</f>
        <v>8869</v>
      </c>
      <c r="G51" s="175">
        <f>ROUND(35165.0600100329,0)</f>
        <v>35165</v>
      </c>
      <c r="H51" s="175">
        <v>9243</v>
      </c>
      <c r="I51" s="175">
        <v>9685</v>
      </c>
      <c r="J51" s="175">
        <v>9600</v>
      </c>
      <c r="K51" s="175">
        <f>+L51-SUM(H51:J51)</f>
        <v>10258</v>
      </c>
      <c r="L51" s="175">
        <v>38786</v>
      </c>
      <c r="M51" s="175">
        <v>11450</v>
      </c>
      <c r="N51" s="175">
        <v>10428</v>
      </c>
      <c r="O51" s="175">
        <v>9891</v>
      </c>
      <c r="P51" s="175">
        <f>+Q51-SUM(M51:O51)</f>
        <v>11494</v>
      </c>
      <c r="Q51" s="175">
        <v>43263</v>
      </c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314"/>
    </row>
    <row r="52" spans="1:28" x14ac:dyDescent="0.35">
      <c r="A52" s="164"/>
      <c r="B52" s="172" t="s">
        <v>60</v>
      </c>
      <c r="C52" s="182">
        <f t="shared" ref="C52:H52" si="55">C51/C48</f>
        <v>0.40867992766726946</v>
      </c>
      <c r="D52" s="182">
        <f t="shared" si="55"/>
        <v>0.41353174509696911</v>
      </c>
      <c r="E52" s="182">
        <f t="shared" si="55"/>
        <v>0.41622770538767212</v>
      </c>
      <c r="F52" s="182">
        <f t="shared" ref="F52" si="56">F51/F48</f>
        <v>0.38842902816099506</v>
      </c>
      <c r="G52" s="182">
        <f t="shared" ref="G52" si="57">G51/G48</f>
        <v>0.40640493718723636</v>
      </c>
      <c r="H52" s="182">
        <f t="shared" si="55"/>
        <v>0.38557483731019521</v>
      </c>
      <c r="I52" s="182">
        <f t="shared" ref="I52:J52" si="58">I51/I48</f>
        <v>0.39974409773815422</v>
      </c>
      <c r="J52" s="182">
        <f t="shared" si="58"/>
        <v>0.39156503650528207</v>
      </c>
      <c r="K52" s="182">
        <f t="shared" ref="K52:L52" si="59">K51/K48</f>
        <v>0.40667618141452583</v>
      </c>
      <c r="L52" s="182">
        <f t="shared" si="59"/>
        <v>0.39601392675181996</v>
      </c>
      <c r="M52" s="182">
        <f t="shared" ref="M52:N52" si="60">M51/M48</f>
        <v>0.44510962525268233</v>
      </c>
      <c r="N52" s="182">
        <f t="shared" si="60"/>
        <v>0.39467110741049127</v>
      </c>
      <c r="O52" s="182">
        <f t="shared" ref="O52:Q52" si="61">O51/O48</f>
        <v>0.37265466053801521</v>
      </c>
      <c r="P52" s="182">
        <f>P51/P48</f>
        <v>0.4120894880252402</v>
      </c>
      <c r="Q52" s="182">
        <f t="shared" si="61"/>
        <v>0.40592043535372491</v>
      </c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</row>
    <row r="53" spans="1:28" x14ac:dyDescent="0.35">
      <c r="A53" s="164"/>
      <c r="B53" s="172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AB53" s="315"/>
    </row>
    <row r="54" spans="1:28" x14ac:dyDescent="0.35">
      <c r="A54" s="177"/>
      <c r="B54" s="177" t="s">
        <v>172</v>
      </c>
      <c r="C54" s="179">
        <v>21116</v>
      </c>
      <c r="D54" s="179">
        <v>21447</v>
      </c>
      <c r="E54" s="179">
        <v>19983</v>
      </c>
      <c r="F54" s="179">
        <f>+G54-SUM(C54,D54,E54)</f>
        <v>20536</v>
      </c>
      <c r="G54" s="179">
        <v>83082</v>
      </c>
      <c r="H54" s="179">
        <v>21700</v>
      </c>
      <c r="I54" s="179">
        <v>23088</v>
      </c>
      <c r="J54" s="179">
        <v>21944</v>
      </c>
      <c r="K54" s="179">
        <f>+L54-SUM(H54:J54)</f>
        <v>20377</v>
      </c>
      <c r="L54" s="179">
        <v>87109</v>
      </c>
      <c r="M54" s="179">
        <v>19856</v>
      </c>
      <c r="N54" s="179">
        <v>19423</v>
      </c>
      <c r="O54" s="179">
        <v>17455</v>
      </c>
      <c r="P54" s="179">
        <f>+Q54-SUM(M54:O54)</f>
        <v>17945</v>
      </c>
      <c r="Q54" s="179">
        <v>74679</v>
      </c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</row>
    <row r="55" spans="1:28" x14ac:dyDescent="0.35">
      <c r="A55" s="164"/>
      <c r="B55" s="172" t="s">
        <v>149</v>
      </c>
      <c r="C55" s="173">
        <v>-0.18804620311319431</v>
      </c>
      <c r="D55" s="173">
        <v>-0.17514317269040014</v>
      </c>
      <c r="E55" s="173">
        <v>-0.14699169248747368</v>
      </c>
      <c r="F55" s="173">
        <v>-2.4629302876210457E-2</v>
      </c>
      <c r="G55" s="173">
        <v>-0.13894260862881636</v>
      </c>
      <c r="H55" s="173">
        <f t="shared" ref="H55:Q55" si="62">H54/C54-1</f>
        <v>2.7656753172949466E-2</v>
      </c>
      <c r="I55" s="173">
        <f t="shared" si="62"/>
        <v>7.6514197789900651E-2</v>
      </c>
      <c r="J55" s="173">
        <f t="shared" si="62"/>
        <v>9.8133413401391145E-2</v>
      </c>
      <c r="K55" s="173">
        <f t="shared" si="62"/>
        <v>-7.7425009738995021E-3</v>
      </c>
      <c r="L55" s="173">
        <f t="shared" si="62"/>
        <v>4.847018608122089E-2</v>
      </c>
      <c r="M55" s="173">
        <f t="shared" si="62"/>
        <v>-8.4976958525345592E-2</v>
      </c>
      <c r="N55" s="173">
        <f t="shared" si="62"/>
        <v>-0.15874047124047119</v>
      </c>
      <c r="O55" s="173">
        <f t="shared" si="62"/>
        <v>-0.20456616842872766</v>
      </c>
      <c r="P55" s="173">
        <f t="shared" si="62"/>
        <v>-0.11935024782843406</v>
      </c>
      <c r="Q55" s="173">
        <f t="shared" si="62"/>
        <v>-0.14269478469503727</v>
      </c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81"/>
    </row>
    <row r="56" spans="1:28" x14ac:dyDescent="0.35">
      <c r="A56" s="164"/>
      <c r="B56" s="172" t="s">
        <v>162</v>
      </c>
      <c r="C56" s="173">
        <v>-0.17873627364342526</v>
      </c>
      <c r="D56" s="173">
        <v>-0.18041377630015187</v>
      </c>
      <c r="E56" s="173">
        <v>-0.1599352906915209</v>
      </c>
      <c r="F56" s="173">
        <v>-5.2199751882280876E-2</v>
      </c>
      <c r="G56" s="173">
        <v>-0.14701258829889308</v>
      </c>
      <c r="H56" s="173">
        <v>-6.1027868993246415E-4</v>
      </c>
      <c r="I56" s="173">
        <v>8.6483353637906601E-2</v>
      </c>
      <c r="J56" s="174">
        <v>0.1368210449347933</v>
      </c>
      <c r="K56" s="174">
        <v>3.7987330551400689E-2</v>
      </c>
      <c r="L56" s="173">
        <v>6.4468661522303128E-2</v>
      </c>
      <c r="M56" s="173">
        <v>-4.3999999999999997E-2</v>
      </c>
      <c r="N56" s="181">
        <v>-0.14399999999999999</v>
      </c>
      <c r="O56" s="181">
        <v>-0.19900000000000001</v>
      </c>
      <c r="P56" s="181">
        <v>-0.11899999999999999</v>
      </c>
      <c r="Q56" s="173">
        <v>-0.127</v>
      </c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x14ac:dyDescent="0.35">
      <c r="A57" s="164"/>
      <c r="B57" s="172" t="s">
        <v>58</v>
      </c>
      <c r="C57" s="175">
        <f>ROUND(6703.27249362086,0)</f>
        <v>6703</v>
      </c>
      <c r="D57" s="175">
        <v>6801.5654992821783</v>
      </c>
      <c r="E57" s="175">
        <f>ROUND(6413.60301117024,0)-1</f>
        <v>6413</v>
      </c>
      <c r="F57" s="175">
        <f>ROUND(+G57-SUM(C57,D57,E57),0)</f>
        <v>6526</v>
      </c>
      <c r="G57" s="175">
        <f>ROUND(26442.9387487777,0)+1</f>
        <v>26444</v>
      </c>
      <c r="H57" s="175">
        <v>6515</v>
      </c>
      <c r="I57" s="175">
        <v>8009</v>
      </c>
      <c r="J57" s="175">
        <v>7621</v>
      </c>
      <c r="K57" s="175">
        <f>+L57-SUM(H57:J57)</f>
        <v>6623</v>
      </c>
      <c r="L57" s="175">
        <v>28768</v>
      </c>
      <c r="M57" s="175">
        <v>7279</v>
      </c>
      <c r="N57" s="175">
        <v>7162</v>
      </c>
      <c r="O57" s="175">
        <v>5072</v>
      </c>
      <c r="P57" s="175">
        <f>+Q57-SUM(M57:O57)</f>
        <v>6302</v>
      </c>
      <c r="Q57" s="175">
        <v>25815</v>
      </c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</row>
    <row r="58" spans="1:28" x14ac:dyDescent="0.35">
      <c r="A58" s="164"/>
      <c r="B58" s="172" t="s">
        <v>60</v>
      </c>
      <c r="C58" s="174">
        <f t="shared" ref="C58:H58" si="63">C57/C54</f>
        <v>0.31743701458609586</v>
      </c>
      <c r="D58" s="174">
        <f t="shared" si="63"/>
        <v>0.31713365502318169</v>
      </c>
      <c r="E58" s="174">
        <f t="shared" si="63"/>
        <v>0.32092278436671168</v>
      </c>
      <c r="F58" s="174">
        <f t="shared" ref="F58" si="64">F57/F54</f>
        <v>0.31778340475262951</v>
      </c>
      <c r="G58" s="174">
        <f t="shared" ref="G58" si="65">G57/G54</f>
        <v>0.3182879564767338</v>
      </c>
      <c r="H58" s="174">
        <f t="shared" si="63"/>
        <v>0.30023041474654377</v>
      </c>
      <c r="I58" s="174">
        <f t="shared" ref="I58:J58" si="66">I57/I54</f>
        <v>0.34689015939015938</v>
      </c>
      <c r="J58" s="174">
        <f t="shared" si="66"/>
        <v>0.34729310973386801</v>
      </c>
      <c r="K58" s="174">
        <f t="shared" ref="K58:L58" si="67">K57/K54</f>
        <v>0.325023310595279</v>
      </c>
      <c r="L58" s="174">
        <f t="shared" si="67"/>
        <v>0.33025290153715459</v>
      </c>
      <c r="M58" s="174">
        <f t="shared" ref="M58:N58" si="68">M57/M54</f>
        <v>0.36658944399677679</v>
      </c>
      <c r="N58" s="174">
        <f t="shared" si="68"/>
        <v>0.36873809401225349</v>
      </c>
      <c r="O58" s="174">
        <f t="shared" ref="O58" si="69">O57/O54</f>
        <v>0.29057576625608705</v>
      </c>
      <c r="P58" s="174">
        <f>P57/P54</f>
        <v>0.35118417386458622</v>
      </c>
      <c r="Q58" s="174">
        <f>Q57/Q54</f>
        <v>0.34567950829550476</v>
      </c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x14ac:dyDescent="0.35">
      <c r="A59" s="164"/>
      <c r="B59" s="172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</row>
    <row r="60" spans="1:28" x14ac:dyDescent="0.35">
      <c r="A60" s="164"/>
      <c r="B60" s="165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271"/>
      <c r="N60" s="271"/>
      <c r="O60" s="271"/>
      <c r="P60" s="271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271"/>
    </row>
    <row r="61" spans="1:28" x14ac:dyDescent="0.35">
      <c r="A61" s="169"/>
      <c r="B61" s="170" t="s">
        <v>243</v>
      </c>
      <c r="C61" s="198">
        <v>49007</v>
      </c>
      <c r="D61" s="198">
        <v>51559</v>
      </c>
      <c r="E61" s="198">
        <v>53744</v>
      </c>
      <c r="F61" s="198">
        <f>+G61-SUM(C61,D61,E61)</f>
        <v>55633</v>
      </c>
      <c r="G61" s="198">
        <v>209943</v>
      </c>
      <c r="H61" s="198">
        <v>57102</v>
      </c>
      <c r="I61" s="198">
        <v>59618</v>
      </c>
      <c r="J61" s="198">
        <v>82707</v>
      </c>
      <c r="K61" s="198">
        <f>+L61-SUM(H61:J61)</f>
        <v>85863</v>
      </c>
      <c r="L61" s="198">
        <v>285290</v>
      </c>
      <c r="M61" s="198">
        <v>86961</v>
      </c>
      <c r="N61" s="198">
        <v>87871</v>
      </c>
      <c r="O61" s="198">
        <v>88753</v>
      </c>
      <c r="P61" s="291">
        <f>+Q61-SUM(M61:O61)</f>
        <v>93744</v>
      </c>
      <c r="Q61" s="198">
        <v>357329</v>
      </c>
      <c r="R61" s="198">
        <f>H61</f>
        <v>57102</v>
      </c>
      <c r="S61" s="198">
        <f t="shared" ref="S61:V62" si="70">I61</f>
        <v>59618</v>
      </c>
      <c r="T61" s="198">
        <f t="shared" si="70"/>
        <v>82707</v>
      </c>
      <c r="U61" s="198">
        <f t="shared" si="70"/>
        <v>85863</v>
      </c>
      <c r="V61" s="198">
        <f t="shared" si="70"/>
        <v>285290</v>
      </c>
      <c r="W61" s="198">
        <f t="shared" ref="W61:AA62" si="71">M61</f>
        <v>86961</v>
      </c>
      <c r="X61" s="198">
        <f t="shared" si="71"/>
        <v>87871</v>
      </c>
      <c r="Y61" s="198">
        <f t="shared" si="71"/>
        <v>88753</v>
      </c>
      <c r="Z61" s="198">
        <f t="shared" si="71"/>
        <v>93744</v>
      </c>
      <c r="AA61" s="198">
        <f t="shared" si="71"/>
        <v>357329</v>
      </c>
      <c r="AB61" s="198">
        <v>92431</v>
      </c>
    </row>
    <row r="62" spans="1:28" x14ac:dyDescent="0.35">
      <c r="A62" s="164"/>
      <c r="B62" s="172" t="s">
        <v>149</v>
      </c>
      <c r="C62" s="173">
        <v>0.25768618795873333</v>
      </c>
      <c r="D62" s="173">
        <v>0.30169910878840667</v>
      </c>
      <c r="E62" s="173">
        <v>0.29077503182265763</v>
      </c>
      <c r="F62" s="173">
        <v>0.22211238522033305</v>
      </c>
      <c r="G62" s="173">
        <v>0.26674671461498556</v>
      </c>
      <c r="H62" s="173">
        <f t="shared" ref="H62:Q62" si="72">H61/C61-1</f>
        <v>0.16518048442059308</v>
      </c>
      <c r="I62" s="173">
        <f t="shared" si="72"/>
        <v>0.15630636746251869</v>
      </c>
      <c r="J62" s="173">
        <f t="shared" si="72"/>
        <v>0.53890666865138437</v>
      </c>
      <c r="K62" s="173">
        <f t="shared" si="72"/>
        <v>0.54338252476048399</v>
      </c>
      <c r="L62" s="173">
        <f t="shared" si="72"/>
        <v>0.35889265181501639</v>
      </c>
      <c r="M62" s="173">
        <f t="shared" si="72"/>
        <v>0.52290637806031315</v>
      </c>
      <c r="N62" s="173">
        <f t="shared" si="72"/>
        <v>0.47390049984903881</v>
      </c>
      <c r="O62" s="173">
        <f t="shared" si="72"/>
        <v>7.3101430350514418E-2</v>
      </c>
      <c r="P62" s="173">
        <f t="shared" si="72"/>
        <v>9.178575172076453E-2</v>
      </c>
      <c r="Q62" s="173">
        <f t="shared" si="72"/>
        <v>0.25251147954712749</v>
      </c>
      <c r="R62" s="173">
        <f t="shared" ref="R62" si="73">H62</f>
        <v>0.16518048442059308</v>
      </c>
      <c r="S62" s="173">
        <f t="shared" si="70"/>
        <v>0.15630636746251869</v>
      </c>
      <c r="T62" s="173">
        <f t="shared" si="70"/>
        <v>0.53890666865138437</v>
      </c>
      <c r="U62" s="173">
        <f t="shared" si="70"/>
        <v>0.54338252476048399</v>
      </c>
      <c r="V62" s="173">
        <f>L62</f>
        <v>0.35889265181501639</v>
      </c>
      <c r="W62" s="173">
        <f t="shared" si="71"/>
        <v>0.52290637806031315</v>
      </c>
      <c r="X62" s="173">
        <f t="shared" si="71"/>
        <v>0.47390049984903881</v>
      </c>
      <c r="Y62" s="173">
        <f t="shared" si="71"/>
        <v>7.3101430350514418E-2</v>
      </c>
      <c r="Z62" s="173">
        <f t="shared" si="71"/>
        <v>9.178575172076453E-2</v>
      </c>
      <c r="AA62" s="173">
        <f t="shared" si="71"/>
        <v>0.25251147954712749</v>
      </c>
      <c r="AB62" s="173">
        <f t="shared" ref="AB62" si="74">AB61/W61-1</f>
        <v>6.2901760559331166E-2</v>
      </c>
    </row>
    <row r="63" spans="1:28" x14ac:dyDescent="0.35">
      <c r="A63" s="164"/>
      <c r="B63" s="172" t="s">
        <v>162</v>
      </c>
      <c r="C63" s="173">
        <v>0.26449313786220241</v>
      </c>
      <c r="D63" s="173">
        <v>0.30672714056653971</v>
      </c>
      <c r="E63" s="173">
        <v>0.28622381929732188</v>
      </c>
      <c r="F63" s="173">
        <v>0.21556896689772653</v>
      </c>
      <c r="G63" s="173">
        <v>0.2666081850078057</v>
      </c>
      <c r="H63" s="173">
        <v>0.15791931376504653</v>
      </c>
      <c r="I63" s="173">
        <v>0.1540402023110381</v>
      </c>
      <c r="J63" s="174">
        <v>0.5407405328511683</v>
      </c>
      <c r="K63" s="174">
        <v>0.54969054598859524</v>
      </c>
      <c r="L63" s="173">
        <v>0.35878167493354329</v>
      </c>
      <c r="M63" s="173">
        <v>0.53100000000000003</v>
      </c>
      <c r="N63" s="181">
        <v>0.47899999999999998</v>
      </c>
      <c r="O63" s="181">
        <v>7.8E-2</v>
      </c>
      <c r="P63" s="181">
        <v>0.09</v>
      </c>
      <c r="Q63" s="173">
        <v>0.25600000000000001</v>
      </c>
      <c r="R63" s="173">
        <f>H63</f>
        <v>0.15791931376504653</v>
      </c>
      <c r="S63" s="173">
        <f t="shared" ref="S63:W63" si="75">I63</f>
        <v>0.1540402023110381</v>
      </c>
      <c r="T63" s="173">
        <f t="shared" si="75"/>
        <v>0.5407405328511683</v>
      </c>
      <c r="U63" s="173">
        <f t="shared" si="75"/>
        <v>0.54969054598859524</v>
      </c>
      <c r="V63" s="173">
        <f t="shared" si="75"/>
        <v>0.35878167493354329</v>
      </c>
      <c r="W63" s="173">
        <f t="shared" si="75"/>
        <v>0.53100000000000003</v>
      </c>
      <c r="X63" s="173">
        <f t="shared" ref="X63" si="76">N63</f>
        <v>0.47899999999999998</v>
      </c>
      <c r="Y63" s="173">
        <f t="shared" ref="Y63" si="77">O63</f>
        <v>7.8E-2</v>
      </c>
      <c r="Z63" s="173">
        <f t="shared" ref="Z63" si="78">P63</f>
        <v>0.09</v>
      </c>
      <c r="AA63" s="173">
        <f t="shared" ref="AA63" si="79">Q63</f>
        <v>0.25600000000000001</v>
      </c>
      <c r="AB63" s="181">
        <v>6.6205178752887672E-2</v>
      </c>
    </row>
    <row r="64" spans="1:28" x14ac:dyDescent="0.35">
      <c r="A64" s="164"/>
      <c r="B64" s="172" t="s">
        <v>58</v>
      </c>
      <c r="C64" s="175">
        <f>ROUND(17250.6004479698,0)</f>
        <v>17251</v>
      </c>
      <c r="D64" s="175">
        <f>ROUND(17907.9207157307,0)</f>
        <v>17908</v>
      </c>
      <c r="E64" s="175">
        <f>ROUND(18114.961717834,0)-1</f>
        <v>18114</v>
      </c>
      <c r="F64" s="175">
        <f>ROUND(+G64-SUM(C64,D64,E64),0)</f>
        <v>19710</v>
      </c>
      <c r="G64" s="175">
        <f>ROUND(72983.3295386044,0)</f>
        <v>72983</v>
      </c>
      <c r="H64" s="175">
        <v>19027</v>
      </c>
      <c r="I64" s="175">
        <v>20962</v>
      </c>
      <c r="J64" s="175">
        <v>29069</v>
      </c>
      <c r="K64" s="175">
        <f>+L64-SUM(H64:J64)</f>
        <v>31628</v>
      </c>
      <c r="L64" s="175">
        <v>100686</v>
      </c>
      <c r="M64" s="175">
        <v>30059</v>
      </c>
      <c r="N64" s="175">
        <v>30440</v>
      </c>
      <c r="O64" s="175">
        <v>30920</v>
      </c>
      <c r="P64" s="175">
        <f>+Q64-SUM(M64:O64)</f>
        <v>34665</v>
      </c>
      <c r="Q64" s="175">
        <v>126084</v>
      </c>
      <c r="R64" s="175">
        <f>H64</f>
        <v>19027</v>
      </c>
      <c r="S64" s="175">
        <f t="shared" ref="S64:V64" si="80">I64</f>
        <v>20962</v>
      </c>
      <c r="T64" s="175">
        <f t="shared" si="80"/>
        <v>29069</v>
      </c>
      <c r="U64" s="175">
        <f t="shared" si="80"/>
        <v>31628</v>
      </c>
      <c r="V64" s="175">
        <f t="shared" si="80"/>
        <v>100686</v>
      </c>
      <c r="W64" s="175">
        <f t="shared" ref="W64:W65" si="81">M64</f>
        <v>30059</v>
      </c>
      <c r="X64" s="175">
        <f t="shared" ref="X64:X65" si="82">N64</f>
        <v>30440</v>
      </c>
      <c r="Y64" s="175">
        <f t="shared" ref="Y64:Y65" si="83">O64</f>
        <v>30920</v>
      </c>
      <c r="Z64" s="175">
        <f t="shared" ref="Z64:Z65" si="84">P64</f>
        <v>34665</v>
      </c>
      <c r="AA64" s="175">
        <f t="shared" ref="AA64:AA65" si="85">Q64</f>
        <v>126084</v>
      </c>
      <c r="AB64" s="175">
        <v>33815</v>
      </c>
    </row>
    <row r="65" spans="1:28" x14ac:dyDescent="0.35">
      <c r="A65" s="164"/>
      <c r="B65" s="172" t="s">
        <v>60</v>
      </c>
      <c r="C65" s="174">
        <f t="shared" ref="C65:H65" si="86">C64/C61</f>
        <v>0.35201093721305121</v>
      </c>
      <c r="D65" s="174">
        <f t="shared" si="86"/>
        <v>0.34733024302255666</v>
      </c>
      <c r="E65" s="174">
        <f t="shared" si="86"/>
        <v>0.3370422744864543</v>
      </c>
      <c r="F65" s="174">
        <f t="shared" ref="F65" si="87">F64/F61</f>
        <v>0.35428612514155267</v>
      </c>
      <c r="G65" s="174">
        <f t="shared" ref="G65" si="88">G64/G61</f>
        <v>0.34763245261809156</v>
      </c>
      <c r="H65" s="174">
        <f t="shared" si="86"/>
        <v>0.33321074568316345</v>
      </c>
      <c r="I65" s="174">
        <f t="shared" ref="I65:J65" si="89">I64/I61</f>
        <v>0.35160521990003019</v>
      </c>
      <c r="J65" s="174">
        <f t="shared" si="89"/>
        <v>0.35146964585827078</v>
      </c>
      <c r="K65" s="174">
        <f t="shared" ref="K65:L65" si="90">K64/K61</f>
        <v>0.36835423872913831</v>
      </c>
      <c r="L65" s="174">
        <f t="shared" si="90"/>
        <v>0.35292509376423992</v>
      </c>
      <c r="M65" s="174">
        <f t="shared" ref="M65:N65" si="91">M64/M61</f>
        <v>0.34566069847402858</v>
      </c>
      <c r="N65" s="174">
        <f t="shared" si="91"/>
        <v>0.34641690660172297</v>
      </c>
      <c r="O65" s="174">
        <f t="shared" ref="O65:P65" si="92">O64/O61</f>
        <v>0.34838258988428561</v>
      </c>
      <c r="P65" s="174">
        <f t="shared" si="92"/>
        <v>0.36978366615463387</v>
      </c>
      <c r="Q65" s="174">
        <f>Q64/Q61</f>
        <v>0.35285129390561637</v>
      </c>
      <c r="R65" s="174">
        <f t="shared" ref="R65" si="93">H65</f>
        <v>0.33321074568316345</v>
      </c>
      <c r="S65" s="174">
        <f t="shared" ref="S65" si="94">I65</f>
        <v>0.35160521990003019</v>
      </c>
      <c r="T65" s="174">
        <f t="shared" ref="T65" si="95">J65</f>
        <v>0.35146964585827078</v>
      </c>
      <c r="U65" s="174">
        <f t="shared" ref="U65" si="96">K65</f>
        <v>0.36835423872913831</v>
      </c>
      <c r="V65" s="174">
        <f t="shared" ref="V65" si="97">L65</f>
        <v>0.35292509376423992</v>
      </c>
      <c r="W65" s="174">
        <f t="shared" si="81"/>
        <v>0.34566069847402858</v>
      </c>
      <c r="X65" s="174">
        <f t="shared" si="82"/>
        <v>0.34641690660172297</v>
      </c>
      <c r="Y65" s="174">
        <f t="shared" si="83"/>
        <v>0.34838258988428561</v>
      </c>
      <c r="Z65" s="174">
        <f t="shared" si="84"/>
        <v>0.36978366615463387</v>
      </c>
      <c r="AA65" s="174">
        <f t="shared" si="85"/>
        <v>0.35285129390561637</v>
      </c>
      <c r="AB65" s="174">
        <f t="shared" ref="AB65" si="98">AB64/AB61</f>
        <v>0.36584046477913257</v>
      </c>
    </row>
    <row r="66" spans="1:28" x14ac:dyDescent="0.35">
      <c r="A66" s="164"/>
      <c r="B66" s="172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</row>
    <row r="67" spans="1:28" x14ac:dyDescent="0.35">
      <c r="A67" s="169"/>
      <c r="B67" s="170" t="s">
        <v>84</v>
      </c>
      <c r="C67" s="171">
        <f t="shared" ref="C67:U67" si="99">+C61+C17</f>
        <v>183033</v>
      </c>
      <c r="D67" s="171">
        <f t="shared" si="99"/>
        <v>189057</v>
      </c>
      <c r="E67" s="171">
        <f t="shared" si="99"/>
        <v>192345</v>
      </c>
      <c r="F67" s="171">
        <f t="shared" si="99"/>
        <v>197875</v>
      </c>
      <c r="G67" s="171">
        <f t="shared" si="99"/>
        <v>762310</v>
      </c>
      <c r="H67" s="171">
        <f t="shared" si="99"/>
        <v>206973</v>
      </c>
      <c r="I67" s="171">
        <f t="shared" si="99"/>
        <v>210112</v>
      </c>
      <c r="J67" s="171">
        <f t="shared" si="99"/>
        <v>231124</v>
      </c>
      <c r="K67" s="171">
        <f t="shared" si="99"/>
        <v>234903</v>
      </c>
      <c r="L67" s="171">
        <f t="shared" si="99"/>
        <v>883112</v>
      </c>
      <c r="M67" s="171">
        <f t="shared" si="99"/>
        <v>239573</v>
      </c>
      <c r="N67" s="171">
        <f t="shared" si="99"/>
        <v>243509</v>
      </c>
      <c r="O67" s="171">
        <f t="shared" si="99"/>
        <v>251392</v>
      </c>
      <c r="P67" s="171">
        <f t="shared" si="99"/>
        <v>256872</v>
      </c>
      <c r="Q67" s="171">
        <f t="shared" si="99"/>
        <v>991346</v>
      </c>
      <c r="R67" s="171">
        <f t="shared" si="99"/>
        <v>206972.96685598622</v>
      </c>
      <c r="S67" s="171">
        <f>+S61+S17</f>
        <v>210112.46117321268</v>
      </c>
      <c r="T67" s="171">
        <f t="shared" si="99"/>
        <v>231123.88236976153</v>
      </c>
      <c r="U67" s="171">
        <f t="shared" si="99"/>
        <v>234903.3301324464</v>
      </c>
      <c r="V67" s="171">
        <f>+V61+V17</f>
        <v>883111.64053140674</v>
      </c>
      <c r="W67" s="171">
        <f t="shared" ref="W67:Z67" si="100">+W61+W17</f>
        <v>239573</v>
      </c>
      <c r="X67" s="171">
        <f t="shared" si="100"/>
        <v>243509</v>
      </c>
      <c r="Y67" s="171">
        <f t="shared" si="100"/>
        <v>251392</v>
      </c>
      <c r="Z67" s="171">
        <f t="shared" si="100"/>
        <v>256872</v>
      </c>
      <c r="AA67" s="171">
        <f>+AA61+AA17</f>
        <v>991346</v>
      </c>
      <c r="AB67" s="316">
        <f>+AB61+AB17</f>
        <v>245990</v>
      </c>
    </row>
    <row r="68" spans="1:28" x14ac:dyDescent="0.35">
      <c r="A68" s="164"/>
      <c r="B68" s="172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</row>
    <row r="69" spans="1:28" x14ac:dyDescent="0.35">
      <c r="A69" s="164"/>
      <c r="B69" s="172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</row>
    <row r="70" spans="1:28" x14ac:dyDescent="0.35">
      <c r="A70" s="169"/>
      <c r="B70" s="170" t="s">
        <v>239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</row>
    <row r="71" spans="1:28" x14ac:dyDescent="0.35">
      <c r="A71" s="164"/>
      <c r="B71" s="183" t="s">
        <v>153</v>
      </c>
      <c r="C71" s="184">
        <v>77240.412532799455</v>
      </c>
      <c r="D71" s="184">
        <v>79617.534971087662</v>
      </c>
      <c r="E71" s="184">
        <v>80949.247830402906</v>
      </c>
      <c r="F71" s="184">
        <v>83284.909143715704</v>
      </c>
      <c r="G71" s="184">
        <f>C71+D71+E71+F71</f>
        <v>321092.10447800573</v>
      </c>
      <c r="H71" s="184">
        <v>90659.480287046856</v>
      </c>
      <c r="I71" s="184">
        <v>93663.40367665753</v>
      </c>
      <c r="J71" s="184">
        <v>96028.058361202435</v>
      </c>
      <c r="K71" s="184">
        <v>95227.546474638701</v>
      </c>
      <c r="L71" s="184">
        <f>H71+I71+J71+K71</f>
        <v>375578.48879954551</v>
      </c>
      <c r="M71" s="184">
        <v>100958.7534962692</v>
      </c>
      <c r="N71" s="184">
        <v>103525.8957768306</v>
      </c>
      <c r="O71" s="184">
        <v>109286.83625354461</v>
      </c>
      <c r="P71" s="297">
        <v>107198.73751952131</v>
      </c>
      <c r="Q71" s="297">
        <v>420970.22304616572</v>
      </c>
      <c r="R71" s="297">
        <v>90659.480287046856</v>
      </c>
      <c r="S71" s="297">
        <v>93663.40367665753</v>
      </c>
      <c r="T71" s="297">
        <v>96028.058361202435</v>
      </c>
      <c r="U71" s="297">
        <v>95227.546474638701</v>
      </c>
      <c r="V71" s="297">
        <f>SUM(R71:U71)</f>
        <v>375578.48879954551</v>
      </c>
      <c r="W71" s="297">
        <v>100958.7534962692</v>
      </c>
      <c r="X71" s="297">
        <v>103525.8957768306</v>
      </c>
      <c r="Y71" s="297">
        <v>109286.83625354461</v>
      </c>
      <c r="Z71" s="297">
        <v>107198.73751952131</v>
      </c>
      <c r="AA71" s="297">
        <v>420970.22304616572</v>
      </c>
      <c r="AB71" s="297">
        <v>107827.65817521796</v>
      </c>
    </row>
    <row r="72" spans="1:28" x14ac:dyDescent="0.35">
      <c r="A72" s="185"/>
      <c r="B72" s="183"/>
      <c r="C72" s="238">
        <f>C71/$C$67</f>
        <v>0.42200265816983523</v>
      </c>
      <c r="D72" s="238">
        <f>D71/$D$67</f>
        <v>0.42112979139141987</v>
      </c>
      <c r="E72" s="238">
        <f>E71/$E$67</f>
        <v>0.42085444295616165</v>
      </c>
      <c r="F72" s="238">
        <f>F71/$F$67</f>
        <v>0.42089657179388856</v>
      </c>
      <c r="G72" s="238">
        <f>G71/$G$67</f>
        <v>0.42120935640094676</v>
      </c>
      <c r="H72" s="238">
        <f>+H71/$H$67</f>
        <v>0.43802563758097363</v>
      </c>
      <c r="I72" s="238">
        <f>+I71/$I$67</f>
        <v>0.44577845947236489</v>
      </c>
      <c r="J72" s="238">
        <f>+J71/$J$67</f>
        <v>0.4154828505962273</v>
      </c>
      <c r="K72" s="238">
        <f>+K71/$K$67</f>
        <v>0.4053909335965854</v>
      </c>
      <c r="L72" s="238">
        <f>L71/$L$67</f>
        <v>0.42528975803697094</v>
      </c>
      <c r="M72" s="238">
        <f>M71/$M$67</f>
        <v>0.42141123372111716</v>
      </c>
      <c r="N72" s="238">
        <f>N71/$N$67</f>
        <v>0.42514196919551472</v>
      </c>
      <c r="O72" s="238">
        <f>O71/$O$67</f>
        <v>0.43472678626823691</v>
      </c>
      <c r="P72" s="238">
        <f>P71/$P$67</f>
        <v>0.41732356005917853</v>
      </c>
      <c r="Q72" s="238">
        <f>Q71/$Q$67</f>
        <v>0.42464510175676878</v>
      </c>
      <c r="R72" s="238">
        <f>R71/SUM(R$71,R$73,R$75)</f>
        <v>0.43802486616990721</v>
      </c>
      <c r="S72" s="238">
        <f t="shared" ref="S72:V72" si="101">S71/SUM(S$71,S$73,S$75)</f>
        <v>0.44577835604948013</v>
      </c>
      <c r="T72" s="238">
        <f t="shared" si="101"/>
        <v>0.41548271064062137</v>
      </c>
      <c r="U72" s="238">
        <f t="shared" si="101"/>
        <v>0.40539085016031123</v>
      </c>
      <c r="V72" s="238">
        <f t="shared" si="101"/>
        <v>0.42528949824786805</v>
      </c>
      <c r="W72" s="238">
        <f>W71/$W$67</f>
        <v>0.42141123372111716</v>
      </c>
      <c r="X72" s="238">
        <f>X71/$X$67</f>
        <v>0.42514196919551472</v>
      </c>
      <c r="Y72" s="238">
        <f>Y71/$Y$67</f>
        <v>0.43472678626823691</v>
      </c>
      <c r="Z72" s="238">
        <f>Z71/$Z$67</f>
        <v>0.41732356005917853</v>
      </c>
      <c r="AA72" s="238">
        <f>AA71/$AA$67</f>
        <v>0.42464510175676878</v>
      </c>
      <c r="AB72" s="238">
        <f>AB71/$AB$67</f>
        <v>0.43834163248594643</v>
      </c>
    </row>
    <row r="73" spans="1:28" x14ac:dyDescent="0.35">
      <c r="A73" s="185"/>
      <c r="B73" s="183" t="s">
        <v>152</v>
      </c>
      <c r="C73" s="184">
        <v>28565.750130000004</v>
      </c>
      <c r="D73" s="184">
        <v>28156.917699999998</v>
      </c>
      <c r="E73" s="184">
        <v>30230.509270000002</v>
      </c>
      <c r="F73" s="184">
        <v>33211.816870000002</v>
      </c>
      <c r="G73" s="184">
        <f>C73+D73+E73+F73</f>
        <v>120164.99397000001</v>
      </c>
      <c r="H73" s="184">
        <v>34104.735787288213</v>
      </c>
      <c r="I73" s="184">
        <v>31671.265590000003</v>
      </c>
      <c r="J73" s="184">
        <v>52232.656980799991</v>
      </c>
      <c r="K73" s="184">
        <v>57047.38757359999</v>
      </c>
      <c r="L73" s="184">
        <f>H73+I73+J73+K73</f>
        <v>175056.04593168822</v>
      </c>
      <c r="M73" s="184">
        <v>53248.401116638008</v>
      </c>
      <c r="N73" s="184">
        <v>53986.086069446013</v>
      </c>
      <c r="O73" s="184">
        <v>55980.109864710008</v>
      </c>
      <c r="P73" s="297">
        <v>62630.014391522003</v>
      </c>
      <c r="Q73" s="297">
        <v>225844.61144231603</v>
      </c>
      <c r="R73" s="297">
        <v>27724.645749843756</v>
      </c>
      <c r="S73" s="297">
        <v>28127.229320000002</v>
      </c>
      <c r="T73" s="297">
        <v>48542.749710799981</v>
      </c>
      <c r="U73" s="297">
        <v>52943.65687359999</v>
      </c>
      <c r="V73" s="297">
        <f>SUM(R73:U73)</f>
        <v>157338.28165424371</v>
      </c>
      <c r="W73" s="297">
        <v>51950.064850000002</v>
      </c>
      <c r="X73" s="297">
        <v>52531.364070000011</v>
      </c>
      <c r="Y73" s="297">
        <v>54590.176680000004</v>
      </c>
      <c r="Z73" s="297">
        <v>61376.957519999989</v>
      </c>
      <c r="AA73" s="297">
        <v>220448.56312000001</v>
      </c>
      <c r="AB73" s="297">
        <v>57262.171140788683</v>
      </c>
    </row>
    <row r="74" spans="1:28" x14ac:dyDescent="0.35">
      <c r="A74" s="185"/>
      <c r="B74" s="183"/>
      <c r="C74" s="238">
        <f>C73/$C$67</f>
        <v>0.15606885168248349</v>
      </c>
      <c r="D74" s="238">
        <f>D73/$D$67</f>
        <v>0.14893348408152038</v>
      </c>
      <c r="E74" s="238">
        <f>E73/$E$67</f>
        <v>0.15716815758142921</v>
      </c>
      <c r="F74" s="238">
        <f>F73/$F$67</f>
        <v>0.16784240995578018</v>
      </c>
      <c r="G74" s="238">
        <f>+G73/$G$67</f>
        <v>0.15763271368603327</v>
      </c>
      <c r="H74" s="238">
        <f>+H73/$H$67</f>
        <v>0.16477867058644466</v>
      </c>
      <c r="I74" s="238">
        <f>+I73/$I$67</f>
        <v>0.15073515834412124</v>
      </c>
      <c r="J74" s="238">
        <f>+J73/$J$67</f>
        <v>0.22599408534293275</v>
      </c>
      <c r="K74" s="238">
        <f>+K73/$K$67</f>
        <v>0.24285508304959916</v>
      </c>
      <c r="L74" s="238">
        <f>+L73/$L$67</f>
        <v>0.19822632455644157</v>
      </c>
      <c r="M74" s="238">
        <f>+M73/$M$67</f>
        <v>0.22226378229866475</v>
      </c>
      <c r="N74" s="238">
        <f>+N73/$N$67</f>
        <v>0.2217005780872412</v>
      </c>
      <c r="O74" s="238">
        <f>+O73/$O$67</f>
        <v>0.22268055413342511</v>
      </c>
      <c r="P74" s="238">
        <f>+P73/$P$67</f>
        <v>0.24381798869289764</v>
      </c>
      <c r="Q74" s="238">
        <f>+Q73/$Q$67</f>
        <v>0.22781613225081457</v>
      </c>
      <c r="R74" s="238">
        <f>R73/SUM(R$71,R$73,R$75)</f>
        <v>0.13395272293347249</v>
      </c>
      <c r="S74" s="238">
        <f t="shared" ref="S74:V74" si="102">S73/SUM(S$71,S$73,S$75)</f>
        <v>0.13386776002483819</v>
      </c>
      <c r="T74" s="238">
        <f t="shared" si="102"/>
        <v>0.21002896003509144</v>
      </c>
      <c r="U74" s="238">
        <f t="shared" si="102"/>
        <v>0.22538514185389166</v>
      </c>
      <c r="V74" s="238">
        <f t="shared" si="102"/>
        <v>0.17816334229841554</v>
      </c>
      <c r="W74" s="238">
        <f>+W73/$W$67</f>
        <v>0.21684440588046233</v>
      </c>
      <c r="X74" s="238">
        <f>+X73/$X$67</f>
        <v>0.21572658123519053</v>
      </c>
      <c r="Y74" s="238">
        <f>+Y73/$Y$67</f>
        <v>0.21715160657459268</v>
      </c>
      <c r="Z74" s="238">
        <f>+Z73/$Z$67</f>
        <v>0.23893985144352048</v>
      </c>
      <c r="AA74" s="238">
        <f>+AA73/$AA$67</f>
        <v>0.22237297887922078</v>
      </c>
      <c r="AB74" s="238">
        <f>+AB73/$AB$67</f>
        <v>0.23278251612174755</v>
      </c>
    </row>
    <row r="75" spans="1:28" x14ac:dyDescent="0.35">
      <c r="A75" s="185"/>
      <c r="B75" s="183" t="s">
        <v>236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7">
        <v>88589.238465846531</v>
      </c>
      <c r="S75" s="237">
        <v>88321.415750413449</v>
      </c>
      <c r="T75" s="237">
        <v>86553.269782258722</v>
      </c>
      <c r="U75" s="237">
        <v>86731.844998760513</v>
      </c>
      <c r="V75" s="237">
        <f>SUM(R75:U75)</f>
        <v>350195.76899727923</v>
      </c>
      <c r="W75" s="237">
        <v>86664.207151561772</v>
      </c>
      <c r="X75" s="237">
        <v>87452.22949955985</v>
      </c>
      <c r="Y75" s="237">
        <v>87514.540471899702</v>
      </c>
      <c r="Z75" s="237">
        <v>88296.757855205593</v>
      </c>
      <c r="AA75" s="237">
        <v>349926.734978227</v>
      </c>
      <c r="AB75" s="237">
        <v>80900.367339627395</v>
      </c>
    </row>
    <row r="76" spans="1:28" x14ac:dyDescent="0.35">
      <c r="A76" s="185"/>
      <c r="B76" s="18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317">
        <f>R75/SUM(R$71,R$73,R$75)</f>
        <v>0.42802241089662035</v>
      </c>
      <c r="S76" s="317">
        <f t="shared" ref="S76:V76" si="103">S75/SUM(S$71,S$73,S$75)</f>
        <v>0.42035388392568168</v>
      </c>
      <c r="T76" s="317">
        <f t="shared" si="103"/>
        <v>0.37448832932428711</v>
      </c>
      <c r="U76" s="317">
        <f t="shared" si="103"/>
        <v>0.36922400798579708</v>
      </c>
      <c r="V76" s="317">
        <f t="shared" si="103"/>
        <v>0.39654715945371632</v>
      </c>
      <c r="W76" s="317">
        <f>+W75/$W$67</f>
        <v>0.36174446682874017</v>
      </c>
      <c r="X76" s="317">
        <f>+X75/$X$67</f>
        <v>0.35913345913111977</v>
      </c>
      <c r="Y76" s="317">
        <f>+Y75/$Y$67</f>
        <v>0.3481198306704259</v>
      </c>
      <c r="Z76" s="317">
        <f>+Z75/$Z$67</f>
        <v>0.34373835161171945</v>
      </c>
      <c r="AA76" s="317">
        <f>+AA75/$AA$67</f>
        <v>0.35298143632821133</v>
      </c>
      <c r="AB76" s="317">
        <f>+AB75/$AB$67</f>
        <v>0.32887665083795031</v>
      </c>
    </row>
    <row r="77" spans="1:28" x14ac:dyDescent="0.35">
      <c r="A77" s="185"/>
      <c r="B77" s="172" t="s">
        <v>85</v>
      </c>
      <c r="C77" s="184">
        <v>11777.272072499996</v>
      </c>
      <c r="D77" s="184">
        <v>11915.431817500003</v>
      </c>
      <c r="E77" s="184">
        <v>10973.253296499999</v>
      </c>
      <c r="F77" s="184">
        <v>10686.693969299999</v>
      </c>
      <c r="G77" s="184">
        <f>C77+D77+E77+F77</f>
        <v>45352.651155799991</v>
      </c>
      <c r="H77" s="184">
        <v>11157.050967200001</v>
      </c>
      <c r="I77" s="184">
        <v>11094.3475992</v>
      </c>
      <c r="J77" s="184">
        <v>11047.168775000002</v>
      </c>
      <c r="K77" s="184">
        <v>10730.098052000003</v>
      </c>
      <c r="L77" s="184">
        <f>H77+I77+J77+K77</f>
        <v>44028.665393400006</v>
      </c>
      <c r="M77" s="184">
        <v>10655.176801822998</v>
      </c>
      <c r="N77" s="184">
        <v>11018.624987452999</v>
      </c>
      <c r="O77" s="184">
        <v>10498.847609164</v>
      </c>
      <c r="P77" s="297">
        <v>10038.998879698998</v>
      </c>
      <c r="Q77" s="297">
        <v>42211.648278138993</v>
      </c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35">
      <c r="A78" s="164"/>
      <c r="B78" s="172"/>
      <c r="C78" s="238">
        <f>C77/$C$67</f>
        <v>6.4345074781596748E-2</v>
      </c>
      <c r="D78" s="238">
        <f>D77/$D$67</f>
        <v>6.3025605068841681E-2</v>
      </c>
      <c r="E78" s="238">
        <f>E77/$E$67</f>
        <v>5.7049849471002619E-2</v>
      </c>
      <c r="F78" s="238">
        <f>F77/$F$67</f>
        <v>5.4007297381174976E-2</v>
      </c>
      <c r="G78" s="238">
        <f>+G77/$G$67</f>
        <v>5.949371142422373E-2</v>
      </c>
      <c r="H78" s="238">
        <f>+H77/$H$67</f>
        <v>5.3905828137969687E-2</v>
      </c>
      <c r="I78" s="238">
        <f>+I77/$I$67</f>
        <v>5.2802065561224493E-2</v>
      </c>
      <c r="J78" s="238">
        <f>+J77/$J$67</f>
        <v>4.779758387272634E-2</v>
      </c>
      <c r="K78" s="238">
        <f>+K77/$K$67</f>
        <v>4.567884638340082E-2</v>
      </c>
      <c r="L78" s="238">
        <f>+L77/$L$67</f>
        <v>4.9856264430106267E-2</v>
      </c>
      <c r="M78" s="238">
        <f>+M77/$M$67</f>
        <v>4.4475699689960881E-2</v>
      </c>
      <c r="N78" s="238">
        <f>+N77/$N$67</f>
        <v>4.5249354181787937E-2</v>
      </c>
      <c r="O78" s="238">
        <f>+O77/$O$67</f>
        <v>4.1762854860791114E-2</v>
      </c>
      <c r="P78" s="238">
        <f>+P77/$P$67</f>
        <v>3.9081717274358427E-2</v>
      </c>
      <c r="Q78" s="238">
        <f>+Q77/$Q$67</f>
        <v>4.2580136781849118E-2</v>
      </c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</row>
    <row r="79" spans="1:28" x14ac:dyDescent="0.35">
      <c r="A79" s="164"/>
      <c r="B79" s="172" t="s">
        <v>86</v>
      </c>
      <c r="C79" s="184">
        <v>25764.426733570672</v>
      </c>
      <c r="D79" s="184">
        <v>29067.521734920243</v>
      </c>
      <c r="E79" s="184">
        <v>27949.59919703141</v>
      </c>
      <c r="F79" s="184">
        <v>29267.703627641393</v>
      </c>
      <c r="G79" s="184">
        <f>C79+D79+E79+F79</f>
        <v>112049.25129316372</v>
      </c>
      <c r="H79" s="184">
        <v>30705.141506376644</v>
      </c>
      <c r="I79" s="184">
        <v>31008.768678223187</v>
      </c>
      <c r="J79" s="184">
        <v>28940.265280251941</v>
      </c>
      <c r="K79" s="184">
        <v>30278.087631000475</v>
      </c>
      <c r="L79" s="184">
        <f>H79+I79+J79+K79</f>
        <v>120932.26309585225</v>
      </c>
      <c r="M79" s="184">
        <v>31923.459981583557</v>
      </c>
      <c r="N79" s="184">
        <v>32576.653344619222</v>
      </c>
      <c r="O79" s="184">
        <v>33869.986247853667</v>
      </c>
      <c r="P79" s="297">
        <v>35491.337726365215</v>
      </c>
      <c r="Q79" s="297">
        <v>133861.43730042168</v>
      </c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35">
      <c r="A80" s="164"/>
      <c r="B80" s="172"/>
      <c r="C80" s="238">
        <f>C79/$C$67</f>
        <v>0.14076383348123384</v>
      </c>
      <c r="D80" s="238">
        <f>D79/$D$67</f>
        <v>0.15375004223551755</v>
      </c>
      <c r="E80" s="238">
        <f>E79/$E$67</f>
        <v>0.14530972573777021</v>
      </c>
      <c r="F80" s="238">
        <f>F79/$F$67</f>
        <v>0.14791006255283079</v>
      </c>
      <c r="G80" s="238">
        <f>+G79/$G$67</f>
        <v>0.14698646389679226</v>
      </c>
      <c r="H80" s="238">
        <f>+H79/$H$67</f>
        <v>0.14835336737824084</v>
      </c>
      <c r="I80" s="238">
        <f>+I79/$I$67</f>
        <v>0.14758209278015147</v>
      </c>
      <c r="J80" s="238">
        <f>+J79/$J$67</f>
        <v>0.1252153185314028</v>
      </c>
      <c r="K80" s="238">
        <f>+K79/$K$67</f>
        <v>0.12889613002388423</v>
      </c>
      <c r="L80" s="238">
        <f>+L79/$L$67</f>
        <v>0.13693876099051111</v>
      </c>
      <c r="M80" s="238">
        <f>+M79/$M$67</f>
        <v>0.13325149320492524</v>
      </c>
      <c r="N80" s="238">
        <f>+N79/$N$67</f>
        <v>0.13378007935895275</v>
      </c>
      <c r="O80" s="238">
        <f>+O79/$O$67</f>
        <v>0.13472976963409206</v>
      </c>
      <c r="P80" s="238">
        <f>+P79/$P$67</f>
        <v>0.13816740526941518</v>
      </c>
      <c r="Q80" s="238">
        <f>+Q79/$Q$67</f>
        <v>0.1350299868062429</v>
      </c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</row>
    <row r="81" spans="1:28" x14ac:dyDescent="0.35">
      <c r="A81" s="164"/>
      <c r="B81" s="172" t="s">
        <v>150</v>
      </c>
      <c r="C81" s="184">
        <v>17410.271742980407</v>
      </c>
      <c r="D81" s="184">
        <v>19372.484825376403</v>
      </c>
      <c r="E81" s="184">
        <v>20196.911081007562</v>
      </c>
      <c r="F81" s="184">
        <v>18979.045773073736</v>
      </c>
      <c r="G81" s="184">
        <f>C81+D81+E81+F81</f>
        <v>75958.713422438115</v>
      </c>
      <c r="H81" s="184">
        <v>18305.315812747518</v>
      </c>
      <c r="I81" s="184">
        <v>20129.601494531445</v>
      </c>
      <c r="J81" s="184">
        <v>19119.021666580204</v>
      </c>
      <c r="K81" s="184">
        <v>18239.227283938799</v>
      </c>
      <c r="L81" s="184">
        <f>H81+I81+J81+K81</f>
        <v>75793.166257797973</v>
      </c>
      <c r="M81" s="184">
        <v>18914.344019143853</v>
      </c>
      <c r="N81" s="184">
        <v>18910.595438868673</v>
      </c>
      <c r="O81" s="184">
        <v>17997.144426475701</v>
      </c>
      <c r="P81" s="297">
        <v>17159.237901694589</v>
      </c>
      <c r="Q81" s="297">
        <v>72981.321786182816</v>
      </c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35">
      <c r="A82" s="164"/>
      <c r="B82" s="172"/>
      <c r="C82" s="238">
        <f>C81/$C$67</f>
        <v>9.5120943999062499E-2</v>
      </c>
      <c r="D82" s="238">
        <f>D81/$D$67</f>
        <v>0.1024690163568469</v>
      </c>
      <c r="E82" s="238">
        <f>E81/$E$67</f>
        <v>0.10500356692925504</v>
      </c>
      <c r="F82" s="238">
        <f>F81/$F$67</f>
        <v>9.5914318499425069E-2</v>
      </c>
      <c r="G82" s="238">
        <f>+G81/$G$67</f>
        <v>9.9642813845336034E-2</v>
      </c>
      <c r="H82" s="238">
        <f>+H81/$H$67</f>
        <v>8.8443013401494491E-2</v>
      </c>
      <c r="I82" s="238">
        <f>+I81/$I$67</f>
        <v>9.5804149665566204E-2</v>
      </c>
      <c r="J82" s="238">
        <f>+J81/$J$67</f>
        <v>8.2721922719320384E-2</v>
      </c>
      <c r="K82" s="238">
        <f>+K81/$K$67</f>
        <v>7.7645782658964754E-2</v>
      </c>
      <c r="L82" s="238">
        <f>+L81/$L$67</f>
        <v>8.5825089295353221E-2</v>
      </c>
      <c r="M82" s="238">
        <f>+M81/$M$67</f>
        <v>7.8950232368187795E-2</v>
      </c>
      <c r="N82" s="238">
        <f>+N81/$N$67</f>
        <v>7.7658712568605973E-2</v>
      </c>
      <c r="O82" s="238">
        <f>+O81/$O$67</f>
        <v>7.158996478199664E-2</v>
      </c>
      <c r="P82" s="238">
        <f>+P81/$P$67</f>
        <v>6.680073305652072E-2</v>
      </c>
      <c r="Q82" s="238">
        <f>+Q81/$Q$67</f>
        <v>7.3618415554390512E-2</v>
      </c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</row>
    <row r="83" spans="1:28" x14ac:dyDescent="0.35">
      <c r="A83" s="164"/>
      <c r="B83" s="172" t="s">
        <v>87</v>
      </c>
      <c r="C83" s="184">
        <v>22274.810192991354</v>
      </c>
      <c r="D83" s="184">
        <v>20927.645273326867</v>
      </c>
      <c r="E83" s="184">
        <v>22045.096551340244</v>
      </c>
      <c r="F83" s="184">
        <v>22445.043933137891</v>
      </c>
      <c r="G83" s="184">
        <f>C83+D83+E83+F83</f>
        <v>87692.595950796356</v>
      </c>
      <c r="H83" s="184">
        <v>22041.640142077915</v>
      </c>
      <c r="I83" s="184">
        <v>22544.661708458822</v>
      </c>
      <c r="J83" s="184">
        <v>23756.90679042659</v>
      </c>
      <c r="K83" s="184">
        <v>23380.70133182123</v>
      </c>
      <c r="L83" s="184">
        <f>H83+I83+J83+K83</f>
        <v>91723.909972784561</v>
      </c>
      <c r="M83" s="184">
        <v>23872.89008237336</v>
      </c>
      <c r="N83" s="184">
        <v>23491.633729172969</v>
      </c>
      <c r="O83" s="184">
        <v>23757.629003696387</v>
      </c>
      <c r="P83" s="297">
        <v>24353.12647592483</v>
      </c>
      <c r="Q83" s="297">
        <v>95475.27929116755</v>
      </c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35">
      <c r="A84" s="164"/>
      <c r="B84" s="172"/>
      <c r="C84" s="238">
        <f>C83/$C$67</f>
        <v>0.1216983286783878</v>
      </c>
      <c r="D84" s="238">
        <f>D83/$D$67</f>
        <v>0.11069489769395932</v>
      </c>
      <c r="E84" s="238">
        <f>E83/$E$67</f>
        <v>0.11461226728711557</v>
      </c>
      <c r="F84" s="238">
        <f>F83/$F$67</f>
        <v>0.11343041785540312</v>
      </c>
      <c r="G84" s="238">
        <f>+G83/$G$67</f>
        <v>0.11503534775983046</v>
      </c>
      <c r="H84" s="238">
        <f>+H83/$H$67</f>
        <v>0.10649524402737515</v>
      </c>
      <c r="I84" s="238">
        <f>+I83/$I$67</f>
        <v>0.10729830618174507</v>
      </c>
      <c r="J84" s="238">
        <f>+J83/$J$67</f>
        <v>0.10278857578800379</v>
      </c>
      <c r="K84" s="238">
        <f>+K83/$K$67</f>
        <v>9.9533430104431317E-2</v>
      </c>
      <c r="L84" s="238">
        <f>+L83/$L$67</f>
        <v>0.10386441354299858</v>
      </c>
      <c r="M84" s="182">
        <f>+M83/$M$67</f>
        <v>9.9647665147463857E-2</v>
      </c>
      <c r="N84" s="182">
        <f>+N83/$N$67</f>
        <v>9.6471316169722557E-2</v>
      </c>
      <c r="O84" s="238">
        <f>+O83/$O$67</f>
        <v>9.4504315983390028E-2</v>
      </c>
      <c r="P84" s="238">
        <f>+P83/$P$67</f>
        <v>9.4806465772543633E-2</v>
      </c>
      <c r="Q84" s="238">
        <f>+Q83/$Q$67</f>
        <v>9.6308735084589592E-2</v>
      </c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</row>
    <row r="85" spans="1:28" x14ac:dyDescent="0.35">
      <c r="A85" s="164"/>
      <c r="B85" s="172"/>
      <c r="K85" s="163"/>
      <c r="L85" s="163"/>
      <c r="M85" s="163"/>
      <c r="N85" s="163"/>
      <c r="O85" s="163"/>
      <c r="P85" s="163"/>
      <c r="Q85" s="315"/>
      <c r="R85" s="315"/>
      <c r="S85" s="315"/>
      <c r="T85" s="315"/>
      <c r="U85" s="315"/>
      <c r="V85" s="315"/>
      <c r="W85" s="318"/>
      <c r="X85" s="315"/>
      <c r="Y85" s="315"/>
      <c r="Z85" s="315"/>
      <c r="AA85" s="315"/>
      <c r="AB85" s="315"/>
    </row>
    <row r="86" spans="1:28" x14ac:dyDescent="0.35">
      <c r="A86" s="169"/>
      <c r="B86" s="170" t="s">
        <v>88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</row>
    <row r="87" spans="1:28" x14ac:dyDescent="0.35">
      <c r="A87" s="164"/>
      <c r="B87" s="172" t="s">
        <v>89</v>
      </c>
      <c r="C87" s="186">
        <v>0.82105973846635671</v>
      </c>
      <c r="D87" s="186">
        <v>0.81400847363493545</v>
      </c>
      <c r="E87" s="186">
        <v>0.82404533520497025</v>
      </c>
      <c r="F87" s="186">
        <v>0.82643961529096666</v>
      </c>
      <c r="G87" s="186">
        <v>0.82145591153024466</v>
      </c>
      <c r="H87" s="186">
        <v>0.82715136756968299</v>
      </c>
      <c r="I87" s="186">
        <v>0.82854382424611639</v>
      </c>
      <c r="J87" s="186">
        <v>0.82929942368598675</v>
      </c>
      <c r="K87" s="258">
        <v>0.82836862801966649</v>
      </c>
      <c r="L87" s="186">
        <v>0.82955389576860017</v>
      </c>
      <c r="M87" s="186">
        <v>0.81855634816945144</v>
      </c>
      <c r="N87" s="186">
        <v>0.81270507455576591</v>
      </c>
      <c r="O87" s="186">
        <v>0.83038839740325865</v>
      </c>
      <c r="P87" s="186">
        <v>0.83745990220810362</v>
      </c>
      <c r="Q87" s="186">
        <v>0.8250177032035233</v>
      </c>
      <c r="R87" s="186">
        <f>H87</f>
        <v>0.82715136756968299</v>
      </c>
      <c r="S87" s="186">
        <f t="shared" ref="S87:V87" si="104">I87</f>
        <v>0.82854382424611639</v>
      </c>
      <c r="T87" s="186">
        <f t="shared" si="104"/>
        <v>0.82929942368598675</v>
      </c>
      <c r="U87" s="186">
        <f t="shared" si="104"/>
        <v>0.82836862801966649</v>
      </c>
      <c r="V87" s="186">
        <f t="shared" si="104"/>
        <v>0.82955389576860017</v>
      </c>
      <c r="W87" s="186">
        <f>M87</f>
        <v>0.81855634816945144</v>
      </c>
      <c r="X87" s="186">
        <f t="shared" ref="X87:AA87" si="105">N87</f>
        <v>0.81270507455576591</v>
      </c>
      <c r="Y87" s="186">
        <f t="shared" si="105"/>
        <v>0.83038839740325865</v>
      </c>
      <c r="Z87" s="186">
        <f t="shared" si="105"/>
        <v>0.83745990220810362</v>
      </c>
      <c r="AA87" s="186">
        <f t="shared" si="105"/>
        <v>0.8250177032035233</v>
      </c>
      <c r="AB87" s="186">
        <v>0.84507458179113126</v>
      </c>
    </row>
    <row r="88" spans="1:28" x14ac:dyDescent="0.35">
      <c r="A88" s="164"/>
      <c r="B88" s="172" t="s">
        <v>90</v>
      </c>
      <c r="C88" s="186">
        <v>0.14249703777966138</v>
      </c>
      <c r="D88" s="186">
        <v>0.15313371099721249</v>
      </c>
      <c r="E88" s="186">
        <v>0.1394577451974317</v>
      </c>
      <c r="F88" s="186">
        <v>0.135860522684847</v>
      </c>
      <c r="G88" s="186">
        <v>0.14265249070671021</v>
      </c>
      <c r="H88" s="186">
        <v>0.13536065090615684</v>
      </c>
      <c r="I88" s="186">
        <v>0.13078738958269875</v>
      </c>
      <c r="J88" s="186">
        <v>0.12937211193991105</v>
      </c>
      <c r="K88" s="258">
        <v>0.13174300264266617</v>
      </c>
      <c r="L88" s="186">
        <v>0.12967211406933662</v>
      </c>
      <c r="M88" s="186">
        <v>0.12147028254436018</v>
      </c>
      <c r="N88" s="186">
        <v>0.12383525865573757</v>
      </c>
      <c r="O88" s="186">
        <v>0.11091840631364562</v>
      </c>
      <c r="P88" s="186">
        <v>0.10081285620853966</v>
      </c>
      <c r="Q88" s="186">
        <v>0.114022752903628</v>
      </c>
      <c r="R88" s="186">
        <f t="shared" ref="R88:R89" si="106">H88</f>
        <v>0.13536065090615684</v>
      </c>
      <c r="S88" s="186">
        <f t="shared" ref="S88:S89" si="107">I88</f>
        <v>0.13078738958269875</v>
      </c>
      <c r="T88" s="186">
        <f t="shared" ref="T88:T89" si="108">J88</f>
        <v>0.12937211193991105</v>
      </c>
      <c r="U88" s="186">
        <f t="shared" ref="U88:U89" si="109">K88</f>
        <v>0.13174300264266617</v>
      </c>
      <c r="V88" s="186">
        <f t="shared" ref="V88:V89" si="110">L88</f>
        <v>0.12967211406933662</v>
      </c>
      <c r="W88" s="186">
        <f t="shared" ref="W88:W89" si="111">M88</f>
        <v>0.12147028254436018</v>
      </c>
      <c r="X88" s="186">
        <f t="shared" ref="X88:X89" si="112">N88</f>
        <v>0.12383525865573757</v>
      </c>
      <c r="Y88" s="186">
        <f t="shared" ref="Y88:Y89" si="113">O88</f>
        <v>0.11091840631364562</v>
      </c>
      <c r="Z88" s="186">
        <f t="shared" ref="Z88:Z89" si="114">P88</f>
        <v>0.10081285620853966</v>
      </c>
      <c r="AA88" s="186">
        <f t="shared" ref="AA88:AA89" si="115">Q88</f>
        <v>0.114022752903628</v>
      </c>
      <c r="AB88" s="186">
        <v>9.4629318894951228E-2</v>
      </c>
    </row>
    <row r="89" spans="1:28" x14ac:dyDescent="0.35">
      <c r="A89" s="164"/>
      <c r="B89" s="172" t="s">
        <v>141</v>
      </c>
      <c r="C89" s="202">
        <v>3.6443223753981881E-2</v>
      </c>
      <c r="D89" s="202">
        <v>3.2857815367852025E-2</v>
      </c>
      <c r="E89" s="202">
        <v>3.6496919597598043E-2</v>
      </c>
      <c r="F89" s="202">
        <v>3.7699862024186348E-2</v>
      </c>
      <c r="G89" s="202">
        <v>3.5891597763045076E-2</v>
      </c>
      <c r="H89" s="202">
        <v>3.7487981524160156E-2</v>
      </c>
      <c r="I89" s="202">
        <v>4.0668786171184891E-2</v>
      </c>
      <c r="J89" s="202">
        <v>4.1328464374102217E-2</v>
      </c>
      <c r="K89" s="259">
        <v>3.9888369337667325E-2</v>
      </c>
      <c r="L89" s="202">
        <v>4.0773990162063248E-2</v>
      </c>
      <c r="M89" s="202">
        <v>5.9973369286188342E-2</v>
      </c>
      <c r="N89" s="202">
        <v>6.345966678849653E-2</v>
      </c>
      <c r="O89" s="186">
        <v>5.8693196283095724E-2</v>
      </c>
      <c r="P89" s="202">
        <v>6.1727241583356691E-2</v>
      </c>
      <c r="Q89" s="202">
        <v>6.095954389284871E-2</v>
      </c>
      <c r="R89" s="186">
        <f t="shared" si="106"/>
        <v>3.7487981524160156E-2</v>
      </c>
      <c r="S89" s="186">
        <f t="shared" si="107"/>
        <v>4.0668786171184891E-2</v>
      </c>
      <c r="T89" s="186">
        <f t="shared" si="108"/>
        <v>4.1328464374102217E-2</v>
      </c>
      <c r="U89" s="186">
        <f t="shared" si="109"/>
        <v>3.9888369337667325E-2</v>
      </c>
      <c r="V89" s="186">
        <f t="shared" si="110"/>
        <v>4.0773990162063248E-2</v>
      </c>
      <c r="W89" s="186">
        <f t="shared" si="111"/>
        <v>5.9973369286188342E-2</v>
      </c>
      <c r="X89" s="186">
        <f t="shared" si="112"/>
        <v>6.345966678849653E-2</v>
      </c>
      <c r="Y89" s="186">
        <f t="shared" si="113"/>
        <v>5.8693196283095724E-2</v>
      </c>
      <c r="Z89" s="186">
        <f t="shared" si="114"/>
        <v>6.1727241583356691E-2</v>
      </c>
      <c r="AA89" s="186">
        <f t="shared" si="115"/>
        <v>6.095954389284871E-2</v>
      </c>
      <c r="AB89" s="202">
        <v>6.0296099313917398E-2</v>
      </c>
    </row>
    <row r="90" spans="1:28" x14ac:dyDescent="0.35">
      <c r="A90" s="164"/>
      <c r="B90" s="165"/>
      <c r="C90" s="168"/>
      <c r="K90" s="163"/>
      <c r="L90" s="163"/>
      <c r="M90" s="163"/>
      <c r="N90" s="163"/>
      <c r="O90" s="163"/>
    </row>
    <row r="91" spans="1:28" x14ac:dyDescent="0.35">
      <c r="A91" s="164"/>
      <c r="B91" s="172" t="s">
        <v>248</v>
      </c>
      <c r="C91" s="174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244"/>
    </row>
    <row r="92" spans="1:28" x14ac:dyDescent="0.35">
      <c r="A92" s="164"/>
      <c r="B92" s="180" t="s">
        <v>247</v>
      </c>
      <c r="C92" s="174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244"/>
    </row>
    <row r="93" spans="1:28" x14ac:dyDescent="0.35">
      <c r="A93" s="164"/>
      <c r="B93" s="180"/>
      <c r="C93" s="174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244"/>
    </row>
    <row r="94" spans="1:28" x14ac:dyDescent="0.35">
      <c r="A94" s="164"/>
      <c r="B94" s="172" t="s">
        <v>259</v>
      </c>
      <c r="C94" s="174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244"/>
    </row>
    <row r="95" spans="1:28" x14ac:dyDescent="0.35">
      <c r="A95" s="164"/>
      <c r="B95" s="172"/>
      <c r="C95" s="174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244"/>
    </row>
    <row r="96" spans="1:28" x14ac:dyDescent="0.35">
      <c r="A96" s="164"/>
      <c r="B96" s="172"/>
      <c r="C96" s="174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244"/>
    </row>
    <row r="97" spans="2:28" x14ac:dyDescent="0.35">
      <c r="B97" s="176"/>
      <c r="K97" s="163"/>
      <c r="L97" s="163"/>
      <c r="M97" s="163"/>
      <c r="N97" s="163"/>
      <c r="O97" s="163"/>
    </row>
    <row r="98" spans="2:28" x14ac:dyDescent="0.35">
      <c r="B98" s="176"/>
      <c r="K98" s="163"/>
      <c r="L98" s="163"/>
      <c r="M98" s="163"/>
      <c r="N98" s="163"/>
      <c r="O98" s="163"/>
    </row>
    <row r="99" spans="2:28" x14ac:dyDescent="0.35">
      <c r="K99" s="249"/>
      <c r="L99" s="163"/>
      <c r="M99" s="163"/>
      <c r="N99" s="163"/>
      <c r="O99" s="163"/>
    </row>
    <row r="100" spans="2:28" x14ac:dyDescent="0.35">
      <c r="K100" s="163"/>
      <c r="L100" s="163"/>
      <c r="M100" s="163"/>
      <c r="N100" s="163"/>
      <c r="O100" s="163"/>
    </row>
    <row r="101" spans="2:28" x14ac:dyDescent="0.35">
      <c r="C101" s="242">
        <f>C20+C64-'Income Statement'!B13</f>
        <v>0</v>
      </c>
      <c r="D101" s="242">
        <f>D20+D64-'Income Statement'!C13</f>
        <v>0</v>
      </c>
      <c r="E101" s="242">
        <f>E20+E64-'Income Statement'!D13</f>
        <v>0</v>
      </c>
      <c r="F101" s="242">
        <f>F20+F64-'Income Statement'!E13</f>
        <v>0</v>
      </c>
      <c r="G101" s="242">
        <f>G20+G64-'Income Statement'!F13</f>
        <v>0</v>
      </c>
      <c r="H101" s="242"/>
      <c r="I101" s="242">
        <f>I20+I64-'Income Statement'!H13</f>
        <v>0</v>
      </c>
      <c r="J101" s="242">
        <f>J20+J64-'Income Statement'!I13</f>
        <v>0</v>
      </c>
      <c r="K101" s="257">
        <f>K20+K64-'Income Statement'!J13</f>
        <v>0</v>
      </c>
      <c r="L101" s="257">
        <f>L20+L64-'Income Statement'!K13</f>
        <v>0</v>
      </c>
      <c r="M101" s="257">
        <f>M20+M64-'Income Statement'!L13</f>
        <v>0</v>
      </c>
      <c r="N101" s="257">
        <f>N20+N64-'Income Statement'!M13</f>
        <v>0</v>
      </c>
      <c r="O101" s="257">
        <f>O20+O64-'Income Statement'!N13</f>
        <v>0</v>
      </c>
      <c r="P101" s="257">
        <f>P20+P64-'Income Statement'!O13</f>
        <v>0</v>
      </c>
      <c r="Q101" s="257">
        <f>Q20+Q64-'Income Statement'!P13</f>
        <v>0</v>
      </c>
      <c r="R101" s="257">
        <f>R20+R64-'Income Statement'!G13</f>
        <v>0</v>
      </c>
      <c r="S101" s="257">
        <f>S20+S64-'Income Statement'!H13</f>
        <v>0</v>
      </c>
      <c r="T101" s="257">
        <f>T20+T64-'Income Statement'!I13</f>
        <v>0</v>
      </c>
      <c r="U101" s="257">
        <f>U20+U64-'Income Statement'!J13</f>
        <v>0</v>
      </c>
      <c r="V101" s="257">
        <f>V20+V64-'Income Statement'!K13</f>
        <v>0</v>
      </c>
      <c r="W101" s="257">
        <f>W20+W64-'Income Statement'!L13</f>
        <v>0</v>
      </c>
      <c r="X101" s="257">
        <f>X20+X64-'Income Statement'!M13</f>
        <v>0</v>
      </c>
      <c r="Y101" s="257">
        <f>Y20+Y64-'Income Statement'!N13</f>
        <v>0</v>
      </c>
      <c r="Z101" s="257">
        <f>Z20+Z64-'Income Statement'!O13</f>
        <v>0</v>
      </c>
      <c r="AA101" s="257">
        <f>AA20+AA64-'Income Statement'!P13</f>
        <v>0</v>
      </c>
      <c r="AB101" s="257">
        <f>AB20+AB64-'Income Statement'!Q13</f>
        <v>0</v>
      </c>
    </row>
    <row r="103" spans="2:28" x14ac:dyDescent="0.35">
      <c r="N103" s="281"/>
      <c r="O103" s="281"/>
    </row>
  </sheetData>
  <mergeCells count="5">
    <mergeCell ref="W2:AA2"/>
    <mergeCell ref="M3:Q3"/>
    <mergeCell ref="C2:G2"/>
    <mergeCell ref="H3:L3"/>
    <mergeCell ref="R2:V2"/>
  </mergeCells>
  <pageMargins left="0.7" right="0.7" top="0.35" bottom="0.35" header="0.3" footer="0.3"/>
  <pageSetup paperSize="5" scale="38" fitToHeight="2" orientation="landscape" r:id="rId1"/>
  <ignoredErrors>
    <ignoredError sqref="L82 L80 L78 L74 L7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GY45"/>
  <sheetViews>
    <sheetView showGridLines="0" zoomScale="85" zoomScaleNormal="85" zoomScaleSheetLayoutView="85" workbookViewId="0">
      <pane xSplit="2" ySplit="4" topLeftCell="C14" activePane="bottomRight" state="frozen"/>
      <selection activeCell="I106" sqref="I106"/>
      <selection pane="topRight" activeCell="I106" sqref="I106"/>
      <selection pane="bottomLeft" activeCell="I106" sqref="I106"/>
      <selection pane="bottomRight" activeCell="R23" sqref="R23"/>
    </sheetView>
  </sheetViews>
  <sheetFormatPr defaultColWidth="9.140625" defaultRowHeight="12.75" outlineLevelCol="1" x14ac:dyDescent="0.2"/>
  <cols>
    <col min="1" max="1" width="2.42578125" style="7" customWidth="1"/>
    <col min="2" max="2" width="30.5703125" style="2" customWidth="1"/>
    <col min="3" max="3" width="10" style="24" hidden="1" customWidth="1" outlineLevel="1"/>
    <col min="4" max="4" width="10.28515625" style="2" hidden="1" customWidth="1" outlineLevel="1"/>
    <col min="5" max="5" width="10.7109375" style="2" hidden="1" customWidth="1" outlineLevel="1"/>
    <col min="6" max="6" width="9.140625" style="2" hidden="1" customWidth="1" outlineLevel="1"/>
    <col min="7" max="7" width="9.140625" style="2" customWidth="1" collapsed="1"/>
    <col min="8" max="11" width="0" style="2" hidden="1" customWidth="1" outlineLevel="1"/>
    <col min="12" max="12" width="9.140625" style="2" customWidth="1" collapsed="1"/>
    <col min="13" max="16" width="9.140625" style="2" hidden="1" customWidth="1" outlineLevel="1"/>
    <col min="17" max="17" width="9.140625" style="2" customWidth="1" collapsed="1"/>
    <col min="18" max="16384" width="9.140625" style="2"/>
  </cols>
  <sheetData>
    <row r="2" spans="1:207" x14ac:dyDescent="0.2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</row>
    <row r="3" spans="1:207" ht="23.25" customHeight="1" x14ac:dyDescent="0.2">
      <c r="A3" s="57"/>
      <c r="B3" s="56"/>
      <c r="D3" s="56"/>
      <c r="G3" s="152">
        <v>2017</v>
      </c>
      <c r="H3" s="152">
        <v>2018</v>
      </c>
      <c r="I3" s="152">
        <v>2018</v>
      </c>
      <c r="J3" s="152">
        <v>2018</v>
      </c>
      <c r="K3" s="152">
        <v>2018</v>
      </c>
      <c r="L3" s="152">
        <v>2018</v>
      </c>
      <c r="M3" s="152">
        <v>2019</v>
      </c>
      <c r="N3" s="152">
        <v>2019</v>
      </c>
      <c r="O3" s="152">
        <v>2019</v>
      </c>
      <c r="P3" s="152">
        <v>2019</v>
      </c>
      <c r="Q3" s="152">
        <v>2019</v>
      </c>
      <c r="R3" s="152">
        <v>2020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</row>
    <row r="4" spans="1:207" ht="15.75" customHeight="1" x14ac:dyDescent="0.2">
      <c r="A4" s="57"/>
      <c r="B4" s="56"/>
      <c r="C4" s="159" t="s">
        <v>9</v>
      </c>
      <c r="D4" s="159" t="s">
        <v>10</v>
      </c>
      <c r="E4" s="159" t="s">
        <v>11</v>
      </c>
      <c r="F4" s="159" t="s">
        <v>12</v>
      </c>
      <c r="G4" s="151" t="s">
        <v>13</v>
      </c>
      <c r="H4" s="151" t="s">
        <v>9</v>
      </c>
      <c r="I4" s="151" t="s">
        <v>10</v>
      </c>
      <c r="J4" s="151" t="s">
        <v>11</v>
      </c>
      <c r="K4" s="151" t="s">
        <v>12</v>
      </c>
      <c r="L4" s="151" t="s">
        <v>13</v>
      </c>
      <c r="M4" s="151" t="s">
        <v>9</v>
      </c>
      <c r="N4" s="151" t="s">
        <v>10</v>
      </c>
      <c r="O4" s="151" t="s">
        <v>11</v>
      </c>
      <c r="P4" s="151" t="s">
        <v>12</v>
      </c>
      <c r="Q4" s="151" t="s">
        <v>13</v>
      </c>
      <c r="R4" s="151" t="s">
        <v>9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</row>
    <row r="5" spans="1:207" x14ac:dyDescent="0.2">
      <c r="A5" s="57"/>
      <c r="B5" s="56"/>
      <c r="C5" s="9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</row>
    <row r="6" spans="1:207" s="74" customFormat="1" x14ac:dyDescent="0.2">
      <c r="A6" s="84"/>
      <c r="B6" s="74" t="s">
        <v>0</v>
      </c>
      <c r="C6" s="80">
        <v>26428</v>
      </c>
      <c r="D6" s="80">
        <v>26317</v>
      </c>
      <c r="E6" s="80">
        <v>27358</v>
      </c>
      <c r="F6" s="80">
        <v>27756</v>
      </c>
      <c r="G6" s="80">
        <v>27756</v>
      </c>
      <c r="H6" s="80">
        <v>27095</v>
      </c>
      <c r="I6" s="80">
        <v>27094</v>
      </c>
      <c r="J6" s="80">
        <v>28812</v>
      </c>
      <c r="K6" s="80">
        <v>29152</v>
      </c>
      <c r="L6" s="80">
        <v>29152</v>
      </c>
      <c r="M6" s="80">
        <v>29122</v>
      </c>
      <c r="N6" s="80">
        <v>30019</v>
      </c>
      <c r="O6" s="80">
        <v>31496</v>
      </c>
      <c r="P6" s="80">
        <v>31728</v>
      </c>
      <c r="Q6" s="80">
        <f>P6</f>
        <v>31728</v>
      </c>
      <c r="R6" s="80">
        <v>32780</v>
      </c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</row>
    <row r="7" spans="1:207" s="8" customFormat="1" x14ac:dyDescent="0.2">
      <c r="A7" s="6"/>
      <c r="B7" s="1"/>
      <c r="C7" s="143"/>
      <c r="D7" s="143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</row>
    <row r="8" spans="1:207" s="75" customFormat="1" x14ac:dyDescent="0.2">
      <c r="A8" s="84"/>
      <c r="B8" s="74" t="s">
        <v>82</v>
      </c>
      <c r="C8" s="80">
        <v>22394</v>
      </c>
      <c r="D8" s="80">
        <v>23293</v>
      </c>
      <c r="E8" s="80">
        <v>22775</v>
      </c>
      <c r="F8" s="80">
        <v>24215</v>
      </c>
      <c r="G8" s="80">
        <f>F8</f>
        <v>24215</v>
      </c>
      <c r="H8" s="80">
        <v>24849</v>
      </c>
      <c r="I8" s="80">
        <v>24617</v>
      </c>
      <c r="J8" s="80">
        <v>25488</v>
      </c>
      <c r="K8" s="80">
        <v>25931</v>
      </c>
      <c r="L8" s="80">
        <f>K8</f>
        <v>25931</v>
      </c>
      <c r="M8" s="80">
        <v>26024</v>
      </c>
      <c r="N8" s="80">
        <v>27124</v>
      </c>
      <c r="O8" s="80">
        <v>27469</v>
      </c>
      <c r="P8" s="80">
        <v>27738</v>
      </c>
      <c r="Q8" s="80">
        <f>P8</f>
        <v>27738</v>
      </c>
      <c r="R8" s="80">
        <v>29116</v>
      </c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</row>
    <row r="9" spans="1:207" x14ac:dyDescent="0.2">
      <c r="A9" s="6"/>
      <c r="B9" s="56"/>
      <c r="C9" s="94"/>
      <c r="D9" s="9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</row>
    <row r="10" spans="1:207" s="75" customFormat="1" x14ac:dyDescent="0.2">
      <c r="A10" s="84"/>
      <c r="B10" s="74" t="s">
        <v>240</v>
      </c>
      <c r="C10" s="95">
        <v>1.1094043047244797</v>
      </c>
      <c r="D10" s="95">
        <v>1.0632378826256816</v>
      </c>
      <c r="E10" s="95">
        <v>1.1343578485181121</v>
      </c>
      <c r="F10" s="95">
        <v>1.0824282469543671</v>
      </c>
      <c r="G10" s="95">
        <v>1.0824282469543671</v>
      </c>
      <c r="H10" s="95">
        <v>1.0272043140569036</v>
      </c>
      <c r="I10" s="95">
        <v>1.032416622659138</v>
      </c>
      <c r="J10" s="95">
        <v>1.0606167608286252</v>
      </c>
      <c r="K10" s="95">
        <v>1.0550306582854498</v>
      </c>
      <c r="L10" s="95">
        <v>1.0550306582854498</v>
      </c>
      <c r="M10" s="95">
        <v>1.0547908930218257</v>
      </c>
      <c r="N10" s="95">
        <v>1.0407279531042619</v>
      </c>
      <c r="O10" s="95">
        <v>1.08</v>
      </c>
      <c r="P10" s="95">
        <v>1.0774978729540701</v>
      </c>
      <c r="Q10" s="95">
        <f>P10</f>
        <v>1.0774978729540701</v>
      </c>
      <c r="R10" s="95">
        <v>1.06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</row>
    <row r="11" spans="1:207" x14ac:dyDescent="0.2">
      <c r="A11" s="6"/>
      <c r="B11" s="56"/>
      <c r="C11" s="94"/>
      <c r="D11" s="9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</row>
    <row r="12" spans="1:207" s="75" customFormat="1" x14ac:dyDescent="0.2">
      <c r="A12" s="84"/>
      <c r="B12" s="74" t="s">
        <v>241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</row>
    <row r="13" spans="1:207" x14ac:dyDescent="0.2">
      <c r="A13" s="6"/>
      <c r="B13" s="81" t="s">
        <v>50</v>
      </c>
      <c r="C13" s="10">
        <v>7.0543868104712068E-2</v>
      </c>
      <c r="D13" s="10">
        <v>6.8413258321300074E-2</v>
      </c>
      <c r="E13" s="10">
        <v>7.8682951663760131E-2</v>
      </c>
      <c r="F13" s="240">
        <v>9.0865388386000639E-2</v>
      </c>
      <c r="G13" s="240">
        <v>7.7344020427689564E-2</v>
      </c>
      <c r="H13" s="246">
        <v>8.0392074175461611E-2</v>
      </c>
      <c r="I13" s="246">
        <v>8.3199807659539757E-2</v>
      </c>
      <c r="J13" s="246">
        <v>7.85834865138509E-2</v>
      </c>
      <c r="K13" s="97">
        <v>8.6041315523410405E-2</v>
      </c>
      <c r="L13" s="240">
        <v>8.2089428257938343E-2</v>
      </c>
      <c r="M13" s="148">
        <v>7.9081549855751734E-2</v>
      </c>
      <c r="N13" s="148">
        <v>8.4175051580166541E-2</v>
      </c>
      <c r="O13" s="148">
        <v>7.5242799743906075E-2</v>
      </c>
      <c r="P13" s="148">
        <v>8.1402448811873057E-2</v>
      </c>
      <c r="Q13" s="148">
        <v>7.996062015913441E-2</v>
      </c>
      <c r="R13" s="148">
        <v>8.0666291683971769E-2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</row>
    <row r="14" spans="1:207" x14ac:dyDescent="0.2">
      <c r="A14" s="6"/>
      <c r="B14" s="81" t="s">
        <v>47</v>
      </c>
      <c r="C14" s="10">
        <v>0.16718845169265559</v>
      </c>
      <c r="D14" s="10">
        <v>0.16609294905650634</v>
      </c>
      <c r="E14" s="10">
        <v>0.17151675219019799</v>
      </c>
      <c r="F14" s="240">
        <v>0.18004267933978224</v>
      </c>
      <c r="G14" s="240">
        <v>0.17074782349225345</v>
      </c>
      <c r="H14" s="246">
        <v>0.16875311796250148</v>
      </c>
      <c r="I14" s="246">
        <v>0.17246104394198541</v>
      </c>
      <c r="J14" s="246">
        <v>0.15646660865059261</v>
      </c>
      <c r="K14" s="97">
        <v>0.16347290863176006</v>
      </c>
      <c r="L14" s="240">
        <v>0.16387840170410725</v>
      </c>
      <c r="M14" s="148">
        <v>0.15658657950420171</v>
      </c>
      <c r="N14" s="148">
        <v>0.15782506406378663</v>
      </c>
      <c r="O14" s="148">
        <v>0.14878314416660995</v>
      </c>
      <c r="P14" s="148">
        <v>0.16350984859168816</v>
      </c>
      <c r="Q14" s="148">
        <v>0.15225578197830744</v>
      </c>
      <c r="R14" s="148">
        <v>0.17756147197119954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</row>
    <row r="15" spans="1:207" x14ac:dyDescent="0.2">
      <c r="A15" s="6"/>
      <c r="B15" s="81" t="s">
        <v>48</v>
      </c>
      <c r="C15" s="10">
        <v>0.24154938838377771</v>
      </c>
      <c r="D15" s="10">
        <v>0.2470451552352449</v>
      </c>
      <c r="E15" s="10">
        <v>0.24654080328190808</v>
      </c>
      <c r="F15" s="240">
        <v>0.25623991335447316</v>
      </c>
      <c r="G15" s="240">
        <v>0.24560333276201043</v>
      </c>
      <c r="H15" s="246">
        <v>0.24735224929156971</v>
      </c>
      <c r="I15" s="246">
        <v>0.24907263736585927</v>
      </c>
      <c r="J15" s="246">
        <v>0.22620406291789719</v>
      </c>
      <c r="K15" s="97">
        <v>0.23435108111157243</v>
      </c>
      <c r="L15" s="240">
        <v>0.23670661738731769</v>
      </c>
      <c r="M15" s="148">
        <v>0.22627728301993461</v>
      </c>
      <c r="N15" s="148">
        <v>0.22404913040086827</v>
      </c>
      <c r="O15" s="148">
        <v>0.21674863331481722</v>
      </c>
      <c r="P15" s="148">
        <v>0.22833874714387031</v>
      </c>
      <c r="Q15" s="148">
        <v>0.21954984667495586</v>
      </c>
      <c r="R15" s="148">
        <v>0.24349506187494788</v>
      </c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</row>
    <row r="16" spans="1:207" x14ac:dyDescent="0.2">
      <c r="A16" s="6"/>
      <c r="B16" s="81" t="s">
        <v>49</v>
      </c>
      <c r="C16" s="247">
        <v>0.38800000000000001</v>
      </c>
      <c r="D16" s="97">
        <v>0.39117560568524334</v>
      </c>
      <c r="E16" s="10">
        <v>0.38341186844162889</v>
      </c>
      <c r="F16" s="240">
        <v>0.38267699470046296</v>
      </c>
      <c r="G16" s="240">
        <v>0.38605801267864925</v>
      </c>
      <c r="H16" s="240">
        <v>0.39566771616851942</v>
      </c>
      <c r="I16" s="240">
        <v>0.38953687892037764</v>
      </c>
      <c r="J16" s="240">
        <v>0.36698213657314627</v>
      </c>
      <c r="K16" s="148">
        <v>0.37112622445702192</v>
      </c>
      <c r="L16" s="240">
        <v>0.372235222510376</v>
      </c>
      <c r="M16" s="148">
        <v>0.36560196961153252</v>
      </c>
      <c r="N16" s="148">
        <v>0.36501842011120145</v>
      </c>
      <c r="O16" s="148">
        <v>0.35706193682575654</v>
      </c>
      <c r="P16" s="148">
        <v>0.36199840679369394</v>
      </c>
      <c r="Q16" s="148">
        <v>0.36146546649661448</v>
      </c>
      <c r="R16" s="148">
        <v>0.37293535284921092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</row>
    <row r="17" spans="1:207" x14ac:dyDescent="0.2">
      <c r="A17" s="6"/>
      <c r="B17" s="56"/>
      <c r="C17" s="94"/>
      <c r="D17" s="94"/>
      <c r="E17" s="56"/>
      <c r="F17" s="56"/>
      <c r="G17" s="56"/>
      <c r="H17" s="56"/>
      <c r="I17" s="56"/>
      <c r="J17" s="56"/>
      <c r="K17" s="252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</row>
    <row r="18" spans="1:207" s="75" customFormat="1" x14ac:dyDescent="0.2">
      <c r="A18" s="84"/>
      <c r="B18" s="85" t="s">
        <v>174</v>
      </c>
      <c r="C18" s="98">
        <v>0.309</v>
      </c>
      <c r="D18" s="98">
        <v>0.35313642061404282</v>
      </c>
      <c r="E18" s="98">
        <v>0.315</v>
      </c>
      <c r="F18" s="98">
        <v>0.308</v>
      </c>
      <c r="G18" s="98">
        <v>0.32</v>
      </c>
      <c r="H18" s="98">
        <v>0.34771793917908539</v>
      </c>
      <c r="I18" s="98">
        <v>0.32887684750491686</v>
      </c>
      <c r="J18" s="98">
        <v>0.32664985108232508</v>
      </c>
      <c r="K18" s="98">
        <v>0.29138218163140767</v>
      </c>
      <c r="L18" s="98">
        <v>0.3182750662449782</v>
      </c>
      <c r="M18" s="98">
        <v>0.31946164643712327</v>
      </c>
      <c r="N18" s="98">
        <v>0.37242299219705011</v>
      </c>
      <c r="O18" s="98">
        <v>0.34489076991892847</v>
      </c>
      <c r="P18" s="98">
        <v>0.30887759596046266</v>
      </c>
      <c r="Q18" s="98">
        <v>0.33160055826371893</v>
      </c>
      <c r="R18" s="98">
        <v>0.31995558781720007</v>
      </c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</row>
    <row r="19" spans="1:207" s="38" customFormat="1" x14ac:dyDescent="0.2">
      <c r="A19" s="82"/>
      <c r="B19" s="83"/>
      <c r="C19" s="99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</row>
    <row r="20" spans="1:207" x14ac:dyDescent="0.2">
      <c r="B20" s="141" t="s">
        <v>145</v>
      </c>
      <c r="D20" s="24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207" x14ac:dyDescent="0.2">
      <c r="B21" s="139" t="s">
        <v>144</v>
      </c>
      <c r="C21" s="142">
        <f>(64.85+66.69+67.85)/3</f>
        <v>66.463333333333324</v>
      </c>
      <c r="D21" s="142">
        <v>64.45</v>
      </c>
      <c r="E21" s="142">
        <f>+(64.18+63.9+65.28)/3</f>
        <v>64.453333333333333</v>
      </c>
      <c r="F21" s="142">
        <f>+(64.74+64.46+63.87)/3</f>
        <v>64.356666666666669</v>
      </c>
      <c r="G21" s="272">
        <f>AVERAGE(C21:F21)</f>
        <v>64.930833333333339</v>
      </c>
      <c r="H21" s="272">
        <v>64.64</v>
      </c>
      <c r="I21" s="272">
        <v>67.510000000000005</v>
      </c>
      <c r="J21" s="272">
        <v>70.67</v>
      </c>
      <c r="K21" s="272">
        <v>71.099999999999994</v>
      </c>
      <c r="L21" s="272">
        <f>AVERAGE(H21:K21)</f>
        <v>68.47999999999999</v>
      </c>
      <c r="M21" s="272">
        <v>70.316666666666677</v>
      </c>
      <c r="N21" s="272">
        <v>69.416666666666671</v>
      </c>
      <c r="O21" s="272">
        <v>70.353333333333339</v>
      </c>
      <c r="P21" s="272">
        <v>71.346666666666664</v>
      </c>
      <c r="Q21" s="272">
        <v>70.358333333333348</v>
      </c>
      <c r="R21" s="298">
        <v>73.081666666666663</v>
      </c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207" x14ac:dyDescent="0.2">
      <c r="B22" s="34" t="s">
        <v>146</v>
      </c>
      <c r="C22" s="102">
        <v>1.1734384099723827E-2</v>
      </c>
      <c r="D22" s="102">
        <v>3.0292391794974449E-2</v>
      </c>
      <c r="E22" s="102">
        <v>-5.1719679337924873E-5</v>
      </c>
      <c r="F22" s="102">
        <v>1.4997931319817859E-3</v>
      </c>
      <c r="G22" s="239"/>
      <c r="H22" s="273">
        <f>-(H21/F21-1)</f>
        <v>-4.4025482985445841E-3</v>
      </c>
      <c r="I22" s="273">
        <f>-(I21/H21-1)</f>
        <v>-4.4399752475247523E-2</v>
      </c>
      <c r="J22" s="273">
        <f>-(J21/I21-1)</f>
        <v>-4.6807880314027495E-2</v>
      </c>
      <c r="K22" s="274">
        <f>-(K21/J21-1)</f>
        <v>-6.0846186500636001E-3</v>
      </c>
      <c r="L22" s="239"/>
      <c r="M22" s="273">
        <f>-(M21/K21-1)</f>
        <v>1.1017346460384214E-2</v>
      </c>
      <c r="N22" s="273">
        <f>-(N21/M21-1)</f>
        <v>1.2799241526428196E-2</v>
      </c>
      <c r="O22" s="273">
        <f>-(O21/N21-1)</f>
        <v>-1.3493397358943504E-2</v>
      </c>
      <c r="P22" s="273">
        <f>-(P21/O21-1)</f>
        <v>-1.4119207808206191E-2</v>
      </c>
      <c r="Q22" s="273"/>
      <c r="R22" s="273">
        <f>-(R21/P21-1)</f>
        <v>-2.4317884507568666E-2</v>
      </c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207" x14ac:dyDescent="0.2">
      <c r="B23" s="34" t="s">
        <v>147</v>
      </c>
      <c r="C23" s="102">
        <v>1.5503875968992498E-2</v>
      </c>
      <c r="D23" s="102">
        <v>3.8968139569561022E-2</v>
      </c>
      <c r="E23" s="102">
        <v>3.4165834165834186E-2</v>
      </c>
      <c r="F23" s="102">
        <v>4.9431342622224372E-2</v>
      </c>
      <c r="G23" s="274">
        <v>3.4521641079018006E-2</v>
      </c>
      <c r="H23" s="274">
        <f t="shared" ref="H23" si="0">-(H21/C21-1)</f>
        <v>2.7433672701740131E-2</v>
      </c>
      <c r="I23" s="274">
        <f>-(I21/D21-1)</f>
        <v>-4.7478665632273209E-2</v>
      </c>
      <c r="J23" s="274">
        <f>-(J21/E21-1)</f>
        <v>-9.6452213487794758E-2</v>
      </c>
      <c r="K23" s="274">
        <f>-(K21/F21-1)</f>
        <v>-0.1047806495053607</v>
      </c>
      <c r="L23" s="274">
        <f t="shared" ref="L23:P23" si="1">-(L21/G21-1)</f>
        <v>-5.466072872415495E-2</v>
      </c>
      <c r="M23" s="274">
        <f t="shared" si="1"/>
        <v>-8.7819719471947444E-2</v>
      </c>
      <c r="N23" s="274">
        <f t="shared" si="1"/>
        <v>-2.8242729472176986E-2</v>
      </c>
      <c r="O23" s="274">
        <f t="shared" si="1"/>
        <v>4.4809207112871396E-3</v>
      </c>
      <c r="P23" s="274">
        <f t="shared" si="1"/>
        <v>-3.469292076887065E-3</v>
      </c>
      <c r="Q23" s="274">
        <f>-(Q21/L21-1)</f>
        <v>-2.7428933021807156E-2</v>
      </c>
      <c r="R23" s="274">
        <f t="shared" ref="R23" si="2">-(R21/M21-1)</f>
        <v>-3.9322114245081474E-2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207" x14ac:dyDescent="0.2">
      <c r="B24" s="34"/>
      <c r="C24" s="102"/>
      <c r="D24" s="102"/>
      <c r="G24" s="239"/>
      <c r="H24" s="239"/>
      <c r="I24" s="239"/>
      <c r="J24" s="239"/>
      <c r="K24" s="31"/>
      <c r="L24" s="239"/>
      <c r="M24" s="239"/>
      <c r="N24" s="239"/>
      <c r="O24" s="239"/>
      <c r="P24" s="239"/>
      <c r="Q24" s="239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207" x14ac:dyDescent="0.2">
      <c r="B25" s="142" t="s">
        <v>142</v>
      </c>
      <c r="C25" s="142">
        <f>+ROUND((1.24+1.25+1.24)/3,2)</f>
        <v>1.24</v>
      </c>
      <c r="D25" s="142">
        <v>1.29</v>
      </c>
      <c r="E25" s="142">
        <f>+(1.31+1.29+1.34)/3</f>
        <v>1.3133333333333335</v>
      </c>
      <c r="F25" s="142">
        <f>+(1.32+1.34+1.35)/3</f>
        <v>1.3366666666666667</v>
      </c>
      <c r="G25" s="272">
        <f>AVERAGE(C25:F25)</f>
        <v>1.2950000000000002</v>
      </c>
      <c r="H25" s="272">
        <v>1.4</v>
      </c>
      <c r="I25" s="272">
        <v>1.34</v>
      </c>
      <c r="J25" s="272">
        <v>1.31</v>
      </c>
      <c r="K25" s="272">
        <v>1.28</v>
      </c>
      <c r="L25" s="272">
        <f>AVERAGE(H25:K25)</f>
        <v>1.3325000000000002</v>
      </c>
      <c r="M25" s="272">
        <v>1.3152666666666666</v>
      </c>
      <c r="N25" s="272">
        <v>1.2756666666666667</v>
      </c>
      <c r="O25" s="272">
        <v>1.2212333333333334</v>
      </c>
      <c r="P25" s="272">
        <v>1.3024</v>
      </c>
      <c r="Q25" s="272">
        <v>1.2786416666666667</v>
      </c>
      <c r="R25" s="298">
        <v>1.2763666666666669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207" x14ac:dyDescent="0.2">
      <c r="B26" s="34" t="s">
        <v>168</v>
      </c>
      <c r="C26" s="102">
        <v>7.8066914498141071E-2</v>
      </c>
      <c r="D26" s="102">
        <v>-4.0322580645161255E-2</v>
      </c>
      <c r="E26" s="102">
        <v>-1.8087855297157729E-2</v>
      </c>
      <c r="F26" s="102">
        <v>-1.7766497461928932E-2</v>
      </c>
      <c r="H26" s="241">
        <f>-(H25/F25-1)</f>
        <v>-4.7381546134663166E-2</v>
      </c>
      <c r="I26" s="241">
        <f>-(I25/H25-1)</f>
        <v>4.2857142857142705E-2</v>
      </c>
      <c r="J26" s="241">
        <f>-(J25/I25-1)</f>
        <v>2.2388059701492602E-2</v>
      </c>
      <c r="K26" s="102">
        <f>-(K25/J25-1)</f>
        <v>2.2900763358778664E-2</v>
      </c>
      <c r="M26" s="241">
        <f>-(M25/K25-1)</f>
        <v>-2.7552083333333144E-2</v>
      </c>
      <c r="N26" s="273">
        <f>-(N25/M25-1)</f>
        <v>3.0107962897257701E-2</v>
      </c>
      <c r="O26" s="273">
        <f>-(O25/N25-1)</f>
        <v>4.2670499085445512E-2</v>
      </c>
      <c r="P26" s="273">
        <f>-(P25/O25-1)</f>
        <v>-6.6462865409285588E-2</v>
      </c>
      <c r="Q26" s="273"/>
      <c r="R26" s="241">
        <f>-(R25/P25-1)</f>
        <v>1.9988738738738632E-2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207" x14ac:dyDescent="0.2">
      <c r="B27" s="34" t="s">
        <v>169</v>
      </c>
      <c r="C27" s="102">
        <v>0.12470588235294122</v>
      </c>
      <c r="D27" s="102">
        <v>9.367681498829028E-2</v>
      </c>
      <c r="E27" s="102">
        <v>-2.5445292620867033E-3</v>
      </c>
      <c r="F27" s="102">
        <v>-8.6720867208672114E-2</v>
      </c>
      <c r="G27" s="102">
        <v>3.7174721189590754E-2</v>
      </c>
      <c r="H27" s="102">
        <f t="shared" ref="H27" si="3">-(H25/C25-1)</f>
        <v>-0.12903225806451601</v>
      </c>
      <c r="I27" s="102">
        <f>-(I25/D25-1)</f>
        <v>-3.8759689922480689E-2</v>
      </c>
      <c r="J27" s="102">
        <f>-(J25/E25-1)</f>
        <v>2.5380710659899108E-3</v>
      </c>
      <c r="K27" s="102">
        <f>-(K25/F25-1)</f>
        <v>4.239401496259354E-2</v>
      </c>
      <c r="L27" s="102">
        <f t="shared" ref="L27:P27" si="4">-(L25/G25-1)</f>
        <v>-2.8957528957529011E-2</v>
      </c>
      <c r="M27" s="102">
        <f t="shared" si="4"/>
        <v>6.0523809523809535E-2</v>
      </c>
      <c r="N27" s="102">
        <f t="shared" si="4"/>
        <v>4.8009950248756206E-2</v>
      </c>
      <c r="O27" s="102">
        <f t="shared" si="4"/>
        <v>6.7760814249363865E-2</v>
      </c>
      <c r="P27" s="102">
        <f t="shared" si="4"/>
        <v>-1.7500000000000071E-2</v>
      </c>
      <c r="Q27" s="102">
        <f>-(Q25/L25-1)</f>
        <v>4.0419011882426692E-2</v>
      </c>
      <c r="R27" s="102">
        <f t="shared" ref="R27" si="5">-(R25/M25-1)</f>
        <v>2.9575751431902053E-2</v>
      </c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207" x14ac:dyDescent="0.2">
      <c r="B28" s="140"/>
      <c r="D28" s="24"/>
      <c r="K28" s="24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  <row r="29" spans="1:207" x14ac:dyDescent="0.2">
      <c r="B29" s="139" t="s">
        <v>143</v>
      </c>
      <c r="C29" s="142">
        <f>+(50.21+50.16+49.77)/3</f>
        <v>50.046666666666674</v>
      </c>
      <c r="D29" s="142">
        <v>50.061999999999998</v>
      </c>
      <c r="E29" s="142">
        <f>+(50.46+51.17+50.815)/3</f>
        <v>50.814999999999998</v>
      </c>
      <c r="F29" s="142">
        <f>+(51.61+50.27+49.93)/3</f>
        <v>50.603333333333332</v>
      </c>
      <c r="G29" s="142">
        <f>AVERAGE(C29:F29)</f>
        <v>50.381749999999997</v>
      </c>
      <c r="H29" s="142">
        <v>51.85</v>
      </c>
      <c r="I29" s="142">
        <v>52.53</v>
      </c>
      <c r="J29" s="142">
        <v>53.53</v>
      </c>
      <c r="K29" s="142">
        <v>52.86</v>
      </c>
      <c r="L29" s="142">
        <f>AVERAGE(H29:K29)</f>
        <v>52.692499999999995</v>
      </c>
      <c r="M29" s="142">
        <v>52.106666666666662</v>
      </c>
      <c r="N29" s="142">
        <v>51.835000000000001</v>
      </c>
      <c r="O29" s="142">
        <v>51.589999999999996</v>
      </c>
      <c r="P29" s="142">
        <v>50.728333333333332</v>
      </c>
      <c r="Q29" s="142">
        <v>51.565000000000005</v>
      </c>
      <c r="R29" s="298">
        <v>50.826666666666661</v>
      </c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</row>
    <row r="30" spans="1:207" x14ac:dyDescent="0.2">
      <c r="B30" s="34" t="s">
        <v>146</v>
      </c>
      <c r="C30" s="102">
        <v>-4.9884183383593461E-2</v>
      </c>
      <c r="D30" s="102">
        <v>-3.0638071133592959E-4</v>
      </c>
      <c r="E30" s="102">
        <v>-1.5041348727577786E-2</v>
      </c>
      <c r="F30" s="102">
        <v>4.165436714880788E-3</v>
      </c>
      <c r="H30" s="241">
        <f>-(H29/F29-1)</f>
        <v>-2.4636058230683044E-2</v>
      </c>
      <c r="I30" s="241">
        <f>-(I29/H29-1)</f>
        <v>-1.3114754098360715E-2</v>
      </c>
      <c r="J30" s="241">
        <f>-(J29/I29-1)</f>
        <v>-1.9036740909956107E-2</v>
      </c>
      <c r="K30" s="102">
        <f>-(K29/J29-1)</f>
        <v>1.2516345974220133E-2</v>
      </c>
      <c r="M30" s="241">
        <f>-(M29/K29-1)</f>
        <v>1.4251481901879304E-2</v>
      </c>
      <c r="N30" s="273">
        <f>-(N29/M29-1)</f>
        <v>5.2136642784031961E-3</v>
      </c>
      <c r="O30" s="273">
        <f>-(O29/N29-1)</f>
        <v>4.7265361242404547E-3</v>
      </c>
      <c r="P30" s="273">
        <f>-(P29/O29-1)</f>
        <v>1.6702203269367444E-2</v>
      </c>
      <c r="Q30" s="273"/>
      <c r="R30" s="241">
        <f>-(R29/P29-1)</f>
        <v>-1.9384302000853282E-3</v>
      </c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207" x14ac:dyDescent="0.2">
      <c r="B31" s="34" t="s">
        <v>147</v>
      </c>
      <c r="C31" s="102">
        <v>-6.2787569901607165E-2</v>
      </c>
      <c r="D31" s="102">
        <v>-6.7382111509896481E-2</v>
      </c>
      <c r="E31" s="102">
        <v>-7.2121808847316782E-2</v>
      </c>
      <c r="F31" s="102">
        <v>-2.6714459623968789E-2</v>
      </c>
      <c r="G31" s="102">
        <v>-5.691359643372218E-2</v>
      </c>
      <c r="H31" s="102">
        <f t="shared" ref="H31" si="6">-(H29/C29-1)</f>
        <v>-3.6033035833222149E-2</v>
      </c>
      <c r="I31" s="102">
        <f>-(I29/D29-1)</f>
        <v>-4.9298869401941614E-2</v>
      </c>
      <c r="J31" s="102">
        <f>-(J29/E29-1)</f>
        <v>-5.3429105579061442E-2</v>
      </c>
      <c r="K31" s="102">
        <f>-(K29/F29-1)</f>
        <v>-4.459521770634356E-2</v>
      </c>
      <c r="L31" s="102">
        <f t="shared" ref="L31:P31" si="7">-(L29/G29-1)</f>
        <v>-4.5864822083393264E-2</v>
      </c>
      <c r="M31" s="102">
        <f t="shared" si="7"/>
        <v>-4.9501767920281381E-3</v>
      </c>
      <c r="N31" s="102">
        <f t="shared" si="7"/>
        <v>1.3230534932419546E-2</v>
      </c>
      <c r="O31" s="102">
        <f t="shared" si="7"/>
        <v>3.6241359985055177E-2</v>
      </c>
      <c r="P31" s="102">
        <f t="shared" si="7"/>
        <v>4.0326649009963411E-2</v>
      </c>
      <c r="Q31" s="102">
        <f>-(Q29/L29-1)</f>
        <v>2.1397732125065017E-2</v>
      </c>
      <c r="R31" s="102">
        <f t="shared" ref="R31" si="8">-(R29/M29-1)</f>
        <v>2.4564994882292801E-2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3" spans="1:3" x14ac:dyDescent="0.2">
      <c r="A33" s="138"/>
      <c r="C33" s="102"/>
    </row>
    <row r="34" spans="1:3" x14ac:dyDescent="0.2">
      <c r="A34" s="138"/>
    </row>
    <row r="35" spans="1:3" x14ac:dyDescent="0.2">
      <c r="C35" s="28"/>
    </row>
    <row r="36" spans="1:3" x14ac:dyDescent="0.2">
      <c r="C36" s="66"/>
    </row>
    <row r="38" spans="1:3" x14ac:dyDescent="0.2">
      <c r="C38" s="66"/>
    </row>
    <row r="42" spans="1:3" x14ac:dyDescent="0.2">
      <c r="C42" s="66"/>
    </row>
    <row r="44" spans="1:3" x14ac:dyDescent="0.2">
      <c r="C44" s="66"/>
    </row>
    <row r="45" spans="1:3" x14ac:dyDescent="0.2">
      <c r="C45" s="102"/>
    </row>
  </sheetData>
  <customSheetViews>
    <customSheetView guid="{168DC811-186D-42DC-8A72-3741D1063270}" scale="80" showGridLines="0" hiddenRows="1">
      <pane xSplit="2" ySplit="4" topLeftCell="C5" activePane="bottomRight" state="frozen"/>
      <selection pane="bottomRight" activeCell="A7" sqref="A7"/>
      <pageMargins left="0.45" right="0.45" top="0.75" bottom="0.75" header="0.3" footer="0.3"/>
      <printOptions horizontalCentered="1"/>
      <pageSetup scale="65" orientation="landscape" horizontalDpi="300" verticalDpi="300" r:id="rId1"/>
    </customSheetView>
  </customSheetViews>
  <phoneticPr fontId="0" type="noConversion"/>
  <pageMargins left="0.25" right="0.25" top="0.5" bottom="0.25" header="0.3" footer="0.3"/>
  <pageSetup paperSize="5" scale="8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Contents</vt:lpstr>
      <vt:lpstr>Income Statement</vt:lpstr>
      <vt:lpstr>Balance Sheet</vt:lpstr>
      <vt:lpstr>Cashflow</vt:lpstr>
      <vt:lpstr>Revenues and Margins</vt:lpstr>
      <vt:lpstr>Other Metrics</vt:lpstr>
      <vt:lpstr>'Balance Sheet'!Print_Area</vt:lpstr>
      <vt:lpstr>Cashflow!Print_Area</vt:lpstr>
      <vt:lpstr>'Income Statement'!Print_Area</vt:lpstr>
      <vt:lpstr>'Other Metrics'!Print_Area</vt:lpstr>
      <vt:lpstr>'Revenues and Margins'!Print_Area</vt:lpstr>
      <vt:lpstr>'Income Statement'!Print_Titles</vt:lpstr>
      <vt:lpstr>'Other Metrics'!Print_Titles</vt:lpstr>
      <vt:lpstr>'Revenues and Margins'!Print_Titles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rahul13232</dc:creator>
  <cp:lastModifiedBy>Steven Barlow</cp:lastModifiedBy>
  <cp:lastPrinted>2019-07-23T06:07:39Z</cp:lastPrinted>
  <dcterms:created xsi:type="dcterms:W3CDTF">2009-03-23T17:27:54Z</dcterms:created>
  <dcterms:modified xsi:type="dcterms:W3CDTF">2020-05-06T18:33:51Z</dcterms:modified>
</cp:coreProperties>
</file>