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Y:\Financial Planning &amp; Budgeting\2022\Q3 2022\Fact Sheet\"/>
    </mc:Choice>
  </mc:AlternateContent>
  <xr:revisionPtr revIDLastSave="0" documentId="8_{EE088F8B-9A9C-450D-93BC-1A1E15F3C8B6}" xr6:coauthVersionLast="47" xr6:coauthVersionMax="47" xr10:uidLastSave="{00000000-0000-0000-0000-000000000000}"/>
  <bookViews>
    <workbookView xWindow="-120" yWindow="-120" windowWidth="29040" windowHeight="15990" tabRatio="889" activeTab="4" xr2:uid="{00000000-000D-0000-FFFF-FFFF00000000}"/>
  </bookViews>
  <sheets>
    <sheet name="Contents" sheetId="9" r:id="rId1"/>
    <sheet name="Income Statement" sheetId="2" r:id="rId2"/>
    <sheet name="Balance Sheet" sheetId="6" r:id="rId3"/>
    <sheet name="Cashflow" sheetId="7" r:id="rId4"/>
    <sheet name="Revenues and Margins" sheetId="8" r:id="rId5"/>
    <sheet name="Other Metrics" sheetId="5" r:id="rId6"/>
  </sheets>
  <definedNames>
    <definedName name="_xlnm._FilterDatabase" localSheetId="1" hidden="1">'Income Statement'!#REF!</definedName>
    <definedName name="_xlnm.Print_Area" localSheetId="2">'Balance Sheet'!$A$1:$Y$65</definedName>
    <definedName name="_xlnm.Print_Area" localSheetId="3">Cashflow!$A$1:$AD$88</definedName>
    <definedName name="_xlnm.Print_Area" localSheetId="1">'Income Statement'!$A$1:$AC$128</definedName>
    <definedName name="_xlnm.Print_Area" localSheetId="5">'Other Metrics'!$A$1:$AD$34</definedName>
    <definedName name="_xlnm.Print_Area" localSheetId="4">'Revenues and Margins'!$A$1:$AN$105</definedName>
    <definedName name="_xlnm.Print_Titles" localSheetId="1">'Income Statement'!$A:$A,'Income Statement'!$4:$5</definedName>
    <definedName name="_xlnm.Print_Titles" localSheetId="5">'Other Metrics'!$B:$B</definedName>
    <definedName name="_xlnm.Print_Titles" localSheetId="4">'Revenues and Margins'!$1:$4</definedName>
    <definedName name="Z_168DC811_186D_42DC_8A72_3741D1063270_.wvu.PrintArea" localSheetId="5" hidden="1">'Other Metrics'!$A$1:$B$19</definedName>
    <definedName name="Z_168DC811_186D_42DC_8A72_3741D1063270_.wvu.PrintTitles" localSheetId="1" hidden="1">'Income Statement'!$A:$A,'Income Statement'!$4:$5</definedName>
    <definedName name="Z_168DC811_186D_42DC_8A72_3741D1063270_.wvu.PrintTitles" localSheetId="5" hidden="1">'Other Metrics'!$B:$B</definedName>
    <definedName name="Z_168DC811_186D_42DC_8A72_3741D1063270_.wvu.Rows" localSheetId="5" hidden="1">'Other Metrics'!#REF!</definedName>
  </definedNames>
  <calcPr calcId="191029"/>
  <customWorkbookViews>
    <customWorkbookView name="rahul13232 - Personal View" guid="{168DC811-186D-42DC-8A72-3741D1063270}" mergeInterval="0" personalView="1" maximized="1" xWindow="1" yWindow="1" windowWidth="1276" windowHeight="803"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13" i="2" l="1"/>
  <c r="AC86" i="2"/>
  <c r="AC85" i="2"/>
  <c r="AC84" i="2"/>
  <c r="AC57" i="2"/>
  <c r="AC53" i="2"/>
  <c r="AN87" i="8" l="1"/>
  <c r="AN83" i="8"/>
  <c r="AN79" i="8"/>
  <c r="Z28" i="7" l="1"/>
  <c r="AB84" i="2" l="1"/>
  <c r="AD30" i="5" l="1"/>
  <c r="AD26" i="5"/>
  <c r="AD22" i="5"/>
  <c r="AB113" i="2" l="1"/>
  <c r="AB86" i="2"/>
  <c r="AB85" i="2"/>
  <c r="AM87" i="8" l="1"/>
  <c r="AM83" i="8"/>
  <c r="AM79" i="8"/>
  <c r="AC30" i="5" l="1"/>
  <c r="AC26" i="5"/>
  <c r="AC22" i="5"/>
  <c r="AA113" i="2" l="1"/>
  <c r="AA86" i="2"/>
  <c r="AA84" i="2"/>
  <c r="AA85" i="2"/>
  <c r="Y71" i="2" l="1"/>
  <c r="AA57" i="2" l="1"/>
  <c r="AA53" i="2"/>
  <c r="Y112" i="2" l="1"/>
  <c r="AL87" i="8" l="1"/>
  <c r="AL83" i="8"/>
  <c r="AL79" i="8"/>
  <c r="Y108" i="2" l="1"/>
  <c r="Y102" i="2"/>
  <c r="X86" i="2" l="1"/>
  <c r="W86" i="2"/>
  <c r="V86" i="2"/>
  <c r="U86" i="2"/>
  <c r="T86" i="2"/>
  <c r="S86" i="2"/>
  <c r="R86" i="2"/>
  <c r="Q86" i="2"/>
  <c r="P86" i="2"/>
  <c r="O86" i="2"/>
  <c r="N86" i="2"/>
  <c r="M86" i="2"/>
  <c r="L86" i="2"/>
  <c r="K86" i="2"/>
  <c r="F86" i="2"/>
  <c r="Y73" i="2"/>
  <c r="Y86" i="2" l="1"/>
  <c r="Z86" i="2"/>
  <c r="Y72" i="2" l="1"/>
  <c r="Z71" i="7" l="1"/>
  <c r="Z70" i="7"/>
  <c r="Z69" i="7"/>
  <c r="Z68" i="7"/>
  <c r="Z66" i="7"/>
  <c r="Z65" i="7"/>
  <c r="Z64" i="7"/>
  <c r="Z58" i="7"/>
  <c r="Z31" i="7"/>
  <c r="AB30" i="5" l="1"/>
  <c r="AB26" i="5"/>
  <c r="AB22" i="5"/>
  <c r="AA6" i="5" l="1"/>
  <c r="Y110" i="2" l="1"/>
  <c r="Y107" i="2"/>
  <c r="Y101" i="2"/>
  <c r="Y98" i="2"/>
  <c r="Z85" i="2"/>
  <c r="Y85" i="2"/>
  <c r="Z53" i="2" l="1"/>
  <c r="Y53" i="2"/>
  <c r="Y114" i="2" l="1"/>
  <c r="AN88" i="8" l="1"/>
  <c r="AN84" i="8"/>
  <c r="AN80" i="8"/>
  <c r="AJ79" i="8" l="1"/>
  <c r="AJ83" i="8"/>
  <c r="AJ87" i="8"/>
  <c r="Z22" i="5" l="1"/>
  <c r="AD23" i="5"/>
  <c r="Z26" i="5"/>
  <c r="AD27" i="5"/>
  <c r="Z30" i="5"/>
  <c r="AD31" i="5"/>
  <c r="AI40" i="8" l="1"/>
  <c r="AI20" i="8"/>
  <c r="AI27" i="8"/>
  <c r="AI65" i="8" l="1"/>
  <c r="AI34" i="8"/>
  <c r="AI17" i="8"/>
  <c r="AI67" i="8" l="1"/>
  <c r="AI21" i="8"/>
  <c r="AI86" i="8" l="1"/>
  <c r="AI82" i="8"/>
  <c r="AI78" i="8"/>
  <c r="U15" i="6" l="1"/>
  <c r="U26" i="6" s="1"/>
  <c r="U37" i="6" l="1"/>
  <c r="U46" i="6" s="1"/>
  <c r="X85" i="2" l="1"/>
  <c r="X84" i="2"/>
  <c r="Z12" i="7" l="1"/>
  <c r="AI79" i="8" l="1"/>
  <c r="AM80" i="8"/>
  <c r="AI83" i="8"/>
  <c r="AM84" i="8"/>
  <c r="AI87" i="8"/>
  <c r="AM88" i="8"/>
  <c r="AH88" i="8" l="1"/>
  <c r="AH84" i="8"/>
  <c r="AH80" i="8"/>
  <c r="AH27" i="8" l="1"/>
  <c r="AH40" i="8"/>
  <c r="AH65" i="8"/>
  <c r="AH34" i="8"/>
  <c r="AH20" i="8"/>
  <c r="AH17" i="8"/>
  <c r="AH67" i="8" l="1"/>
  <c r="AH21" i="8"/>
  <c r="AH82" i="8" l="1"/>
  <c r="AH78" i="8"/>
  <c r="AH86" i="8"/>
  <c r="AC31" i="5" l="1"/>
  <c r="AC27" i="5"/>
  <c r="AC23" i="5"/>
  <c r="Y26" i="5" l="1"/>
  <c r="Y22" i="5"/>
  <c r="Y30" i="5"/>
  <c r="W85" i="2" l="1"/>
  <c r="W84" i="2"/>
  <c r="V84" i="2"/>
  <c r="U84" i="8" l="1"/>
  <c r="T84" i="8"/>
  <c r="S84" i="8"/>
  <c r="R84" i="8"/>
  <c r="U80" i="8"/>
  <c r="T80" i="8"/>
  <c r="S80" i="8"/>
  <c r="R80" i="8"/>
  <c r="R83" i="8"/>
  <c r="R79" i="8"/>
  <c r="U87" i="8"/>
  <c r="T87" i="8"/>
  <c r="S87" i="8"/>
  <c r="U83" i="8"/>
  <c r="T83" i="8"/>
  <c r="S83" i="8"/>
  <c r="U79" i="8"/>
  <c r="T79" i="8"/>
  <c r="S79" i="8"/>
  <c r="AC88" i="8" l="1"/>
  <c r="AB88" i="8"/>
  <c r="Z88" i="8"/>
  <c r="Y88" i="8"/>
  <c r="X88" i="8"/>
  <c r="W88" i="8"/>
  <c r="AC87" i="8"/>
  <c r="AB87" i="8"/>
  <c r="Z87" i="8"/>
  <c r="Y87" i="8"/>
  <c r="X87" i="8"/>
  <c r="W87" i="8"/>
  <c r="AC84" i="8"/>
  <c r="AB84" i="8"/>
  <c r="Z84" i="8"/>
  <c r="Y84" i="8"/>
  <c r="X84" i="8"/>
  <c r="W84" i="8"/>
  <c r="AC83" i="8"/>
  <c r="AB83" i="8"/>
  <c r="Z83" i="8"/>
  <c r="Y83" i="8"/>
  <c r="X83" i="8"/>
  <c r="W83" i="8"/>
  <c r="Z80" i="8"/>
  <c r="Y80" i="8"/>
  <c r="X80" i="8"/>
  <c r="W80" i="8"/>
  <c r="Z79" i="8"/>
  <c r="Y79" i="8"/>
  <c r="X79" i="8"/>
  <c r="W79" i="8"/>
  <c r="AB79" i="8"/>
  <c r="AB80" i="8"/>
  <c r="AC80" i="8"/>
  <c r="AC79" i="8"/>
  <c r="AH83" i="8" l="1"/>
  <c r="AL84" i="8"/>
  <c r="AH79" i="8"/>
  <c r="AL80" i="8"/>
  <c r="AH87" i="8"/>
  <c r="AL88" i="8"/>
  <c r="AG84" i="8"/>
  <c r="AG88" i="8"/>
  <c r="AG80" i="8"/>
  <c r="X22" i="5" l="1"/>
  <c r="AB23" i="5"/>
  <c r="X26" i="5"/>
  <c r="AB27" i="5"/>
  <c r="X30" i="5"/>
  <c r="AB31" i="5"/>
  <c r="Y104" i="2" l="1"/>
  <c r="V85" i="2" l="1"/>
  <c r="AG65" i="8" l="1"/>
  <c r="AG40" i="8"/>
  <c r="AG34" i="8"/>
  <c r="AG17" i="8"/>
  <c r="AG27" i="8"/>
  <c r="AG20" i="8"/>
  <c r="AG67" i="8" l="1"/>
  <c r="AG86" i="8" s="1"/>
  <c r="Z61" i="7"/>
  <c r="AG21" i="8"/>
  <c r="AG78" i="8" l="1"/>
  <c r="AG82" i="8"/>
  <c r="AF20" i="8" l="1"/>
  <c r="AJ88" i="8" l="1"/>
  <c r="AJ84" i="8"/>
  <c r="AJ80" i="8"/>
  <c r="AE84" i="8" l="1"/>
  <c r="AG83" i="8"/>
  <c r="AG79" i="8"/>
  <c r="AE80" i="8"/>
  <c r="AE88" i="8"/>
  <c r="AG87" i="8"/>
  <c r="AF65" i="8"/>
  <c r="AF40" i="8"/>
  <c r="AF34" i="8"/>
  <c r="AF27" i="8"/>
  <c r="AF17" i="8"/>
  <c r="AF21" i="8" l="1"/>
  <c r="AF67" i="8"/>
  <c r="O46" i="7" l="1"/>
  <c r="J46" i="7" l="1"/>
  <c r="V6" i="5" l="1"/>
  <c r="AA31" i="5" l="1"/>
  <c r="AA27" i="5"/>
  <c r="AA23" i="5"/>
  <c r="W22" i="5" l="1"/>
  <c r="Z23" i="5"/>
  <c r="W26" i="5"/>
  <c r="Z27" i="5"/>
  <c r="W30" i="5"/>
  <c r="Z31" i="5"/>
  <c r="U96" i="2" l="1"/>
  <c r="U85" i="2"/>
  <c r="U71" i="2"/>
  <c r="U84" i="2" s="1"/>
  <c r="U57" i="2"/>
  <c r="U53" i="2"/>
  <c r="T98" i="2" l="1"/>
  <c r="T85" i="2"/>
  <c r="T84" i="2"/>
  <c r="T57" i="2"/>
  <c r="T53" i="2"/>
  <c r="AI62" i="8" l="1"/>
  <c r="AI31" i="8"/>
  <c r="AI24" i="8"/>
  <c r="AI80" i="8" l="1"/>
  <c r="AI84" i="8"/>
  <c r="AI88" i="8"/>
  <c r="AF77" i="8"/>
  <c r="AD80" i="8"/>
  <c r="AD79" i="8"/>
  <c r="AE79" i="8"/>
  <c r="AF81" i="8"/>
  <c r="AD83" i="8"/>
  <c r="AD84" i="8"/>
  <c r="AE83" i="8"/>
  <c r="AF85" i="8"/>
  <c r="AD87" i="8"/>
  <c r="AD88" i="8"/>
  <c r="AE87" i="8"/>
  <c r="N45" i="7"/>
  <c r="AF78" i="8" l="1"/>
  <c r="AF88" i="8"/>
  <c r="AK88" i="8"/>
  <c r="AF84" i="8"/>
  <c r="AK84" i="8"/>
  <c r="AF80" i="8"/>
  <c r="AK80" i="8"/>
  <c r="AF82" i="8"/>
  <c r="AF86" i="8"/>
  <c r="AD65" i="8" l="1"/>
  <c r="AD34" i="8"/>
  <c r="AD27" i="8"/>
  <c r="U26" i="5" l="1"/>
  <c r="Y27" i="5"/>
  <c r="U22" i="5"/>
  <c r="Y23" i="5"/>
  <c r="U30" i="5"/>
  <c r="Y31" i="5"/>
  <c r="P56" i="6" l="1"/>
  <c r="P58" i="6" s="1"/>
  <c r="P37" i="6"/>
  <c r="P46" i="6" s="1"/>
  <c r="P15" i="6"/>
  <c r="P26" i="6" s="1"/>
  <c r="P60" i="6" l="1"/>
  <c r="R85" i="2"/>
  <c r="R84" i="2"/>
  <c r="R57" i="2"/>
  <c r="R53" i="2"/>
  <c r="R74" i="2"/>
  <c r="R87" i="2" s="1"/>
  <c r="R100" i="2" s="1"/>
  <c r="R111" i="2" s="1"/>
  <c r="T107" i="2" l="1"/>
  <c r="T101" i="2"/>
  <c r="T110" i="2"/>
  <c r="R83" i="2"/>
  <c r="R82" i="2"/>
  <c r="R18" i="2"/>
  <c r="R21" i="2"/>
  <c r="R94" i="2"/>
  <c r="R64" i="2"/>
  <c r="R66" i="2" s="1"/>
  <c r="R24" i="2"/>
  <c r="R27" i="2"/>
  <c r="R81" i="2"/>
  <c r="R95" i="2"/>
  <c r="R29" i="2"/>
  <c r="R13" i="2"/>
  <c r="R14" i="2" l="1"/>
  <c r="R31" i="2"/>
  <c r="R33" i="2" l="1"/>
  <c r="R39" i="2"/>
  <c r="R43" i="2" s="1"/>
  <c r="R68" i="2"/>
  <c r="R52" i="2" l="1"/>
  <c r="R54" i="2" s="1"/>
  <c r="R46" i="2"/>
  <c r="R56" i="2"/>
  <c r="R58" i="2" s="1"/>
  <c r="R80" i="2"/>
  <c r="R88" i="2" s="1"/>
  <c r="R75" i="2"/>
  <c r="R89" i="2" l="1"/>
  <c r="R93" i="2"/>
  <c r="R115" i="2" s="1"/>
  <c r="R47" i="2"/>
  <c r="R76" i="2"/>
  <c r="R116" i="2" l="1"/>
  <c r="R118" i="2"/>
  <c r="AH62" i="8" l="1"/>
  <c r="AH37" i="8"/>
  <c r="AH31" i="8"/>
  <c r="AH24" i="8"/>
  <c r="AC27" i="8" l="1"/>
  <c r="AC34" i="8"/>
  <c r="AC20" i="8"/>
  <c r="AC65" i="8"/>
  <c r="AC40" i="8"/>
  <c r="AC17" i="8"/>
  <c r="AH18" i="8" l="1"/>
  <c r="AC21" i="8"/>
  <c r="AC67" i="8"/>
  <c r="AC86" i="8" l="1"/>
  <c r="AC78" i="8"/>
  <c r="AC82" i="8"/>
  <c r="X27" i="5" l="1"/>
  <c r="T26" i="5"/>
  <c r="X23" i="5"/>
  <c r="T22" i="5"/>
  <c r="X31" i="5"/>
  <c r="T30" i="5"/>
  <c r="S23" i="5"/>
  <c r="S27" i="5"/>
  <c r="S31" i="5"/>
  <c r="S85" i="2" l="1"/>
  <c r="S84" i="2"/>
  <c r="Q37" i="6" l="1"/>
  <c r="Q46" i="6" l="1"/>
  <c r="Q15" i="6" l="1"/>
  <c r="Q26" i="6" s="1"/>
  <c r="F85" i="7" l="1"/>
  <c r="E85" i="7"/>
  <c r="D85" i="7"/>
  <c r="C85" i="7"/>
  <c r="B85" i="7"/>
  <c r="F73" i="7"/>
  <c r="F76" i="7" s="1"/>
  <c r="E73" i="7"/>
  <c r="E76" i="7" s="1"/>
  <c r="D73" i="7"/>
  <c r="D76" i="7" s="1"/>
  <c r="C73" i="7"/>
  <c r="C76" i="7" s="1"/>
  <c r="B73" i="7"/>
  <c r="B76" i="7" s="1"/>
  <c r="F52" i="7"/>
  <c r="F55" i="7" s="1"/>
  <c r="E52" i="7"/>
  <c r="E55" i="7" s="1"/>
  <c r="D52" i="7"/>
  <c r="D55" i="7" s="1"/>
  <c r="C52" i="7"/>
  <c r="C55" i="7" s="1"/>
  <c r="B52" i="7"/>
  <c r="B55" i="7" s="1"/>
  <c r="F40" i="7"/>
  <c r="F42" i="7" s="1"/>
  <c r="E40" i="7"/>
  <c r="E42" i="7" s="1"/>
  <c r="D40" i="7"/>
  <c r="D42" i="7" s="1"/>
  <c r="C40" i="7"/>
  <c r="C42" i="7" s="1"/>
  <c r="B40" i="7"/>
  <c r="B42" i="7" s="1"/>
  <c r="D80" i="7" l="1"/>
  <c r="E80" i="7"/>
  <c r="F80" i="7"/>
  <c r="B80" i="7"/>
  <c r="C80" i="7"/>
  <c r="U86" i="8"/>
  <c r="T86" i="8"/>
  <c r="S86" i="8"/>
  <c r="R86" i="8"/>
  <c r="AA88" i="8"/>
  <c r="U82" i="8"/>
  <c r="T82" i="8"/>
  <c r="S82" i="8"/>
  <c r="R82" i="8"/>
  <c r="AA84" i="8"/>
  <c r="U78" i="8"/>
  <c r="T78" i="8"/>
  <c r="S78" i="8"/>
  <c r="R78" i="8"/>
  <c r="V77" i="8"/>
  <c r="AA80" i="8" l="1"/>
  <c r="V78" i="8"/>
  <c r="V82" i="8"/>
  <c r="V86" i="8"/>
  <c r="AA63" i="8" l="1"/>
  <c r="Z63" i="8"/>
  <c r="Y63" i="8"/>
  <c r="X63" i="8"/>
  <c r="W63" i="8"/>
  <c r="V63" i="8"/>
  <c r="U63" i="8"/>
  <c r="T63" i="8"/>
  <c r="S63" i="8"/>
  <c r="R63" i="8"/>
  <c r="V64" i="8"/>
  <c r="T64" i="8"/>
  <c r="S64" i="8"/>
  <c r="R64" i="8"/>
  <c r="V61" i="8"/>
  <c r="T61" i="8"/>
  <c r="S61" i="8"/>
  <c r="R61" i="8"/>
  <c r="AF37" i="8"/>
  <c r="AC37" i="8"/>
  <c r="AF31" i="8"/>
  <c r="AD31" i="8"/>
  <c r="AC31" i="8"/>
  <c r="AF24" i="8"/>
  <c r="AD24" i="8"/>
  <c r="AC24" i="8"/>
  <c r="V19" i="8"/>
  <c r="U19" i="8"/>
  <c r="T19" i="8"/>
  <c r="S19" i="8"/>
  <c r="R19" i="8"/>
  <c r="R100" i="8"/>
  <c r="S100" i="8"/>
  <c r="T100" i="8"/>
  <c r="U100" i="8"/>
  <c r="V100" i="8"/>
  <c r="U101" i="8"/>
  <c r="V99" i="8"/>
  <c r="U99" i="8"/>
  <c r="T99" i="8"/>
  <c r="S99" i="8"/>
  <c r="R99" i="8"/>
  <c r="U34" i="8" l="1"/>
  <c r="U27" i="8"/>
  <c r="R27" i="8"/>
  <c r="V27" i="8"/>
  <c r="R34" i="8"/>
  <c r="T27" i="8"/>
  <c r="S27" i="8"/>
  <c r="T34" i="8"/>
  <c r="S34" i="8" l="1"/>
  <c r="S20" i="8"/>
  <c r="V34" i="8" l="1"/>
  <c r="U20" i="8"/>
  <c r="U40" i="8"/>
  <c r="T20" i="8"/>
  <c r="T40" i="8"/>
  <c r="S40" i="8"/>
  <c r="R20" i="8"/>
  <c r="R40" i="8"/>
  <c r="V40" i="8"/>
  <c r="V20" i="8" l="1"/>
  <c r="S17" i="8"/>
  <c r="R17" i="8"/>
  <c r="R21" i="8" s="1"/>
  <c r="V17" i="8"/>
  <c r="U17" i="8"/>
  <c r="T17" i="8"/>
  <c r="T21" i="8" s="1"/>
  <c r="S21" i="8" l="1"/>
  <c r="S67" i="8"/>
  <c r="T67" i="8"/>
  <c r="R67" i="8"/>
  <c r="V67" i="8"/>
  <c r="V21" i="8"/>
  <c r="U21" i="8"/>
  <c r="AA19" i="8" l="1"/>
  <c r="Z19" i="8"/>
  <c r="Y19" i="8"/>
  <c r="X19" i="8"/>
  <c r="W19" i="8"/>
  <c r="X101" i="8" l="1"/>
  <c r="W101" i="8"/>
  <c r="X100" i="8"/>
  <c r="W100" i="8"/>
  <c r="X99" i="8"/>
  <c r="W99" i="8"/>
  <c r="X64" i="8" l="1"/>
  <c r="W64" i="8"/>
  <c r="X61" i="8"/>
  <c r="AC62" i="8" s="1"/>
  <c r="W61" i="8"/>
  <c r="N20" i="8" l="1"/>
  <c r="M20" i="8"/>
  <c r="N17" i="8"/>
  <c r="M17" i="8"/>
  <c r="Y17" i="8" l="1"/>
  <c r="Z17" i="8" l="1"/>
  <c r="W17" i="8"/>
  <c r="X17" i="8"/>
  <c r="AC18" i="8" s="1"/>
  <c r="W27" i="8"/>
  <c r="Y27" i="8"/>
  <c r="Z27" i="8"/>
  <c r="X27" i="8"/>
  <c r="W20" i="8" l="1"/>
  <c r="W67" i="8"/>
  <c r="Z20" i="8"/>
  <c r="X20" i="8"/>
  <c r="Y20" i="8"/>
  <c r="AA17" i="8"/>
  <c r="AF18" i="8" s="1"/>
  <c r="AA27" i="8"/>
  <c r="W86" i="8" l="1"/>
  <c r="W78" i="8"/>
  <c r="W82" i="8"/>
  <c r="AA20" i="8"/>
  <c r="X67" i="8"/>
  <c r="AA34" i="8"/>
  <c r="Z34" i="8"/>
  <c r="Y34" i="8"/>
  <c r="X34" i="8"/>
  <c r="AA40" i="8"/>
  <c r="Z40" i="8"/>
  <c r="Y40" i="8"/>
  <c r="X40" i="8"/>
  <c r="AG62" i="8"/>
  <c r="AG31" i="8" l="1"/>
  <c r="AG37" i="8"/>
  <c r="AE39" i="8"/>
  <c r="AG24" i="8"/>
  <c r="AE26" i="8"/>
  <c r="AE30" i="8"/>
  <c r="AE33" i="8"/>
  <c r="AE64" i="8"/>
  <c r="AE65" i="8" s="1"/>
  <c r="AE23" i="8"/>
  <c r="X86" i="8"/>
  <c r="X78" i="8"/>
  <c r="X82" i="8"/>
  <c r="AB20" i="8"/>
  <c r="AB17" i="8"/>
  <c r="Z21" i="8"/>
  <c r="AB40" i="8"/>
  <c r="AB31" i="8"/>
  <c r="AA21" i="8"/>
  <c r="Y21" i="8"/>
  <c r="W40" i="8"/>
  <c r="X21" i="8"/>
  <c r="W34" i="8"/>
  <c r="AB24" i="8"/>
  <c r="AB37" i="8"/>
  <c r="AB34" i="8"/>
  <c r="AB27" i="8"/>
  <c r="AB65" i="8"/>
  <c r="AB62" i="8"/>
  <c r="AG18" i="8" l="1"/>
  <c r="AE31" i="8"/>
  <c r="AB67" i="8"/>
  <c r="AB78" i="8" s="1"/>
  <c r="AE20" i="8"/>
  <c r="AE27" i="8"/>
  <c r="AE24" i="8"/>
  <c r="AE34" i="8"/>
  <c r="W21" i="8"/>
  <c r="AB82" i="8" l="1"/>
  <c r="AB86" i="8"/>
  <c r="AB18" i="8"/>
  <c r="AB21" i="8"/>
  <c r="W23" i="5" l="1"/>
  <c r="W27" i="5"/>
  <c r="W31" i="5"/>
  <c r="R23" i="5"/>
  <c r="S22" i="5"/>
  <c r="R27" i="5"/>
  <c r="S26" i="5"/>
  <c r="R31" i="5"/>
  <c r="S30" i="5"/>
  <c r="Q85" i="2" l="1"/>
  <c r="Q84" i="2"/>
  <c r="Q95" i="2" l="1"/>
  <c r="Q82" i="2"/>
  <c r="R9" i="2" l="1"/>
  <c r="Q64" i="2"/>
  <c r="Q66" i="2" s="1"/>
  <c r="Q74" i="2"/>
  <c r="Q27" i="2"/>
  <c r="Q21" i="2" l="1"/>
  <c r="Q13" i="2"/>
  <c r="Q87" i="2"/>
  <c r="Q100" i="2" s="1"/>
  <c r="Q111" i="2" s="1"/>
  <c r="Q81" i="2"/>
  <c r="Q24" i="2"/>
  <c r="Q29" i="2"/>
  <c r="Q18" i="2"/>
  <c r="Q31" i="2" l="1"/>
  <c r="R32" i="2" s="1"/>
  <c r="Q14" i="2"/>
  <c r="Q39" i="2" l="1"/>
  <c r="Q43" i="2" s="1"/>
  <c r="Q46" i="2" s="1"/>
  <c r="Q68" i="2"/>
  <c r="Q80" i="2" s="1"/>
  <c r="Q33" i="2"/>
  <c r="R48" i="2" l="1"/>
  <c r="Q93" i="2"/>
  <c r="Q47" i="2"/>
  <c r="Q94" i="2" l="1"/>
  <c r="Q83" i="2"/>
  <c r="Q88" i="2" s="1"/>
  <c r="Q75" i="2"/>
  <c r="R77" i="2" l="1"/>
  <c r="R90" i="2"/>
  <c r="Q76" i="2"/>
  <c r="Q89" i="2"/>
  <c r="O37" i="6" l="1"/>
  <c r="O46" i="6" l="1"/>
  <c r="O15" i="6" l="1"/>
  <c r="O26" i="6" s="1"/>
  <c r="Q10" i="5" l="1"/>
  <c r="Q28" i="7" l="1"/>
  <c r="Q25" i="7"/>
  <c r="Q23" i="7"/>
  <c r="Q19" i="7"/>
  <c r="Q17" i="7"/>
  <c r="Q6" i="5" l="1"/>
  <c r="AA64" i="8" l="1"/>
  <c r="AA61" i="8"/>
  <c r="AA67" i="8" l="1"/>
  <c r="AA78" i="8" s="1"/>
  <c r="AF62" i="8"/>
  <c r="Q17" i="8"/>
  <c r="Q20" i="8"/>
  <c r="Q65" i="8"/>
  <c r="AA65" i="8" s="1"/>
  <c r="Q46" i="8"/>
  <c r="Q27" i="8"/>
  <c r="Q58" i="8"/>
  <c r="AA82" i="8" l="1"/>
  <c r="AA86" i="8"/>
  <c r="O97" i="2"/>
  <c r="O72" i="2"/>
  <c r="O71" i="7"/>
  <c r="O70" i="7"/>
  <c r="O69" i="7"/>
  <c r="O68" i="7"/>
  <c r="O66" i="7"/>
  <c r="O65" i="7"/>
  <c r="O64" i="7"/>
  <c r="O61" i="7"/>
  <c r="O58" i="7"/>
  <c r="O47" i="7"/>
  <c r="O31" i="7"/>
  <c r="Q47" i="7" l="1"/>
  <c r="Q61" i="7"/>
  <c r="Q58" i="7"/>
  <c r="Q71" i="7"/>
  <c r="Q68" i="7"/>
  <c r="Q69" i="7"/>
  <c r="Q70" i="7"/>
  <c r="Q64" i="7"/>
  <c r="Q65" i="7"/>
  <c r="Q66" i="7"/>
  <c r="P106" i="2"/>
  <c r="P96" i="2"/>
  <c r="P85" i="2"/>
  <c r="P71" i="2"/>
  <c r="O85" i="2"/>
  <c r="O84" i="2"/>
  <c r="Q62" i="8"/>
  <c r="AA62" i="8" s="1"/>
  <c r="Q43" i="8"/>
  <c r="Q55" i="8"/>
  <c r="Q52" i="8"/>
  <c r="Q49" i="8"/>
  <c r="Q34" i="8"/>
  <c r="Q31" i="8"/>
  <c r="Q24" i="8"/>
  <c r="V31" i="5"/>
  <c r="V27" i="5"/>
  <c r="V23" i="5"/>
  <c r="Q8" i="5"/>
  <c r="R30" i="5" l="1"/>
  <c r="U31" i="5"/>
  <c r="R22" i="5"/>
  <c r="U23" i="5"/>
  <c r="R26" i="5"/>
  <c r="U27" i="5"/>
  <c r="P84" i="2"/>
  <c r="Q67" i="8"/>
  <c r="Q21" i="8"/>
  <c r="Q96" i="8" l="1"/>
  <c r="Q94" i="8"/>
  <c r="Q92" i="8"/>
  <c r="Q90" i="8"/>
  <c r="P31" i="5" l="1"/>
  <c r="P27" i="5"/>
  <c r="P23" i="5"/>
  <c r="O98" i="2" l="1"/>
  <c r="O107" i="2" l="1"/>
  <c r="T27" i="5" l="1"/>
  <c r="T23" i="5"/>
  <c r="T31" i="5"/>
  <c r="P22" i="5"/>
  <c r="P26" i="5"/>
  <c r="P30" i="5"/>
  <c r="Y100" i="8" l="1"/>
  <c r="Y101" i="8"/>
  <c r="Y99" i="8"/>
  <c r="P57" i="8"/>
  <c r="P54" i="8"/>
  <c r="P51" i="8"/>
  <c r="P48" i="8"/>
  <c r="P45" i="8"/>
  <c r="P42" i="8"/>
  <c r="P33" i="8"/>
  <c r="P30" i="8"/>
  <c r="P61" i="8" l="1"/>
  <c r="Z61" i="8" s="1"/>
  <c r="Y61" i="8"/>
  <c r="P64" i="8"/>
  <c r="Z64" i="8" s="1"/>
  <c r="Y64" i="8"/>
  <c r="P23" i="8"/>
  <c r="P17" i="8" s="1"/>
  <c r="O17" i="8"/>
  <c r="P26" i="8"/>
  <c r="P20" i="8" s="1"/>
  <c r="O20" i="8"/>
  <c r="P46" i="8"/>
  <c r="P58" i="8"/>
  <c r="P52" i="8"/>
  <c r="P34" i="8"/>
  <c r="R10" i="2"/>
  <c r="N85" i="2"/>
  <c r="N84" i="2"/>
  <c r="P67" i="8" l="1"/>
  <c r="P96" i="8" s="1"/>
  <c r="Z67" i="8"/>
  <c r="Z78" i="8" s="1"/>
  <c r="AE62" i="8"/>
  <c r="Y67" i="8"/>
  <c r="AD62" i="8"/>
  <c r="P65" i="8"/>
  <c r="Z65" i="8" s="1"/>
  <c r="P27" i="8"/>
  <c r="P21" i="8"/>
  <c r="Q27" i="7"/>
  <c r="M85" i="2"/>
  <c r="M84" i="2"/>
  <c r="M74" i="2"/>
  <c r="M57" i="2"/>
  <c r="M53" i="2"/>
  <c r="M27" i="2"/>
  <c r="M21" i="2"/>
  <c r="M18" i="2"/>
  <c r="M64" i="2"/>
  <c r="M66" i="2" s="1"/>
  <c r="Z86" i="8" l="1"/>
  <c r="Y86" i="8"/>
  <c r="Z82" i="8"/>
  <c r="Y82" i="8"/>
  <c r="Y78" i="8"/>
  <c r="M95" i="2"/>
  <c r="M83" i="2"/>
  <c r="M87" i="2"/>
  <c r="P94" i="8"/>
  <c r="P92" i="8"/>
  <c r="P90" i="8"/>
  <c r="M81" i="2"/>
  <c r="M82" i="2"/>
  <c r="M73" i="7"/>
  <c r="L15" i="6"/>
  <c r="L26" i="6" s="1"/>
  <c r="M52" i="7"/>
  <c r="M55" i="7" s="1"/>
  <c r="M40" i="7"/>
  <c r="M42" i="7" s="1"/>
  <c r="L56" i="6"/>
  <c r="L58" i="6" s="1"/>
  <c r="L37" i="6"/>
  <c r="L46" i="6" s="1"/>
  <c r="M24" i="2"/>
  <c r="M94" i="2"/>
  <c r="M10" i="2"/>
  <c r="M13" i="2"/>
  <c r="M29" i="2"/>
  <c r="M76" i="7" l="1"/>
  <c r="M80" i="7" s="1"/>
  <c r="L60" i="6"/>
  <c r="M31" i="2"/>
  <c r="M14" i="2"/>
  <c r="M68" i="2" l="1"/>
  <c r="M39" i="2"/>
  <c r="M33" i="2"/>
  <c r="M43" i="2" l="1"/>
  <c r="M56" i="2" s="1"/>
  <c r="M58" i="2" s="1"/>
  <c r="M80" i="2"/>
  <c r="M88" i="2" s="1"/>
  <c r="R91" i="2" s="1"/>
  <c r="M75" i="2"/>
  <c r="R78" i="2" s="1"/>
  <c r="M46" i="2" l="1"/>
  <c r="R49" i="2" s="1"/>
  <c r="M52" i="2"/>
  <c r="M54" i="2" s="1"/>
  <c r="M76" i="2"/>
  <c r="M89" i="2"/>
  <c r="M47" i="2" l="1"/>
  <c r="M93" i="2"/>
  <c r="M115" i="2" l="1"/>
  <c r="M118" i="2" s="1"/>
  <c r="R120" i="2" s="1"/>
  <c r="M116" i="2" l="1"/>
  <c r="O58" i="8"/>
  <c r="O55" i="8"/>
  <c r="O52" i="8"/>
  <c r="O43" i="8"/>
  <c r="O34" i="8"/>
  <c r="O31" i="8"/>
  <c r="O27" i="8"/>
  <c r="O24" i="8"/>
  <c r="O46" i="8" l="1"/>
  <c r="O49" i="8"/>
  <c r="O62" i="8"/>
  <c r="Y62" i="8" s="1"/>
  <c r="O65" i="8"/>
  <c r="Y65" i="8" s="1"/>
  <c r="O22" i="5"/>
  <c r="O31" i="5"/>
  <c r="O26" i="5"/>
  <c r="O67" i="8" l="1"/>
  <c r="O21" i="8"/>
  <c r="O27" i="5"/>
  <c r="O30" i="5"/>
  <c r="O23" i="5"/>
  <c r="O90" i="8" l="1"/>
  <c r="O96" i="8"/>
  <c r="O94" i="8"/>
  <c r="O92" i="8"/>
  <c r="L40" i="7"/>
  <c r="K40" i="7"/>
  <c r="I40" i="7"/>
  <c r="H17" i="2" l="1"/>
  <c r="H18" i="2" s="1"/>
  <c r="N62" i="8"/>
  <c r="X62" i="8" s="1"/>
  <c r="N55" i="8"/>
  <c r="N49" i="8"/>
  <c r="N43" i="8"/>
  <c r="N31" i="8"/>
  <c r="N30" i="5"/>
  <c r="N26" i="5"/>
  <c r="N22" i="5"/>
  <c r="N34" i="8"/>
  <c r="N31" i="5"/>
  <c r="N27" i="5"/>
  <c r="N23" i="5"/>
  <c r="L84" i="2"/>
  <c r="L85" i="2"/>
  <c r="K37" i="6"/>
  <c r="K46" i="6" s="1"/>
  <c r="M31" i="5"/>
  <c r="M27" i="5"/>
  <c r="M23" i="5"/>
  <c r="M58" i="8"/>
  <c r="M55" i="8"/>
  <c r="M46" i="8"/>
  <c r="M34" i="8"/>
  <c r="M27" i="8"/>
  <c r="M24" i="8"/>
  <c r="L73" i="7"/>
  <c r="L76" i="7" s="1"/>
  <c r="L52" i="7"/>
  <c r="L55" i="7" s="1"/>
  <c r="K15" i="6"/>
  <c r="K26" i="6" s="1"/>
  <c r="M67" i="8"/>
  <c r="M43" i="8"/>
  <c r="L42" i="7"/>
  <c r="M52" i="8"/>
  <c r="M49" i="8"/>
  <c r="M62" i="8"/>
  <c r="W62" i="8" s="1"/>
  <c r="M31" i="8"/>
  <c r="M65" i="8"/>
  <c r="W65" i="8" s="1"/>
  <c r="E36" i="2"/>
  <c r="E35" i="2"/>
  <c r="C37" i="6"/>
  <c r="C46" i="6" s="1"/>
  <c r="D37" i="6"/>
  <c r="D46" i="6" s="1"/>
  <c r="E37" i="6"/>
  <c r="E46" i="6" s="1"/>
  <c r="F37" i="6"/>
  <c r="F46" i="6" s="1"/>
  <c r="G37" i="6"/>
  <c r="G46" i="6" s="1"/>
  <c r="H37" i="6"/>
  <c r="H46" i="6" s="1"/>
  <c r="I37" i="6"/>
  <c r="I46" i="6" s="1"/>
  <c r="J112" i="2"/>
  <c r="J101" i="2"/>
  <c r="J13" i="7"/>
  <c r="J23" i="7"/>
  <c r="I29" i="2"/>
  <c r="H29" i="2"/>
  <c r="G29" i="2"/>
  <c r="F29" i="2"/>
  <c r="D29" i="2"/>
  <c r="C29" i="2"/>
  <c r="B29" i="2"/>
  <c r="J110" i="2"/>
  <c r="J43" i="8"/>
  <c r="K71" i="2"/>
  <c r="M30" i="5"/>
  <c r="M26" i="5"/>
  <c r="M22" i="5"/>
  <c r="E17" i="2"/>
  <c r="J57" i="2"/>
  <c r="J53" i="2"/>
  <c r="J71" i="7"/>
  <c r="J70" i="7"/>
  <c r="J69" i="7"/>
  <c r="J68" i="7"/>
  <c r="J66" i="7"/>
  <c r="J65" i="7"/>
  <c r="J64" i="7"/>
  <c r="J31" i="7"/>
  <c r="J28" i="7"/>
  <c r="J25" i="7"/>
  <c r="J19" i="7"/>
  <c r="J17" i="7"/>
  <c r="J84" i="2"/>
  <c r="L95" i="8"/>
  <c r="L93" i="8"/>
  <c r="L91" i="8"/>
  <c r="L89" i="8"/>
  <c r="L81" i="8"/>
  <c r="L77" i="8"/>
  <c r="L29" i="5"/>
  <c r="L25" i="5"/>
  <c r="K22" i="5"/>
  <c r="L8" i="5"/>
  <c r="L21" i="5"/>
  <c r="K26" i="5"/>
  <c r="K30" i="5"/>
  <c r="H20" i="7"/>
  <c r="G20" i="7"/>
  <c r="J30" i="5"/>
  <c r="J26" i="5"/>
  <c r="J22" i="5"/>
  <c r="I84" i="2"/>
  <c r="I31" i="5"/>
  <c r="I27" i="5"/>
  <c r="I23" i="5"/>
  <c r="I30" i="5"/>
  <c r="I26" i="5"/>
  <c r="I22" i="5"/>
  <c r="C25" i="5"/>
  <c r="H27" i="5" s="1"/>
  <c r="E23" i="6"/>
  <c r="D23" i="6"/>
  <c r="C23" i="6"/>
  <c r="F23" i="6"/>
  <c r="H98" i="2"/>
  <c r="H85" i="2"/>
  <c r="H84" i="2"/>
  <c r="E98" i="2"/>
  <c r="E107" i="2" s="1"/>
  <c r="E85" i="2"/>
  <c r="F98" i="2"/>
  <c r="F107" i="2" s="1"/>
  <c r="F85" i="2"/>
  <c r="G84" i="2"/>
  <c r="G96" i="2" s="1"/>
  <c r="G106" i="2" s="1"/>
  <c r="K106" i="2" s="1"/>
  <c r="D85" i="2"/>
  <c r="D98" i="2" s="1"/>
  <c r="D107" i="2" s="1"/>
  <c r="G53" i="2"/>
  <c r="G57" i="2"/>
  <c r="G95" i="2"/>
  <c r="G94" i="2"/>
  <c r="G64" i="2"/>
  <c r="G66" i="2" s="1"/>
  <c r="G81" i="2"/>
  <c r="C98" i="2"/>
  <c r="C107" i="2" s="1"/>
  <c r="C85" i="2"/>
  <c r="G98" i="2"/>
  <c r="G85" i="2"/>
  <c r="G21" i="2"/>
  <c r="G18" i="2"/>
  <c r="G24" i="2"/>
  <c r="G13" i="2"/>
  <c r="G83" i="2"/>
  <c r="G82" i="2"/>
  <c r="G57" i="8"/>
  <c r="E64" i="8"/>
  <c r="E65" i="8" s="1"/>
  <c r="E57" i="8"/>
  <c r="E58" i="8" s="1"/>
  <c r="E33" i="8"/>
  <c r="E34" i="8" s="1"/>
  <c r="G26" i="8"/>
  <c r="G33" i="8"/>
  <c r="G34" i="8" s="1"/>
  <c r="G45" i="8"/>
  <c r="G51" i="8"/>
  <c r="G52" i="8" s="1"/>
  <c r="E26" i="8"/>
  <c r="E45" i="8"/>
  <c r="E46" i="8" s="1"/>
  <c r="E51" i="8"/>
  <c r="E52" i="8" s="1"/>
  <c r="C57" i="8"/>
  <c r="C58" i="8" s="1"/>
  <c r="C51" i="8"/>
  <c r="C52" i="8" s="1"/>
  <c r="C45" i="8"/>
  <c r="C46" i="8" s="1"/>
  <c r="C33" i="8"/>
  <c r="C34" i="8" s="1"/>
  <c r="C26" i="8"/>
  <c r="C27" i="8" s="1"/>
  <c r="G64" i="8"/>
  <c r="G65" i="8" s="1"/>
  <c r="D64" i="8"/>
  <c r="D65" i="8" s="1"/>
  <c r="C64" i="8"/>
  <c r="C65" i="8" s="1"/>
  <c r="D20" i="8"/>
  <c r="G95" i="8"/>
  <c r="G93" i="8"/>
  <c r="G91" i="8"/>
  <c r="G89" i="8"/>
  <c r="G81" i="8"/>
  <c r="V84" i="8" s="1"/>
  <c r="G77" i="8"/>
  <c r="V80" i="8" s="1"/>
  <c r="F61" i="8"/>
  <c r="F54" i="8"/>
  <c r="F48" i="8"/>
  <c r="F42" i="8"/>
  <c r="F30" i="8"/>
  <c r="F23" i="8"/>
  <c r="E104" i="2"/>
  <c r="E103" i="2"/>
  <c r="E105" i="2"/>
  <c r="E97" i="2"/>
  <c r="E96" i="2"/>
  <c r="E70" i="2"/>
  <c r="E94" i="2" s="1"/>
  <c r="E69" i="2"/>
  <c r="E82" i="2" s="1"/>
  <c r="E44" i="2"/>
  <c r="E57" i="2" s="1"/>
  <c r="E42" i="2"/>
  <c r="G17" i="8"/>
  <c r="G67" i="8" s="1"/>
  <c r="E41" i="2"/>
  <c r="G10" i="2"/>
  <c r="E23" i="2"/>
  <c r="E8" i="2"/>
  <c r="E64" i="2" s="1"/>
  <c r="E66" i="2" s="1"/>
  <c r="E20" i="2"/>
  <c r="F95" i="2"/>
  <c r="F94" i="2"/>
  <c r="F83" i="2"/>
  <c r="F82" i="2"/>
  <c r="F81" i="2"/>
  <c r="F64" i="2"/>
  <c r="F66" i="2" s="1"/>
  <c r="F57" i="2"/>
  <c r="F53" i="2"/>
  <c r="F24" i="2"/>
  <c r="F21" i="2"/>
  <c r="F18" i="2"/>
  <c r="F13" i="2"/>
  <c r="H43" i="8"/>
  <c r="H49" i="8"/>
  <c r="H24" i="8"/>
  <c r="H55" i="8"/>
  <c r="H31" i="8"/>
  <c r="H62" i="8"/>
  <c r="R62" i="8" s="1"/>
  <c r="H20" i="8"/>
  <c r="H27" i="8"/>
  <c r="H58" i="8"/>
  <c r="H34" i="8"/>
  <c r="H65" i="8"/>
  <c r="R65" i="8" s="1"/>
  <c r="H46" i="8"/>
  <c r="H52" i="8"/>
  <c r="H17" i="8"/>
  <c r="G8" i="5"/>
  <c r="E17" i="8"/>
  <c r="E67" i="8" s="1"/>
  <c r="D58" i="8"/>
  <c r="D52" i="8"/>
  <c r="D46" i="8"/>
  <c r="D34" i="8"/>
  <c r="D27" i="8"/>
  <c r="D17" i="8"/>
  <c r="D67" i="8" s="1"/>
  <c r="S88" i="8" s="1"/>
  <c r="C17" i="8"/>
  <c r="D95" i="2"/>
  <c r="D94" i="2"/>
  <c r="D83" i="2"/>
  <c r="D82" i="2"/>
  <c r="D57" i="2"/>
  <c r="D53" i="2"/>
  <c r="C95" i="2"/>
  <c r="C94" i="2"/>
  <c r="C83" i="2"/>
  <c r="C82" i="2"/>
  <c r="C57" i="2"/>
  <c r="C53" i="2"/>
  <c r="B95" i="2"/>
  <c r="B94" i="2"/>
  <c r="B83" i="2"/>
  <c r="B82" i="2"/>
  <c r="B57" i="2"/>
  <c r="B53" i="2"/>
  <c r="D24" i="2"/>
  <c r="B81" i="2"/>
  <c r="C24" i="2"/>
  <c r="C18" i="2"/>
  <c r="C64" i="2"/>
  <c r="C66" i="2" s="1"/>
  <c r="D18" i="2"/>
  <c r="C81" i="2"/>
  <c r="D21" i="2"/>
  <c r="D13" i="2"/>
  <c r="D64" i="2"/>
  <c r="D66" i="2" s="1"/>
  <c r="D81" i="2"/>
  <c r="B18" i="2"/>
  <c r="B24" i="2"/>
  <c r="B64" i="2"/>
  <c r="B66" i="2" s="1"/>
  <c r="B21" i="2"/>
  <c r="C21" i="2"/>
  <c r="C13" i="2"/>
  <c r="B13" i="2"/>
  <c r="F29" i="5"/>
  <c r="K31" i="5" s="1"/>
  <c r="F25" i="5"/>
  <c r="K27" i="5" s="1"/>
  <c r="F21" i="5"/>
  <c r="K23" i="5" s="1"/>
  <c r="E29" i="5"/>
  <c r="J31" i="5" s="1"/>
  <c r="E25" i="5"/>
  <c r="J27" i="5" s="1"/>
  <c r="E21" i="5"/>
  <c r="J23" i="5" s="1"/>
  <c r="D15" i="6"/>
  <c r="D26" i="6" s="1"/>
  <c r="D56" i="6"/>
  <c r="D58" i="6" s="1"/>
  <c r="C29" i="5"/>
  <c r="H31" i="5" s="1"/>
  <c r="C21" i="5"/>
  <c r="H23" i="5" s="1"/>
  <c r="C56" i="6"/>
  <c r="C58" i="6" s="1"/>
  <c r="C15" i="6"/>
  <c r="C26" i="6" s="1"/>
  <c r="E15" i="6"/>
  <c r="E26" i="6" s="1"/>
  <c r="E56" i="6"/>
  <c r="E58" i="6" s="1"/>
  <c r="F15" i="6"/>
  <c r="F26" i="6" s="1"/>
  <c r="F56" i="6"/>
  <c r="F58" i="6" s="1"/>
  <c r="G15" i="6"/>
  <c r="G26" i="6" s="1"/>
  <c r="G56" i="6"/>
  <c r="G58" i="6" s="1"/>
  <c r="I55" i="8"/>
  <c r="I49" i="8"/>
  <c r="I43" i="8"/>
  <c r="I31" i="8"/>
  <c r="I62" i="8"/>
  <c r="S62" i="8" s="1"/>
  <c r="I24" i="8"/>
  <c r="I17" i="8"/>
  <c r="I52" i="8"/>
  <c r="I65" i="8"/>
  <c r="S65" i="8" s="1"/>
  <c r="I58" i="8"/>
  <c r="I27" i="8"/>
  <c r="I34" i="8"/>
  <c r="I46" i="8"/>
  <c r="I20" i="8"/>
  <c r="H15" i="6"/>
  <c r="H26" i="6" s="1"/>
  <c r="H56" i="6"/>
  <c r="H58" i="6" s="1"/>
  <c r="G73" i="7"/>
  <c r="G76" i="7" s="1"/>
  <c r="G52" i="7"/>
  <c r="G55" i="7" s="1"/>
  <c r="H73" i="7"/>
  <c r="H76" i="7" s="1"/>
  <c r="H57" i="2"/>
  <c r="H53" i="2"/>
  <c r="H95" i="2"/>
  <c r="H82" i="2"/>
  <c r="H83" i="2"/>
  <c r="H94" i="2"/>
  <c r="H81" i="2"/>
  <c r="H24" i="2"/>
  <c r="H21" i="2"/>
  <c r="H64" i="2"/>
  <c r="H66" i="2" s="1"/>
  <c r="H9" i="2"/>
  <c r="H13" i="2"/>
  <c r="H10" i="2"/>
  <c r="H52" i="7"/>
  <c r="H55" i="7" s="1"/>
  <c r="J49" i="8"/>
  <c r="J55" i="8"/>
  <c r="J31" i="8"/>
  <c r="J62" i="8"/>
  <c r="T62" i="8" s="1"/>
  <c r="J24" i="8"/>
  <c r="J17" i="8"/>
  <c r="J65" i="8"/>
  <c r="T65" i="8" s="1"/>
  <c r="J52" i="8"/>
  <c r="J27" i="8"/>
  <c r="J34" i="8"/>
  <c r="J58" i="8"/>
  <c r="J20" i="8"/>
  <c r="J46" i="8"/>
  <c r="I53" i="2"/>
  <c r="I57" i="2"/>
  <c r="I15" i="6"/>
  <c r="I26" i="6" s="1"/>
  <c r="I73" i="7"/>
  <c r="I76" i="7" s="1"/>
  <c r="I21" i="2"/>
  <c r="I24" i="2"/>
  <c r="I10" i="2"/>
  <c r="I64" i="2"/>
  <c r="I66" i="2" s="1"/>
  <c r="I9" i="2"/>
  <c r="I13" i="2"/>
  <c r="I18" i="2"/>
  <c r="I95" i="2"/>
  <c r="I82" i="2"/>
  <c r="I81" i="2"/>
  <c r="I94" i="2"/>
  <c r="I83" i="2"/>
  <c r="I52" i="7"/>
  <c r="I55" i="7" s="1"/>
  <c r="I56" i="6"/>
  <c r="I58" i="6" s="1"/>
  <c r="I42" i="7"/>
  <c r="J58" i="7"/>
  <c r="L31" i="8"/>
  <c r="K30" i="8"/>
  <c r="L55" i="8"/>
  <c r="K54" i="8"/>
  <c r="P55" i="8" s="1"/>
  <c r="L24" i="8"/>
  <c r="K23" i="8"/>
  <c r="L17" i="8"/>
  <c r="L67" i="8" s="1"/>
  <c r="K48" i="8"/>
  <c r="P49" i="8" s="1"/>
  <c r="L49" i="8"/>
  <c r="L43" i="8"/>
  <c r="K42" i="8"/>
  <c r="P43" i="8" s="1"/>
  <c r="K61" i="8"/>
  <c r="U61" i="8" s="1"/>
  <c r="U67" i="8" s="1"/>
  <c r="L62" i="8"/>
  <c r="V62" i="8" s="1"/>
  <c r="K64" i="8"/>
  <c r="U64" i="8" s="1"/>
  <c r="L65" i="8"/>
  <c r="V65" i="8" s="1"/>
  <c r="L58" i="8"/>
  <c r="K57" i="8"/>
  <c r="K51" i="8"/>
  <c r="L52" i="8"/>
  <c r="L46" i="8"/>
  <c r="K45" i="8"/>
  <c r="K33" i="8"/>
  <c r="L34" i="8"/>
  <c r="L20" i="8"/>
  <c r="K26" i="8"/>
  <c r="L27" i="8"/>
  <c r="J41" i="2"/>
  <c r="J35" i="2"/>
  <c r="J56" i="6"/>
  <c r="J20" i="2"/>
  <c r="K21" i="2"/>
  <c r="K18" i="2"/>
  <c r="K64" i="2"/>
  <c r="K10" i="2"/>
  <c r="J8" i="2"/>
  <c r="J9" i="2" s="1"/>
  <c r="J12" i="2"/>
  <c r="K13" i="2"/>
  <c r="J70" i="2"/>
  <c r="J94" i="2" s="1"/>
  <c r="K94" i="2"/>
  <c r="K83" i="2"/>
  <c r="J37" i="6"/>
  <c r="J15" i="6"/>
  <c r="J26" i="6" s="1"/>
  <c r="J26" i="2"/>
  <c r="K27" i="2"/>
  <c r="K95" i="2"/>
  <c r="J69" i="2"/>
  <c r="J95" i="2" s="1"/>
  <c r="K82" i="2"/>
  <c r="J42" i="2"/>
  <c r="J36" i="2"/>
  <c r="J23" i="2"/>
  <c r="K24" i="2"/>
  <c r="K81" i="2"/>
  <c r="K29" i="2"/>
  <c r="J8" i="7"/>
  <c r="J78" i="7"/>
  <c r="J72" i="7"/>
  <c r="J62" i="7"/>
  <c r="J61" i="7"/>
  <c r="J63" i="7"/>
  <c r="J51" i="7"/>
  <c r="J50" i="7"/>
  <c r="J47" i="7"/>
  <c r="J16" i="7"/>
  <c r="J26" i="7"/>
  <c r="J22" i="7"/>
  <c r="J21" i="7"/>
  <c r="J14" i="7"/>
  <c r="J11" i="7"/>
  <c r="K53" i="2"/>
  <c r="K57" i="2"/>
  <c r="J24" i="7"/>
  <c r="J59" i="7"/>
  <c r="J60" i="7"/>
  <c r="J34" i="7"/>
  <c r="J45" i="7"/>
  <c r="J67" i="7"/>
  <c r="K73" i="7"/>
  <c r="J38" i="7"/>
  <c r="J36" i="7"/>
  <c r="J37" i="7"/>
  <c r="J35" i="7"/>
  <c r="J33" i="7"/>
  <c r="J32" i="7"/>
  <c r="K42" i="7"/>
  <c r="J48" i="7"/>
  <c r="K52" i="7"/>
  <c r="K56" i="6"/>
  <c r="K58" i="6" s="1"/>
  <c r="J17" i="2" l="1"/>
  <c r="J18" i="2" s="1"/>
  <c r="K34" i="8"/>
  <c r="J99" i="2"/>
  <c r="K87" i="2"/>
  <c r="J109" i="2"/>
  <c r="K66" i="2"/>
  <c r="J111" i="2"/>
  <c r="J20" i="7"/>
  <c r="J40" i="7" s="1"/>
  <c r="J42" i="7" s="1"/>
  <c r="H22" i="5"/>
  <c r="V88" i="8"/>
  <c r="G21" i="5"/>
  <c r="L23" i="5" s="1"/>
  <c r="Q23" i="5"/>
  <c r="Q31" i="5"/>
  <c r="Q27" i="5"/>
  <c r="K84" i="2"/>
  <c r="L94" i="2"/>
  <c r="K55" i="7"/>
  <c r="L95" i="2"/>
  <c r="K76" i="7"/>
  <c r="J46" i="6"/>
  <c r="J58" i="6"/>
  <c r="J97" i="2"/>
  <c r="H60" i="6"/>
  <c r="D60" i="6"/>
  <c r="E96" i="8"/>
  <c r="T88" i="8"/>
  <c r="C60" i="6"/>
  <c r="F60" i="6"/>
  <c r="G60" i="6"/>
  <c r="E60" i="6"/>
  <c r="K60" i="6"/>
  <c r="J73" i="7"/>
  <c r="J76" i="7" s="1"/>
  <c r="J52" i="7"/>
  <c r="J55" i="7" s="1"/>
  <c r="G40" i="7"/>
  <c r="G42" i="7" s="1"/>
  <c r="G80" i="7" s="1"/>
  <c r="H40" i="7"/>
  <c r="H42" i="7" s="1"/>
  <c r="H80" i="7" s="1"/>
  <c r="G25" i="5"/>
  <c r="L27" i="5" s="1"/>
  <c r="H26" i="5"/>
  <c r="H30" i="5"/>
  <c r="G29" i="5"/>
  <c r="L31" i="5" s="1"/>
  <c r="I60" i="6"/>
  <c r="J104" i="2"/>
  <c r="E53" i="2"/>
  <c r="J24" i="2"/>
  <c r="J13" i="2"/>
  <c r="E81" i="2"/>
  <c r="E95" i="2"/>
  <c r="J27" i="2"/>
  <c r="J21" i="2"/>
  <c r="E24" i="2"/>
  <c r="G31" i="2"/>
  <c r="G39" i="2" s="1"/>
  <c r="G43" i="2" s="1"/>
  <c r="G14" i="2"/>
  <c r="I14" i="2"/>
  <c r="H21" i="8"/>
  <c r="L21" i="8"/>
  <c r="K62" i="8"/>
  <c r="U62" i="8" s="1"/>
  <c r="F45" i="8"/>
  <c r="F46" i="8" s="1"/>
  <c r="D21" i="8"/>
  <c r="G46" i="8"/>
  <c r="E90" i="8"/>
  <c r="K52" i="8"/>
  <c r="K58" i="8"/>
  <c r="E78" i="8"/>
  <c r="I21" i="8"/>
  <c r="F57" i="8"/>
  <c r="F58" i="8" s="1"/>
  <c r="F51" i="8"/>
  <c r="F52" i="8" s="1"/>
  <c r="K55" i="8"/>
  <c r="E20" i="8"/>
  <c r="E21" i="8" s="1"/>
  <c r="F26" i="8"/>
  <c r="F27" i="8" s="1"/>
  <c r="K20" i="8"/>
  <c r="G58" i="8"/>
  <c r="G20" i="8"/>
  <c r="K46" i="8"/>
  <c r="P24" i="8"/>
  <c r="K65" i="8"/>
  <c r="U65" i="8" s="1"/>
  <c r="K43" i="8"/>
  <c r="J21" i="8"/>
  <c r="E92" i="8"/>
  <c r="G27" i="8"/>
  <c r="F64" i="8"/>
  <c r="F65" i="8" s="1"/>
  <c r="D96" i="8"/>
  <c r="D78" i="8"/>
  <c r="D94" i="8"/>
  <c r="P62" i="8"/>
  <c r="Z62" i="8" s="1"/>
  <c r="Q18" i="8"/>
  <c r="F17" i="8"/>
  <c r="F33" i="8"/>
  <c r="F34" i="8" s="1"/>
  <c r="O18" i="8"/>
  <c r="I18" i="8"/>
  <c r="C20" i="8"/>
  <c r="C21" i="8" s="1"/>
  <c r="K27" i="8"/>
  <c r="L18" i="8"/>
  <c r="K49" i="8"/>
  <c r="J67" i="8"/>
  <c r="E94" i="8"/>
  <c r="L96" i="8"/>
  <c r="P31" i="8"/>
  <c r="J18" i="8"/>
  <c r="E82" i="8"/>
  <c r="H18" i="8"/>
  <c r="E27" i="8"/>
  <c r="H67" i="8"/>
  <c r="G90" i="8"/>
  <c r="G96" i="8"/>
  <c r="G94" i="8"/>
  <c r="G78" i="8"/>
  <c r="G82" i="8"/>
  <c r="G92" i="8"/>
  <c r="D90" i="8"/>
  <c r="L90" i="8"/>
  <c r="D92" i="8"/>
  <c r="C67" i="8"/>
  <c r="R88" i="8" s="1"/>
  <c r="K17" i="8"/>
  <c r="L92" i="8"/>
  <c r="I67" i="8"/>
  <c r="K24" i="8"/>
  <c r="L94" i="8"/>
  <c r="K31" i="8"/>
  <c r="D82" i="8"/>
  <c r="L9" i="2"/>
  <c r="Q10" i="2"/>
  <c r="J103" i="2"/>
  <c r="J10" i="2"/>
  <c r="H14" i="2"/>
  <c r="J82" i="2"/>
  <c r="C31" i="2"/>
  <c r="C68" i="2" s="1"/>
  <c r="G9" i="2"/>
  <c r="J74" i="2"/>
  <c r="J87" i="2" s="1"/>
  <c r="J100" i="2" s="1"/>
  <c r="J64" i="2"/>
  <c r="J66" i="2" s="1"/>
  <c r="I31" i="2"/>
  <c r="I33" i="2" s="1"/>
  <c r="J107" i="2"/>
  <c r="H31" i="2"/>
  <c r="E83" i="2"/>
  <c r="E21" i="2"/>
  <c r="E13" i="2"/>
  <c r="E29" i="2"/>
  <c r="J81" i="2"/>
  <c r="J83" i="2"/>
  <c r="E18" i="2"/>
  <c r="C14" i="2"/>
  <c r="D14" i="2"/>
  <c r="D31" i="2"/>
  <c r="B31" i="2"/>
  <c r="F14" i="2"/>
  <c r="F31" i="2"/>
  <c r="B14" i="2"/>
  <c r="K96" i="2"/>
  <c r="L74" i="2"/>
  <c r="J72" i="2"/>
  <c r="J85" i="2" s="1"/>
  <c r="K85" i="2"/>
  <c r="I85" i="2"/>
  <c r="I98" i="2"/>
  <c r="K31" i="2"/>
  <c r="K14" i="2"/>
  <c r="L18" i="2"/>
  <c r="L21" i="2"/>
  <c r="L24" i="2"/>
  <c r="L13" i="2"/>
  <c r="M9" i="2"/>
  <c r="I80" i="7"/>
  <c r="L27" i="2"/>
  <c r="L80" i="7"/>
  <c r="L64" i="2"/>
  <c r="L81" i="2"/>
  <c r="L29" i="2"/>
  <c r="L83" i="2"/>
  <c r="L10" i="2"/>
  <c r="L82" i="2"/>
  <c r="N58" i="8"/>
  <c r="N65" i="8"/>
  <c r="X65" i="8" s="1"/>
  <c r="M90" i="8"/>
  <c r="M92" i="8"/>
  <c r="N52" i="8"/>
  <c r="N27" i="8"/>
  <c r="M18" i="8"/>
  <c r="M21" i="8"/>
  <c r="N46" i="8"/>
  <c r="N18" i="8"/>
  <c r="N67" i="8"/>
  <c r="M94" i="8"/>
  <c r="N24" i="8"/>
  <c r="M96" i="8"/>
  <c r="J29" i="2" l="1"/>
  <c r="K100" i="2"/>
  <c r="J60" i="6"/>
  <c r="K80" i="7"/>
  <c r="L87" i="2"/>
  <c r="L66" i="2"/>
  <c r="J80" i="7"/>
  <c r="G68" i="2"/>
  <c r="G80" i="2" s="1"/>
  <c r="G88" i="2" s="1"/>
  <c r="J31" i="2"/>
  <c r="J33" i="2" s="1"/>
  <c r="C39" i="2"/>
  <c r="C43" i="2" s="1"/>
  <c r="C46" i="2" s="1"/>
  <c r="J14" i="2"/>
  <c r="G21" i="8"/>
  <c r="H96" i="8"/>
  <c r="J94" i="8"/>
  <c r="J96" i="8"/>
  <c r="J90" i="8"/>
  <c r="J92" i="8"/>
  <c r="H90" i="8"/>
  <c r="F20" i="8"/>
  <c r="F21" i="8" s="1"/>
  <c r="H94" i="8"/>
  <c r="H92" i="8"/>
  <c r="F67" i="8"/>
  <c r="I94" i="8"/>
  <c r="I96" i="8"/>
  <c r="I90" i="8"/>
  <c r="I92" i="8"/>
  <c r="C96" i="8"/>
  <c r="C82" i="8"/>
  <c r="C94" i="8"/>
  <c r="C78" i="8"/>
  <c r="C92" i="8"/>
  <c r="C90" i="8"/>
  <c r="P18" i="8"/>
  <c r="K18" i="8"/>
  <c r="K67" i="8"/>
  <c r="K21" i="8"/>
  <c r="I39" i="2"/>
  <c r="I43" i="2" s="1"/>
  <c r="I46" i="2" s="1"/>
  <c r="I68" i="2"/>
  <c r="I80" i="2" s="1"/>
  <c r="I88" i="2" s="1"/>
  <c r="H33" i="2"/>
  <c r="H39" i="2"/>
  <c r="H43" i="2" s="1"/>
  <c r="H68" i="2"/>
  <c r="H32" i="2"/>
  <c r="E31" i="2"/>
  <c r="E14" i="2"/>
  <c r="I32" i="2"/>
  <c r="C75" i="2"/>
  <c r="C80" i="2"/>
  <c r="C88" i="2" s="1"/>
  <c r="B68" i="2"/>
  <c r="B39" i="2"/>
  <c r="B43" i="2" s="1"/>
  <c r="G56" i="2"/>
  <c r="G58" i="2" s="1"/>
  <c r="G46" i="2"/>
  <c r="G52" i="2"/>
  <c r="G54" i="2" s="1"/>
  <c r="D68" i="2"/>
  <c r="D39" i="2"/>
  <c r="D43" i="2" s="1"/>
  <c r="F68" i="2"/>
  <c r="F39" i="2"/>
  <c r="F43" i="2" s="1"/>
  <c r="G75" i="2"/>
  <c r="J98" i="2"/>
  <c r="L14" i="2"/>
  <c r="L31" i="2"/>
  <c r="K33" i="2"/>
  <c r="K68" i="2"/>
  <c r="K32" i="2"/>
  <c r="K39" i="2"/>
  <c r="N92" i="8"/>
  <c r="N90" i="8"/>
  <c r="N96" i="8"/>
  <c r="N94" i="8"/>
  <c r="N21" i="8"/>
  <c r="K43" i="2" l="1"/>
  <c r="K56" i="2" s="1"/>
  <c r="J32" i="2"/>
  <c r="L100" i="2"/>
  <c r="J68" i="2"/>
  <c r="J80" i="2" s="1"/>
  <c r="J88" i="2" s="1"/>
  <c r="J90" i="2" s="1"/>
  <c r="J39" i="2"/>
  <c r="J43" i="2" s="1"/>
  <c r="J52" i="2" s="1"/>
  <c r="J54" i="2" s="1"/>
  <c r="R87" i="8"/>
  <c r="U88" i="8"/>
  <c r="C56" i="2"/>
  <c r="C58" i="2" s="1"/>
  <c r="C52" i="2"/>
  <c r="C54" i="2" s="1"/>
  <c r="I75" i="2"/>
  <c r="I76" i="2" s="1"/>
  <c r="I52" i="2"/>
  <c r="I54" i="2" s="1"/>
  <c r="I56" i="2"/>
  <c r="I58" i="2" s="1"/>
  <c r="F94" i="8"/>
  <c r="F96" i="8"/>
  <c r="F78" i="8"/>
  <c r="F82" i="8"/>
  <c r="F92" i="8"/>
  <c r="F90" i="8"/>
  <c r="K94" i="8"/>
  <c r="K96" i="8"/>
  <c r="K90" i="8"/>
  <c r="K92" i="8"/>
  <c r="E39" i="2"/>
  <c r="G32" i="2"/>
  <c r="E68" i="2"/>
  <c r="H56" i="2"/>
  <c r="H58" i="2" s="1"/>
  <c r="H46" i="2"/>
  <c r="I48" i="2" s="1"/>
  <c r="H52" i="2"/>
  <c r="H54" i="2" s="1"/>
  <c r="H75" i="2"/>
  <c r="H77" i="2" s="1"/>
  <c r="H80" i="2"/>
  <c r="H88" i="2" s="1"/>
  <c r="H91" i="2" s="1"/>
  <c r="D75" i="2"/>
  <c r="D80" i="2"/>
  <c r="D88" i="2" s="1"/>
  <c r="G76" i="2"/>
  <c r="F75" i="2"/>
  <c r="F80" i="2"/>
  <c r="F88" i="2" s="1"/>
  <c r="I93" i="2"/>
  <c r="I115" i="2" s="1"/>
  <c r="I47" i="2"/>
  <c r="G89" i="2"/>
  <c r="D46" i="2"/>
  <c r="I49" i="2" s="1"/>
  <c r="D52" i="2"/>
  <c r="D54" i="2" s="1"/>
  <c r="D56" i="2"/>
  <c r="D58" i="2" s="1"/>
  <c r="C47" i="2"/>
  <c r="C93" i="2"/>
  <c r="C115" i="2" s="1"/>
  <c r="B80" i="2"/>
  <c r="B88" i="2" s="1"/>
  <c r="B75" i="2"/>
  <c r="G78" i="2" s="1"/>
  <c r="G47" i="2"/>
  <c r="G93" i="2"/>
  <c r="G115" i="2" s="1"/>
  <c r="B56" i="2"/>
  <c r="B58" i="2" s="1"/>
  <c r="B52" i="2"/>
  <c r="B54" i="2" s="1"/>
  <c r="B46" i="2"/>
  <c r="I89" i="2"/>
  <c r="F56" i="2"/>
  <c r="F58" i="2" s="1"/>
  <c r="E43" i="2"/>
  <c r="F46" i="2"/>
  <c r="F52" i="2"/>
  <c r="F54" i="2" s="1"/>
  <c r="M32" i="2"/>
  <c r="L39" i="2"/>
  <c r="L68" i="2"/>
  <c r="L33" i="2"/>
  <c r="L32" i="2"/>
  <c r="K75" i="2"/>
  <c r="K80" i="2"/>
  <c r="K81" i="7"/>
  <c r="G81" i="7"/>
  <c r="G83" i="7" s="1"/>
  <c r="G85" i="7" s="1"/>
  <c r="K52" i="2" l="1"/>
  <c r="K46" i="2"/>
  <c r="K93" i="2" s="1"/>
  <c r="J75" i="2"/>
  <c r="J76" i="2" s="1"/>
  <c r="K58" i="2"/>
  <c r="K54" i="2"/>
  <c r="K88" i="2"/>
  <c r="K83" i="7"/>
  <c r="K85" i="7" s="1"/>
  <c r="J56" i="2"/>
  <c r="J58" i="2" s="1"/>
  <c r="J46" i="2"/>
  <c r="J47" i="2" s="1"/>
  <c r="L111" i="2"/>
  <c r="L80" i="2"/>
  <c r="J89" i="2"/>
  <c r="H48" i="2"/>
  <c r="I78" i="2"/>
  <c r="J77" i="2"/>
  <c r="H78" i="2"/>
  <c r="E75" i="2"/>
  <c r="E80" i="2"/>
  <c r="E88" i="2" s="1"/>
  <c r="M91" i="2"/>
  <c r="H90" i="2"/>
  <c r="H89" i="2"/>
  <c r="G49" i="2"/>
  <c r="H76" i="2"/>
  <c r="M78" i="2"/>
  <c r="M49" i="2"/>
  <c r="H49" i="2"/>
  <c r="H93" i="2"/>
  <c r="H115" i="2" s="1"/>
  <c r="H47" i="2"/>
  <c r="I77" i="2"/>
  <c r="I90" i="2"/>
  <c r="I118" i="2"/>
  <c r="I116" i="2"/>
  <c r="E46" i="2"/>
  <c r="J49" i="2" s="1"/>
  <c r="E52" i="2"/>
  <c r="E54" i="2" s="1"/>
  <c r="E56" i="2"/>
  <c r="E58" i="2" s="1"/>
  <c r="F93" i="2"/>
  <c r="F115" i="2" s="1"/>
  <c r="F47" i="2"/>
  <c r="D93" i="2"/>
  <c r="D115" i="2" s="1"/>
  <c r="D47" i="2"/>
  <c r="B93" i="2"/>
  <c r="B115" i="2" s="1"/>
  <c r="B47" i="2"/>
  <c r="G118" i="2"/>
  <c r="G116" i="2"/>
  <c r="C118" i="2"/>
  <c r="G91" i="2"/>
  <c r="I91" i="2"/>
  <c r="L43" i="2"/>
  <c r="L75" i="2"/>
  <c r="K76" i="2"/>
  <c r="K78" i="2"/>
  <c r="H81" i="7"/>
  <c r="H83" i="7" s="1"/>
  <c r="H85" i="7" s="1"/>
  <c r="K49" i="2" l="1"/>
  <c r="K47" i="2"/>
  <c r="K91" i="2"/>
  <c r="K115" i="2"/>
  <c r="K116" i="2" s="1"/>
  <c r="K89" i="2"/>
  <c r="J93" i="2"/>
  <c r="J115" i="2" s="1"/>
  <c r="J118" i="2" s="1"/>
  <c r="J48" i="2"/>
  <c r="L46" i="2"/>
  <c r="L88" i="2"/>
  <c r="M77" i="2"/>
  <c r="Q78" i="2"/>
  <c r="L78" i="2"/>
  <c r="L77" i="2"/>
  <c r="G90" i="2"/>
  <c r="J91" i="2"/>
  <c r="H118" i="2"/>
  <c r="I119" i="2" s="1"/>
  <c r="H116" i="2"/>
  <c r="J78" i="2"/>
  <c r="G77" i="2"/>
  <c r="B118" i="2"/>
  <c r="D118" i="2"/>
  <c r="F118" i="2"/>
  <c r="E93" i="2"/>
  <c r="E115" i="2" s="1"/>
  <c r="E47" i="2"/>
  <c r="G48" i="2"/>
  <c r="L76" i="2"/>
  <c r="I81" i="7"/>
  <c r="I83" i="7" s="1"/>
  <c r="I85" i="7" s="1"/>
  <c r="K118" i="2" l="1"/>
  <c r="K120" i="2" s="1"/>
  <c r="L93" i="2"/>
  <c r="L115" i="2" s="1"/>
  <c r="J116" i="2"/>
  <c r="L49" i="2"/>
  <c r="L48" i="2"/>
  <c r="L47" i="2"/>
  <c r="M48" i="2"/>
  <c r="Q49" i="2"/>
  <c r="M90" i="2"/>
  <c r="L89" i="2"/>
  <c r="Q91" i="2"/>
  <c r="L91" i="2"/>
  <c r="L90" i="2"/>
  <c r="M120" i="2"/>
  <c r="H119" i="2"/>
  <c r="H120" i="2"/>
  <c r="G120" i="2"/>
  <c r="E118" i="2"/>
  <c r="J119" i="2"/>
  <c r="I120" i="2"/>
  <c r="J81" i="7"/>
  <c r="J83" i="7" s="1"/>
  <c r="P81" i="7" s="1"/>
  <c r="L116" i="2" l="1"/>
  <c r="G119" i="2"/>
  <c r="J120" i="2"/>
  <c r="J85" i="7"/>
  <c r="L81" i="7"/>
  <c r="L83" i="7" l="1"/>
  <c r="L85" i="7" l="1"/>
  <c r="M81" i="7"/>
  <c r="M83" i="7" l="1"/>
  <c r="N81" i="7" l="1"/>
  <c r="M85" i="7"/>
  <c r="M37" i="6"/>
  <c r="M46" i="6" l="1"/>
  <c r="M15" i="6" l="1"/>
  <c r="M26" i="6" s="1"/>
  <c r="N95" i="2" l="1"/>
  <c r="N82" i="2"/>
  <c r="N21" i="2" l="1"/>
  <c r="N18" i="2"/>
  <c r="N29" i="2"/>
  <c r="N74" i="2"/>
  <c r="N27" i="2"/>
  <c r="N81" i="2"/>
  <c r="N24" i="2"/>
  <c r="N10" i="2"/>
  <c r="N13" i="2"/>
  <c r="N9" i="2"/>
  <c r="N64" i="2"/>
  <c r="N66" i="2" l="1"/>
  <c r="N87" i="2"/>
  <c r="N31" i="2"/>
  <c r="N14" i="2"/>
  <c r="N100" i="2" l="1"/>
  <c r="N68" i="2"/>
  <c r="N33" i="2"/>
  <c r="N39" i="2"/>
  <c r="N32" i="2"/>
  <c r="N80" i="2" l="1"/>
  <c r="N43" i="2"/>
  <c r="N46" i="2" l="1"/>
  <c r="N48" i="2" l="1"/>
  <c r="N49" i="2"/>
  <c r="N47" i="2"/>
  <c r="N93" i="2"/>
  <c r="N57" i="2"/>
  <c r="N56" i="2"/>
  <c r="N53" i="2"/>
  <c r="N52" i="2"/>
  <c r="N58" i="2" l="1"/>
  <c r="N54" i="2"/>
  <c r="M56" i="6" l="1"/>
  <c r="M58" i="6" l="1"/>
  <c r="N73" i="7"/>
  <c r="M60" i="6" l="1"/>
  <c r="N76" i="7"/>
  <c r="N94" i="2" l="1"/>
  <c r="N75" i="2"/>
  <c r="N83" i="2"/>
  <c r="N115" i="2" l="1"/>
  <c r="N88" i="2"/>
  <c r="N78" i="2"/>
  <c r="N76" i="2"/>
  <c r="N77" i="2"/>
  <c r="N89" i="2" l="1"/>
  <c r="N118" i="2"/>
  <c r="N120" i="2" s="1"/>
  <c r="N116" i="2"/>
  <c r="N90" i="2"/>
  <c r="N91" i="2"/>
  <c r="N119" i="2" l="1"/>
  <c r="N40" i="7"/>
  <c r="N52" i="7"/>
  <c r="N55" i="7" l="1"/>
  <c r="N42" i="7"/>
  <c r="N80" i="7" l="1"/>
  <c r="N83" i="7" s="1"/>
  <c r="O81" i="7" s="1"/>
  <c r="N85" i="7" l="1"/>
  <c r="Q12" i="7"/>
  <c r="O13" i="7"/>
  <c r="Q18" i="7"/>
  <c r="Q13" i="7" l="1"/>
  <c r="O110" i="2" l="1"/>
  <c r="O111" i="2"/>
  <c r="O104" i="2" l="1"/>
  <c r="O99" i="2" l="1"/>
  <c r="O103" i="2" l="1"/>
  <c r="O109" i="2" l="1"/>
  <c r="O53" i="2" l="1"/>
  <c r="P53" i="2"/>
  <c r="P57" i="2" l="1"/>
  <c r="O57" i="2"/>
  <c r="L57" i="2" l="1"/>
  <c r="L56" i="2"/>
  <c r="L118" i="2"/>
  <c r="L53" i="2"/>
  <c r="L52" i="2"/>
  <c r="L54" i="2" l="1"/>
  <c r="M119" i="2"/>
  <c r="L120" i="2"/>
  <c r="L119" i="2"/>
  <c r="L58" i="2"/>
  <c r="O42" i="2" l="1"/>
  <c r="O36" i="2" l="1"/>
  <c r="O12" i="2"/>
  <c r="O41" i="2"/>
  <c r="O35" i="2"/>
  <c r="P82" i="2"/>
  <c r="P95" i="2"/>
  <c r="O69" i="2"/>
  <c r="O82" i="2" l="1"/>
  <c r="O95" i="2"/>
  <c r="P74" i="2"/>
  <c r="P27" i="2"/>
  <c r="O26" i="2"/>
  <c r="O17" i="2"/>
  <c r="P18" i="2"/>
  <c r="P29" i="2"/>
  <c r="P64" i="2"/>
  <c r="P66" i="2" s="1"/>
  <c r="O8" i="2"/>
  <c r="P13" i="2"/>
  <c r="P10" i="2"/>
  <c r="P81" i="2"/>
  <c r="P24" i="2"/>
  <c r="O23" i="2"/>
  <c r="P21" i="2"/>
  <c r="O20" i="2"/>
  <c r="O21" i="2" l="1"/>
  <c r="O29" i="2"/>
  <c r="O18" i="2"/>
  <c r="O81" i="2"/>
  <c r="O24" i="2"/>
  <c r="P31" i="2"/>
  <c r="P14" i="2"/>
  <c r="O27" i="2"/>
  <c r="Q9" i="2"/>
  <c r="O9" i="2"/>
  <c r="O13" i="2"/>
  <c r="O10" i="2"/>
  <c r="O64" i="2"/>
  <c r="O74" i="2"/>
  <c r="P87" i="2"/>
  <c r="P100" i="2" s="1"/>
  <c r="O66" i="2" l="1"/>
  <c r="O87" i="2"/>
  <c r="O14" i="2"/>
  <c r="O31" i="2"/>
  <c r="P39" i="2"/>
  <c r="P43" i="2" s="1"/>
  <c r="P33" i="2"/>
  <c r="P32" i="2"/>
  <c r="P68" i="2"/>
  <c r="O100" i="2" l="1"/>
  <c r="P46" i="2"/>
  <c r="P52" i="2"/>
  <c r="P54" i="2" s="1"/>
  <c r="P56" i="2"/>
  <c r="P58" i="2" s="1"/>
  <c r="Q32" i="2"/>
  <c r="O39" i="2"/>
  <c r="O32" i="2"/>
  <c r="O68" i="2"/>
  <c r="O33" i="2"/>
  <c r="P80" i="2"/>
  <c r="O43" i="2" l="1"/>
  <c r="O46" i="2" s="1"/>
  <c r="P49" i="2"/>
  <c r="P47" i="2"/>
  <c r="P93" i="2"/>
  <c r="O80" i="2"/>
  <c r="O52" i="2" l="1"/>
  <c r="O56" i="2"/>
  <c r="Q48" i="2"/>
  <c r="O48" i="2"/>
  <c r="O49" i="2"/>
  <c r="O93" i="2"/>
  <c r="O47" i="2"/>
  <c r="O54" i="2" l="1"/>
  <c r="O58" i="2"/>
  <c r="O8" i="7"/>
  <c r="Q8" i="7" l="1"/>
  <c r="P83" i="2" l="1"/>
  <c r="P88" i="2" s="1"/>
  <c r="O70" i="2"/>
  <c r="P94" i="2"/>
  <c r="P115" i="2" s="1"/>
  <c r="P75" i="2"/>
  <c r="P76" i="2" l="1"/>
  <c r="P78" i="2"/>
  <c r="O94" i="2"/>
  <c r="O83" i="2"/>
  <c r="O75" i="2"/>
  <c r="P116" i="2"/>
  <c r="P118" i="2"/>
  <c r="P91" i="2"/>
  <c r="P89" i="2"/>
  <c r="O115" i="2" l="1"/>
  <c r="P120" i="2"/>
  <c r="Q77" i="2"/>
  <c r="O76" i="2"/>
  <c r="O78" i="2"/>
  <c r="O77" i="2"/>
  <c r="O88" i="2"/>
  <c r="Q90" i="2" l="1"/>
  <c r="O89" i="2"/>
  <c r="O91" i="2"/>
  <c r="O90" i="2"/>
  <c r="O116" i="2"/>
  <c r="O118" i="2"/>
  <c r="O119" i="2" l="1"/>
  <c r="O120" i="2"/>
  <c r="N15" i="6" l="1"/>
  <c r="N26" i="6" s="1"/>
  <c r="N56" i="6" l="1"/>
  <c r="N58" i="6" l="1"/>
  <c r="Q115" i="2"/>
  <c r="Q116" i="2" l="1"/>
  <c r="Q57" i="2" l="1"/>
  <c r="Q56" i="2"/>
  <c r="Q118" i="2"/>
  <c r="Q53" i="2"/>
  <c r="Q52" i="2"/>
  <c r="R119" i="2" l="1"/>
  <c r="Q58" i="2"/>
  <c r="Q120" i="2"/>
  <c r="Q119" i="2"/>
  <c r="Q54" i="2"/>
  <c r="O56" i="6" l="1"/>
  <c r="Q56" i="6"/>
  <c r="Q58" i="6" s="1"/>
  <c r="O58" i="6" l="1"/>
  <c r="O60" i="6" s="1"/>
  <c r="Q60" i="6"/>
  <c r="T99" i="2"/>
  <c r="T103" i="2" l="1"/>
  <c r="T109" i="2" l="1"/>
  <c r="O22" i="7" l="1"/>
  <c r="Q22" i="7" l="1"/>
  <c r="O67" i="7"/>
  <c r="Q67" i="7" l="1"/>
  <c r="O16" i="7"/>
  <c r="Q16" i="7" l="1"/>
  <c r="O14" i="7"/>
  <c r="Q14" i="7" l="1"/>
  <c r="O32" i="7"/>
  <c r="O48" i="7"/>
  <c r="O21" i="7"/>
  <c r="O34" i="7"/>
  <c r="O50" i="7"/>
  <c r="O60" i="7"/>
  <c r="O20" i="7"/>
  <c r="O35" i="7"/>
  <c r="O51" i="7"/>
  <c r="O62" i="7"/>
  <c r="O26" i="7"/>
  <c r="O49" i="7"/>
  <c r="O63" i="7"/>
  <c r="O72" i="7"/>
  <c r="Q49" i="7" l="1"/>
  <c r="Q35" i="7"/>
  <c r="Q34" i="7"/>
  <c r="Q32" i="7"/>
  <c r="Q20" i="7"/>
  <c r="Q21" i="7"/>
  <c r="Q72" i="7"/>
  <c r="Q60" i="7"/>
  <c r="Q26" i="7"/>
  <c r="Q62" i="7"/>
  <c r="Q63" i="7"/>
  <c r="Q51" i="7"/>
  <c r="Q50" i="7"/>
  <c r="Q48" i="7"/>
  <c r="O59" i="7"/>
  <c r="P73" i="7"/>
  <c r="O11" i="7"/>
  <c r="Q11" i="7" l="1"/>
  <c r="O73" i="7"/>
  <c r="Q59" i="7"/>
  <c r="P76" i="7"/>
  <c r="O76" i="7" l="1"/>
  <c r="Q73" i="7"/>
  <c r="Z101" i="8"/>
  <c r="Z99" i="8"/>
  <c r="Z100" i="8"/>
  <c r="AA100" i="8" l="1"/>
  <c r="AA101" i="8"/>
  <c r="AA99" i="8"/>
  <c r="O29" i="7" l="1"/>
  <c r="Q29" i="7" l="1"/>
  <c r="O39" i="7"/>
  <c r="Q39" i="7" l="1"/>
  <c r="O24" i="7" l="1"/>
  <c r="Q24" i="7" l="1"/>
  <c r="O36" i="7"/>
  <c r="O38" i="7"/>
  <c r="Q38" i="7" l="1"/>
  <c r="Q36" i="7"/>
  <c r="O37" i="7"/>
  <c r="Q37" i="7" l="1"/>
  <c r="O33" i="7" l="1"/>
  <c r="P40" i="7"/>
  <c r="O40" i="7" l="1"/>
  <c r="Q33" i="7"/>
  <c r="P42" i="7"/>
  <c r="O42" i="7" l="1"/>
  <c r="Q40" i="7"/>
  <c r="O78" i="7" l="1"/>
  <c r="Q78" i="7" l="1"/>
  <c r="U12" i="7" l="1"/>
  <c r="U18" i="7"/>
  <c r="U61" i="7"/>
  <c r="AI37" i="8" l="1"/>
  <c r="AE36" i="8"/>
  <c r="AD17" i="8"/>
  <c r="AD37" i="8"/>
  <c r="AI18" i="8" l="1"/>
  <c r="AE37" i="8"/>
  <c r="AE40" i="8"/>
  <c r="AE17" i="8"/>
  <c r="AD67" i="8"/>
  <c r="AD18" i="8"/>
  <c r="AE21" i="8" l="1"/>
  <c r="AE67" i="8"/>
  <c r="AE18" i="8"/>
  <c r="AD82" i="8"/>
  <c r="AD86" i="8"/>
  <c r="AD78" i="8"/>
  <c r="AE82" i="8" l="1"/>
  <c r="AE78" i="8"/>
  <c r="AE86" i="8"/>
  <c r="AD20" i="8" l="1"/>
  <c r="AD40" i="8"/>
  <c r="AD21" i="8" l="1"/>
  <c r="S95" i="2" l="1"/>
  <c r="S82" i="2"/>
  <c r="S74" i="2" l="1"/>
  <c r="S87" i="2" s="1"/>
  <c r="S100" i="2" s="1"/>
  <c r="S111" i="2" s="1"/>
  <c r="S27" i="2"/>
  <c r="S81" i="2"/>
  <c r="S24" i="2"/>
  <c r="S21" i="2"/>
  <c r="S9" i="2"/>
  <c r="S10" i="2"/>
  <c r="S13" i="2"/>
  <c r="S64" i="2"/>
  <c r="S66" i="2" s="1"/>
  <c r="S18" i="2"/>
  <c r="S29" i="2"/>
  <c r="S14" i="2" l="1"/>
  <c r="S31" i="2"/>
  <c r="S33" i="2" l="1"/>
  <c r="S32" i="2"/>
  <c r="S68" i="2"/>
  <c r="S39" i="2"/>
  <c r="S43" i="2" s="1"/>
  <c r="S80" i="2" l="1"/>
  <c r="S46" i="2"/>
  <c r="S49" i="2" l="1"/>
  <c r="S93" i="2"/>
  <c r="S47" i="2"/>
  <c r="S48" i="2"/>
  <c r="N37" i="6" l="1"/>
  <c r="N46" i="6" l="1"/>
  <c r="N60" i="6" l="1"/>
  <c r="S94" i="2"/>
  <c r="S115" i="2" s="1"/>
  <c r="S83" i="2"/>
  <c r="S88" i="2" s="1"/>
  <c r="S75" i="2"/>
  <c r="S78" i="2" l="1"/>
  <c r="S76" i="2"/>
  <c r="S77" i="2"/>
  <c r="S90" i="2"/>
  <c r="S89" i="2"/>
  <c r="S91" i="2"/>
  <c r="S116" i="2"/>
  <c r="S53" i="2" l="1"/>
  <c r="S52" i="2"/>
  <c r="S54" i="2" l="1"/>
  <c r="S57" i="2" l="1"/>
  <c r="S56" i="2"/>
  <c r="S118" i="2"/>
  <c r="S119" i="2" l="1"/>
  <c r="S120" i="2"/>
  <c r="S58" i="2"/>
  <c r="T42" i="2" l="1"/>
  <c r="U95" i="2" l="1"/>
  <c r="U82" i="2"/>
  <c r="T69" i="2"/>
  <c r="T95" i="2" l="1"/>
  <c r="T82" i="2"/>
  <c r="T41" i="2" l="1"/>
  <c r="T35" i="2"/>
  <c r="T12" i="2"/>
  <c r="U21" i="2" l="1"/>
  <c r="T20" i="2"/>
  <c r="U74" i="2"/>
  <c r="U87" i="2" s="1"/>
  <c r="U100" i="2" s="1"/>
  <c r="U111" i="2" s="1"/>
  <c r="U27" i="2"/>
  <c r="T26" i="2"/>
  <c r="U18" i="2"/>
  <c r="U29" i="2"/>
  <c r="T17" i="2"/>
  <c r="U13" i="2"/>
  <c r="U64" i="2"/>
  <c r="U66" i="2" s="1"/>
  <c r="U10" i="2"/>
  <c r="T8" i="2"/>
  <c r="U81" i="2"/>
  <c r="U24" i="2"/>
  <c r="T23" i="2"/>
  <c r="T36" i="2"/>
  <c r="U31" i="2" l="1"/>
  <c r="U14" i="2"/>
  <c r="T21" i="2"/>
  <c r="T81" i="2"/>
  <c r="T24" i="2"/>
  <c r="T18" i="2"/>
  <c r="T29" i="2"/>
  <c r="T10" i="2"/>
  <c r="T13" i="2"/>
  <c r="T9" i="2"/>
  <c r="T64" i="2"/>
  <c r="T74" i="2"/>
  <c r="T27" i="2"/>
  <c r="T66" i="2" l="1"/>
  <c r="T87" i="2"/>
  <c r="T14" i="2"/>
  <c r="T31" i="2"/>
  <c r="U33" i="2"/>
  <c r="U39" i="2"/>
  <c r="U43" i="2" s="1"/>
  <c r="U68" i="2"/>
  <c r="U32" i="2"/>
  <c r="T100" i="2" l="1"/>
  <c r="T111" i="2" s="1"/>
  <c r="T33" i="2"/>
  <c r="T39" i="2"/>
  <c r="T43" i="2" s="1"/>
  <c r="T32" i="2"/>
  <c r="T68" i="2"/>
  <c r="U80" i="2"/>
  <c r="U52" i="2"/>
  <c r="U54" i="2" s="1"/>
  <c r="U56" i="2"/>
  <c r="U58" i="2" s="1"/>
  <c r="U46" i="2"/>
  <c r="T80" i="2" l="1"/>
  <c r="T56" i="2"/>
  <c r="T52" i="2"/>
  <c r="T46" i="2"/>
  <c r="U47" i="2"/>
  <c r="U93" i="2"/>
  <c r="U49" i="2"/>
  <c r="T54" i="2" l="1"/>
  <c r="T58" i="2"/>
  <c r="T47" i="2"/>
  <c r="T48" i="2"/>
  <c r="T49" i="2"/>
  <c r="T93" i="2"/>
  <c r="U94" i="2" l="1"/>
  <c r="U83" i="2"/>
  <c r="U88" i="2" s="1"/>
  <c r="T70" i="2"/>
  <c r="U75" i="2"/>
  <c r="U76" i="2" l="1"/>
  <c r="U78" i="2"/>
  <c r="T83" i="2"/>
  <c r="T88" i="2" s="1"/>
  <c r="T94" i="2"/>
  <c r="T75" i="2"/>
  <c r="U89" i="2"/>
  <c r="U91" i="2"/>
  <c r="T89" i="2" l="1"/>
  <c r="T90" i="2"/>
  <c r="T91" i="2"/>
  <c r="T76" i="2"/>
  <c r="T78" i="2"/>
  <c r="T77" i="2"/>
  <c r="U8" i="7" l="1"/>
  <c r="R15" i="6" l="1"/>
  <c r="R26" i="6" s="1"/>
  <c r="R37" i="6" l="1"/>
  <c r="R46" i="6" s="1"/>
  <c r="R56" i="6" l="1"/>
  <c r="R58" i="6" l="1"/>
  <c r="R60" i="6" s="1"/>
  <c r="R73" i="7"/>
  <c r="T73" i="7" l="1"/>
  <c r="T76" i="7" s="1"/>
  <c r="R76" i="7"/>
  <c r="S73" i="7"/>
  <c r="S76" i="7" s="1"/>
  <c r="U115" i="2" l="1"/>
  <c r="T104" i="2"/>
  <c r="T115" i="2" l="1"/>
  <c r="T118" i="2" s="1"/>
  <c r="U118" i="2"/>
  <c r="U116" i="2"/>
  <c r="T116" i="2" l="1"/>
  <c r="U120" i="2"/>
  <c r="T120" i="2"/>
  <c r="T119" i="2"/>
  <c r="O45" i="7" l="1"/>
  <c r="P52" i="7"/>
  <c r="O52" i="7" l="1"/>
  <c r="Q45" i="7"/>
  <c r="P55" i="7"/>
  <c r="Q52" i="7" l="1"/>
  <c r="O55" i="7"/>
  <c r="O80" i="7" s="1"/>
  <c r="O83" i="7" s="1"/>
  <c r="P80" i="7"/>
  <c r="P83" i="7" s="1"/>
  <c r="Q55" i="7" l="1"/>
  <c r="O85" i="7"/>
  <c r="R81" i="7"/>
  <c r="P85" i="7"/>
  <c r="V81" i="7"/>
  <c r="R40" i="7" l="1"/>
  <c r="R42" i="7" l="1"/>
  <c r="U27" i="7"/>
  <c r="V74" i="2" l="1"/>
  <c r="V87" i="2" s="1"/>
  <c r="V100" i="2" s="1"/>
  <c r="V111" i="2" s="1"/>
  <c r="V27" i="2"/>
  <c r="V18" i="2"/>
  <c r="V64" i="2"/>
  <c r="V13" i="2"/>
  <c r="V10" i="2"/>
  <c r="V9" i="2"/>
  <c r="V21" i="2"/>
  <c r="V24" i="2"/>
  <c r="V29" i="2"/>
  <c r="V66" i="2" l="1"/>
  <c r="V31" i="2"/>
  <c r="V14" i="2"/>
  <c r="V68" i="2" l="1"/>
  <c r="V80" i="2" s="1"/>
  <c r="V33" i="2"/>
  <c r="V39" i="2"/>
  <c r="V43" i="2" s="1"/>
  <c r="V32" i="2"/>
  <c r="V46" i="2" l="1"/>
  <c r="V47" i="2" l="1"/>
  <c r="V93" i="2"/>
  <c r="V49" i="2"/>
  <c r="V48" i="2"/>
  <c r="V82" i="2" l="1"/>
  <c r="V81" i="2"/>
  <c r="V95" i="2"/>
  <c r="V57" i="2" l="1"/>
  <c r="V53" i="2"/>
  <c r="V56" i="2"/>
  <c r="V52" i="2"/>
  <c r="V54" i="2" l="1"/>
  <c r="V58" i="2"/>
  <c r="V75" i="2" l="1"/>
  <c r="V94" i="2"/>
  <c r="V115" i="2" s="1"/>
  <c r="V83" i="2"/>
  <c r="V88" i="2" s="1"/>
  <c r="V89" i="2" l="1"/>
  <c r="V91" i="2"/>
  <c r="V90" i="2"/>
  <c r="V76" i="2"/>
  <c r="V78" i="2"/>
  <c r="V77" i="2"/>
  <c r="V116" i="2" l="1"/>
  <c r="V118" i="2"/>
  <c r="V119" i="2" l="1"/>
  <c r="V120" i="2"/>
  <c r="S37" i="6" l="1"/>
  <c r="S15" i="6" l="1"/>
  <c r="S26" i="6" l="1"/>
  <c r="S46" i="6"/>
  <c r="U13" i="7" l="1"/>
  <c r="S56" i="6" l="1"/>
  <c r="S58" i="6" s="1"/>
  <c r="S60" i="6" s="1"/>
  <c r="U14" i="7" l="1"/>
  <c r="U67" i="7" l="1"/>
  <c r="U72" i="7"/>
  <c r="U62" i="7"/>
  <c r="U60" i="7"/>
  <c r="U63" i="7"/>
  <c r="U51" i="7"/>
  <c r="U50" i="7"/>
  <c r="U48" i="7"/>
  <c r="U49" i="7"/>
  <c r="U47" i="7"/>
  <c r="U46" i="7"/>
  <c r="U35" i="7"/>
  <c r="U34" i="7"/>
  <c r="U32" i="7"/>
  <c r="U24" i="7"/>
  <c r="U16" i="7"/>
  <c r="U26" i="7"/>
  <c r="U22" i="7"/>
  <c r="U21" i="7"/>
  <c r="U29" i="7"/>
  <c r="U59" i="7" l="1"/>
  <c r="U73" i="7" s="1"/>
  <c r="U76" i="7" s="1"/>
  <c r="V73" i="7"/>
  <c r="V76" i="7" s="1"/>
  <c r="U11" i="7"/>
  <c r="U20" i="7" l="1"/>
  <c r="U38" i="7" l="1"/>
  <c r="U37" i="7" l="1"/>
  <c r="U33" i="7" l="1"/>
  <c r="V52" i="7" l="1"/>
  <c r="V55" i="7" s="1"/>
  <c r="U78" i="7"/>
  <c r="U39" i="7" l="1"/>
  <c r="V40" i="7"/>
  <c r="V42" i="7" s="1"/>
  <c r="V80" i="7" s="1"/>
  <c r="V83" i="7" s="1"/>
  <c r="V85" i="7" l="1"/>
  <c r="AA81" i="7"/>
  <c r="W57" i="2" l="1"/>
  <c r="W53" i="2"/>
  <c r="R52" i="7" l="1"/>
  <c r="R55" i="7" l="1"/>
  <c r="R80" i="7" s="1"/>
  <c r="R83" i="7" s="1"/>
  <c r="R85" i="7" s="1"/>
  <c r="S52" i="7"/>
  <c r="S55" i="7" s="1"/>
  <c r="S81" i="7" l="1"/>
  <c r="T52" i="7"/>
  <c r="T55" i="7" s="1"/>
  <c r="U45" i="7"/>
  <c r="U52" i="7" s="1"/>
  <c r="U55" i="7" s="1"/>
  <c r="W73" i="7" l="1"/>
  <c r="W76" i="7" s="1"/>
  <c r="X52" i="7" l="1"/>
  <c r="X55" i="7" s="1"/>
  <c r="W52" i="7" l="1"/>
  <c r="W55" i="7" s="1"/>
  <c r="W40" i="7" l="1"/>
  <c r="W42" i="7" s="1"/>
  <c r="W80" i="7" s="1"/>
  <c r="W95" i="2" l="1"/>
  <c r="W82" i="2"/>
  <c r="W64" i="2" l="1"/>
  <c r="W66" i="2" s="1"/>
  <c r="W13" i="2"/>
  <c r="W10" i="2"/>
  <c r="W9" i="2"/>
  <c r="W21" i="2"/>
  <c r="W18" i="2"/>
  <c r="W29" i="2"/>
  <c r="W24" i="2"/>
  <c r="W81" i="2"/>
  <c r="W74" i="2"/>
  <c r="W87" i="2" s="1"/>
  <c r="W27" i="2"/>
  <c r="W14" i="2" l="1"/>
  <c r="W31" i="2"/>
  <c r="W33" i="2" l="1"/>
  <c r="W39" i="2"/>
  <c r="W43" i="2" s="1"/>
  <c r="W68" i="2"/>
  <c r="W32" i="2"/>
  <c r="W46" i="2" l="1"/>
  <c r="W52" i="2"/>
  <c r="W54" i="2" s="1"/>
  <c r="W56" i="2"/>
  <c r="W58" i="2" s="1"/>
  <c r="W80" i="2"/>
  <c r="W93" i="2" l="1"/>
  <c r="W47" i="2"/>
  <c r="W49" i="2"/>
  <c r="W48" i="2"/>
  <c r="X73" i="7" l="1"/>
  <c r="X76" i="7" s="1"/>
  <c r="T15" i="6" l="1"/>
  <c r="T26" i="6" s="1"/>
  <c r="S40" i="7" l="1"/>
  <c r="S42" i="7" s="1"/>
  <c r="S80" i="7" s="1"/>
  <c r="S83" i="7" s="1"/>
  <c r="S85" i="7" l="1"/>
  <c r="T81" i="7"/>
  <c r="T37" i="6" l="1"/>
  <c r="T46" i="6" s="1"/>
  <c r="W94" i="2" l="1"/>
  <c r="W115" i="2" s="1"/>
  <c r="W83" i="2"/>
  <c r="W88" i="2" s="1"/>
  <c r="W75" i="2"/>
  <c r="W76" i="2" l="1"/>
  <c r="W78" i="2"/>
  <c r="W77" i="2"/>
  <c r="W89" i="2"/>
  <c r="W91" i="2"/>
  <c r="W90" i="2"/>
  <c r="W118" i="2"/>
  <c r="W116" i="2"/>
  <c r="W120" i="2" l="1"/>
  <c r="W119" i="2"/>
  <c r="T56" i="6" l="1"/>
  <c r="T58" i="6" s="1"/>
  <c r="T60" i="6" s="1"/>
  <c r="U56" i="6" l="1"/>
  <c r="U58" i="6" s="1"/>
  <c r="U60" i="6" s="1"/>
  <c r="Z11" i="7" l="1"/>
  <c r="Z14" i="7" l="1"/>
  <c r="Z60" i="7" l="1"/>
  <c r="Z63" i="7"/>
  <c r="Z49" i="7"/>
  <c r="Z46" i="7"/>
  <c r="Z45" i="7"/>
  <c r="Z48" i="7"/>
  <c r="Z35" i="7"/>
  <c r="Z34" i="7"/>
  <c r="Z32" i="7"/>
  <c r="Z24" i="7"/>
  <c r="Z16" i="7"/>
  <c r="Z26" i="7"/>
  <c r="Z22" i="7"/>
  <c r="Z21" i="7"/>
  <c r="Z47" i="7" l="1"/>
  <c r="X95" i="2" l="1"/>
  <c r="X82" i="2"/>
  <c r="X18" i="2" l="1"/>
  <c r="X29" i="2"/>
  <c r="X24" i="2"/>
  <c r="X81" i="2"/>
  <c r="X21" i="2"/>
  <c r="X64" i="2"/>
  <c r="X66" i="2" s="1"/>
  <c r="X10" i="2"/>
  <c r="X13" i="2"/>
  <c r="X9" i="2"/>
  <c r="X74" i="2"/>
  <c r="X87" i="2" s="1"/>
  <c r="X27" i="2"/>
  <c r="X31" i="2" l="1"/>
  <c r="X14" i="2"/>
  <c r="X33" i="2" l="1"/>
  <c r="X39" i="2"/>
  <c r="X43" i="2" s="1"/>
  <c r="X68" i="2"/>
  <c r="X80" i="2" s="1"/>
  <c r="X32" i="2"/>
  <c r="X46" i="2" l="1"/>
  <c r="X49" i="2" l="1"/>
  <c r="X47" i="2"/>
  <c r="X93" i="2"/>
  <c r="X48" i="2"/>
  <c r="T40" i="7" l="1"/>
  <c r="T42" i="7" s="1"/>
  <c r="T80" i="7" s="1"/>
  <c r="T83" i="7" s="1"/>
  <c r="U36" i="7"/>
  <c r="U40" i="7" s="1"/>
  <c r="U42" i="7" s="1"/>
  <c r="U80" i="7" s="1"/>
  <c r="T85" i="7" l="1"/>
  <c r="U81" i="7"/>
  <c r="U83" i="7" s="1"/>
  <c r="U85" i="7" l="1"/>
  <c r="W81" i="7"/>
  <c r="W83" i="7" s="1"/>
  <c r="W85" i="7" l="1"/>
  <c r="X81" i="7"/>
  <c r="Z62" i="7" l="1"/>
  <c r="X52" i="2" l="1"/>
  <c r="X57" i="2" l="1"/>
  <c r="X53" i="2"/>
  <c r="X56" i="2"/>
  <c r="X54" i="2" l="1"/>
  <c r="X58" i="2"/>
  <c r="X94" i="2" l="1"/>
  <c r="X83" i="2"/>
  <c r="X75" i="2"/>
  <c r="X88" i="2" l="1"/>
  <c r="X115" i="2"/>
  <c r="X78" i="2"/>
  <c r="X76" i="2"/>
  <c r="X77" i="2"/>
  <c r="X118" i="2" l="1"/>
  <c r="X116" i="2"/>
  <c r="X89" i="2"/>
  <c r="X91" i="2"/>
  <c r="X90" i="2"/>
  <c r="X120" i="2" l="1"/>
  <c r="X119" i="2"/>
  <c r="Z13" i="7" l="1"/>
  <c r="Y52" i="7" l="1"/>
  <c r="Y55" i="7" s="1"/>
  <c r="Y73" i="7" l="1"/>
  <c r="Y76" i="7" s="1"/>
  <c r="Y57" i="2" l="1"/>
  <c r="Z57" i="2" l="1"/>
  <c r="Y99" i="2" l="1"/>
  <c r="Y109" i="2" l="1"/>
  <c r="Y103" i="2" l="1"/>
  <c r="Z15" i="7" l="1"/>
  <c r="Z29" i="7" l="1"/>
  <c r="Z78" i="7" l="1"/>
  <c r="Z38" i="7" l="1"/>
  <c r="Z33" i="7"/>
  <c r="Z72" i="7"/>
  <c r="Z36" i="7"/>
  <c r="Z20" i="7"/>
  <c r="Z37" i="7" l="1"/>
  <c r="Z59" i="7"/>
  <c r="Z67" i="7" l="1"/>
  <c r="AA73" i="7"/>
  <c r="Z73" i="7" l="1"/>
  <c r="Z76" i="7" s="1"/>
  <c r="AA76" i="7"/>
  <c r="Z39" i="7"/>
  <c r="Y96" i="2" l="1"/>
  <c r="Z51" i="7" l="1"/>
  <c r="AA52" i="7" l="1"/>
  <c r="Z50" i="7"/>
  <c r="Z52" i="7" l="1"/>
  <c r="Z55" i="7" s="1"/>
  <c r="AA55" i="7"/>
  <c r="Y42" i="2" l="1"/>
  <c r="Y23" i="2" l="1"/>
  <c r="Z95" i="2" l="1"/>
  <c r="Y69" i="2"/>
  <c r="Z82" i="2"/>
  <c r="Z81" i="2"/>
  <c r="Y82" i="2" l="1"/>
  <c r="Y95" i="2"/>
  <c r="Y81" i="2"/>
  <c r="Y12" i="2" l="1"/>
  <c r="Y17" i="2"/>
  <c r="Z29" i="2"/>
  <c r="Z18" i="2"/>
  <c r="Z64" i="2"/>
  <c r="Z13" i="2"/>
  <c r="Y8" i="2"/>
  <c r="Z10" i="2"/>
  <c r="Z24" i="2"/>
  <c r="Z21" i="2"/>
  <c r="Y20" i="2"/>
  <c r="Y26" i="2"/>
  <c r="Z27" i="2"/>
  <c r="Z74" i="2"/>
  <c r="Y35" i="2" l="1"/>
  <c r="Z87" i="2"/>
  <c r="Z66" i="2"/>
  <c r="Y9" i="2"/>
  <c r="Y21" i="2"/>
  <c r="Y27" i="2"/>
  <c r="Y74" i="2"/>
  <c r="Y87" i="2" s="1"/>
  <c r="Y100" i="2" s="1"/>
  <c r="Y111" i="2" s="1"/>
  <c r="Y10" i="2"/>
  <c r="Y64" i="2"/>
  <c r="Y66" i="2" s="1"/>
  <c r="Y13" i="2"/>
  <c r="Y24" i="2"/>
  <c r="Z31" i="2"/>
  <c r="Z14" i="2"/>
  <c r="Y18" i="2"/>
  <c r="Y29" i="2"/>
  <c r="Z100" i="2" l="1"/>
  <c r="Z68" i="2"/>
  <c r="Z33" i="2"/>
  <c r="Z32" i="2"/>
  <c r="Y14" i="2"/>
  <c r="Y31" i="2"/>
  <c r="Z111" i="2" l="1"/>
  <c r="V15" i="6"/>
  <c r="Y68" i="2"/>
  <c r="Y33" i="2"/>
  <c r="Y32" i="2"/>
  <c r="Z80" i="2"/>
  <c r="Y80" i="2" l="1"/>
  <c r="Z94" i="2" l="1"/>
  <c r="Y70" i="2"/>
  <c r="Z83" i="2"/>
  <c r="Y94" i="2" l="1"/>
  <c r="Y83" i="2"/>
  <c r="V26" i="6" l="1"/>
  <c r="Y75" i="2" l="1"/>
  <c r="Z84" i="2"/>
  <c r="Y84" i="2"/>
  <c r="Z88" i="2" l="1"/>
  <c r="Z89" i="2" s="1"/>
  <c r="Y88" i="2"/>
  <c r="Y78" i="2"/>
  <c r="Z75" i="2"/>
  <c r="Y77" i="2"/>
  <c r="Y76" i="2"/>
  <c r="Z91" i="2" l="1"/>
  <c r="Y91" i="2"/>
  <c r="Y89" i="2"/>
  <c r="Y90" i="2"/>
  <c r="Z76" i="2"/>
  <c r="Z78" i="2"/>
  <c r="AK62" i="8" l="1"/>
  <c r="AJ61" i="8"/>
  <c r="AJ62" i="8" l="1"/>
  <c r="AK37" i="8" l="1"/>
  <c r="AJ36" i="8"/>
  <c r="AJ64" i="8"/>
  <c r="AK65" i="8"/>
  <c r="AK31" i="8"/>
  <c r="AJ30" i="8"/>
  <c r="AK17" i="8"/>
  <c r="AJ23" i="8"/>
  <c r="AK24" i="8"/>
  <c r="AJ65" i="8" l="1"/>
  <c r="AJ31" i="8"/>
  <c r="AJ37" i="8"/>
  <c r="AJ17" i="8"/>
  <c r="AJ24" i="8"/>
  <c r="AK18" i="8"/>
  <c r="AK67" i="8"/>
  <c r="AK40" i="8"/>
  <c r="AJ39" i="8"/>
  <c r="AJ40" i="8" l="1"/>
  <c r="AJ26" i="8"/>
  <c r="AK27" i="8"/>
  <c r="AK82" i="8"/>
  <c r="AK78" i="8"/>
  <c r="AK86" i="8"/>
  <c r="AJ18" i="8"/>
  <c r="AJ67" i="8"/>
  <c r="AK20" i="8" l="1"/>
  <c r="AJ33" i="8"/>
  <c r="AK34" i="8"/>
  <c r="AJ27" i="8"/>
  <c r="AJ82" i="8"/>
  <c r="AJ86" i="8"/>
  <c r="AJ78" i="8"/>
  <c r="AJ34" i="8" l="1"/>
  <c r="AJ20" i="8"/>
  <c r="AK21" i="8"/>
  <c r="AJ21" i="8" l="1"/>
  <c r="Y37" i="2" l="1"/>
  <c r="Z113" i="2"/>
  <c r="Y113" i="2" l="1"/>
  <c r="Z39" i="2" l="1"/>
  <c r="Y36" i="2"/>
  <c r="Y39" i="2" s="1"/>
  <c r="Y41" i="2" l="1"/>
  <c r="Y43" i="2" s="1"/>
  <c r="Z43" i="2"/>
  <c r="Z52" i="2" l="1"/>
  <c r="Z56" i="2"/>
  <c r="Z46" i="2"/>
  <c r="Y46" i="2"/>
  <c r="Y56" i="2"/>
  <c r="Y58" i="2" s="1"/>
  <c r="Y52" i="2"/>
  <c r="Y54" i="2" s="1"/>
  <c r="Z58" i="2" l="1"/>
  <c r="Z54" i="2"/>
  <c r="Y93" i="2"/>
  <c r="Y115" i="2" s="1"/>
  <c r="Y48" i="2"/>
  <c r="Y47" i="2"/>
  <c r="Y49" i="2"/>
  <c r="Z93" i="2"/>
  <c r="Z49" i="2"/>
  <c r="Z47" i="2"/>
  <c r="Z115" i="2" l="1"/>
  <c r="AA40" i="7"/>
  <c r="Z8" i="7"/>
  <c r="Y116" i="2"/>
  <c r="Y118" i="2"/>
  <c r="Z118" i="2" l="1"/>
  <c r="Z116" i="2"/>
  <c r="AA42" i="7"/>
  <c r="AA80" i="7" s="1"/>
  <c r="AA83" i="7" s="1"/>
  <c r="Y120" i="2"/>
  <c r="Y119" i="2"/>
  <c r="Z120" i="2" l="1"/>
  <c r="AA85" i="7"/>
  <c r="V56" i="6" l="1"/>
  <c r="V58" i="6" l="1"/>
  <c r="AB57" i="2" l="1"/>
  <c r="AB53" i="2"/>
  <c r="X40" i="7" l="1"/>
  <c r="Y40" i="7"/>
  <c r="Y42" i="7" s="1"/>
  <c r="Y80" i="7" s="1"/>
  <c r="Z27" i="7" l="1"/>
  <c r="X42" i="7"/>
  <c r="X80" i="7" s="1"/>
  <c r="X83" i="7" s="1"/>
  <c r="X85" i="7" l="1"/>
  <c r="Y81" i="7"/>
  <c r="Y83" i="7" s="1"/>
  <c r="Z40" i="7"/>
  <c r="Z42" i="7" l="1"/>
  <c r="Z80" i="7" s="1"/>
  <c r="Y85" i="7"/>
  <c r="Z81" i="7"/>
  <c r="Z83" i="7" l="1"/>
  <c r="AB81" i="7" l="1"/>
  <c r="Z85" i="7"/>
  <c r="AN37" i="8" l="1"/>
  <c r="AN31" i="8"/>
  <c r="AN24" i="8" l="1"/>
  <c r="AN17" i="8"/>
  <c r="AN18" i="8" s="1"/>
  <c r="AN62" i="8"/>
  <c r="AN67" i="8" l="1"/>
  <c r="AN78" i="8" l="1"/>
  <c r="AN86" i="8"/>
  <c r="AN82" i="8"/>
  <c r="AC74" i="2" l="1"/>
  <c r="AC87" i="2" s="1"/>
  <c r="AC100" i="2" s="1"/>
  <c r="AN40" i="8" l="1"/>
  <c r="AN65" i="8"/>
  <c r="AN34" i="8"/>
  <c r="AN27" i="8" l="1"/>
  <c r="AN20" i="8"/>
  <c r="AN21" i="8" l="1"/>
  <c r="AL17" i="8" l="1"/>
  <c r="AL24" i="8"/>
  <c r="AL31" i="8"/>
  <c r="AL37" i="8"/>
  <c r="AL62" i="8"/>
  <c r="AL67" i="8" l="1"/>
  <c r="AL18" i="8"/>
  <c r="AL86" i="8" l="1"/>
  <c r="AL82" i="8"/>
  <c r="AL78" i="8"/>
  <c r="AB73" i="7" l="1"/>
  <c r="AB76" i="7" l="1"/>
  <c r="AA95" i="2" l="1"/>
  <c r="AA82" i="2"/>
  <c r="AA21" i="2" l="1"/>
  <c r="AA13" i="2"/>
  <c r="AA64" i="2"/>
  <c r="AA10" i="2"/>
  <c r="AA9" i="2"/>
  <c r="AA74" i="2"/>
  <c r="AA27" i="2"/>
  <c r="AA81" i="2"/>
  <c r="AA24" i="2"/>
  <c r="AA29" i="2"/>
  <c r="AA18" i="2"/>
  <c r="AA87" i="2" l="1"/>
  <c r="AA66" i="2"/>
  <c r="AA14" i="2"/>
  <c r="AA31" i="2"/>
  <c r="AA68" i="2" l="1"/>
  <c r="AA39" i="2"/>
  <c r="AA33" i="2"/>
  <c r="AA32" i="2"/>
  <c r="AA100" i="2"/>
  <c r="AA43" i="2" l="1"/>
  <c r="AA80" i="2"/>
  <c r="AA52" i="2" l="1"/>
  <c r="AA46" i="2"/>
  <c r="AA56" i="2"/>
  <c r="AA47" i="2" l="1"/>
  <c r="AA93" i="2"/>
  <c r="AA49" i="2"/>
  <c r="AA48" i="2"/>
  <c r="AA54" i="2"/>
  <c r="AA58" i="2"/>
  <c r="AL65" i="8" l="1"/>
  <c r="AA94" i="2" l="1"/>
  <c r="AA83" i="2"/>
  <c r="AA75" i="2"/>
  <c r="AL34" i="8"/>
  <c r="AA76" i="2" l="1"/>
  <c r="AA78" i="2"/>
  <c r="AA77" i="2"/>
  <c r="AA88" i="2"/>
  <c r="AA115" i="2"/>
  <c r="AA118" i="2" l="1"/>
  <c r="AA116" i="2"/>
  <c r="AA89" i="2"/>
  <c r="AA91" i="2"/>
  <c r="AA90" i="2"/>
  <c r="AA120" i="2" l="1"/>
  <c r="AA119" i="2"/>
  <c r="AL40" i="8" l="1"/>
  <c r="AL20" i="8" l="1"/>
  <c r="AL27" i="8"/>
  <c r="AL21" i="8" l="1"/>
  <c r="W37" i="6" l="1"/>
  <c r="W15" i="6" l="1"/>
  <c r="W46" i="6" l="1"/>
  <c r="W26" i="6" l="1"/>
  <c r="AB52" i="7" l="1"/>
  <c r="AB40" i="7"/>
  <c r="AB42" i="7" l="1"/>
  <c r="AB55" i="7"/>
  <c r="AB80" i="7" s="1"/>
  <c r="AB83" i="7" s="1"/>
  <c r="AC81" i="7" l="1"/>
  <c r="AB85" i="7"/>
  <c r="W56" i="6" l="1"/>
  <c r="W58" i="6" l="1"/>
  <c r="W60" i="6" l="1"/>
  <c r="V37" i="6" l="1"/>
  <c r="V46" i="6" l="1"/>
  <c r="V60" i="6" s="1"/>
  <c r="AM62" i="8" l="1"/>
  <c r="AM17" i="8" l="1"/>
  <c r="AM24" i="8"/>
  <c r="AM31" i="8"/>
  <c r="AM37" i="8"/>
  <c r="AM67" i="8" l="1"/>
  <c r="AM18" i="8"/>
  <c r="AM82" i="8" l="1"/>
  <c r="AM86" i="8"/>
  <c r="AM78" i="8"/>
  <c r="AB74" i="2" l="1"/>
  <c r="AB87" i="2" l="1"/>
  <c r="AB100" i="2" l="1"/>
  <c r="AM34" i="8" l="1"/>
  <c r="AM40" i="8"/>
  <c r="AM65" i="8"/>
  <c r="AM27" i="8" l="1"/>
  <c r="AM20" i="8"/>
  <c r="AM21" i="8" l="1"/>
  <c r="AB94" i="2" l="1"/>
  <c r="AB83" i="2"/>
  <c r="AB95" i="2" l="1"/>
  <c r="AB82" i="2"/>
  <c r="AC73" i="7" l="1"/>
  <c r="AC76" i="7" l="1"/>
  <c r="AC52" i="7" l="1"/>
  <c r="AC55" i="7" l="1"/>
  <c r="AB9" i="2" l="1"/>
  <c r="AB10" i="2"/>
  <c r="AB13" i="2"/>
  <c r="AB64" i="2"/>
  <c r="AB27" i="2"/>
  <c r="AB66" i="2" l="1"/>
  <c r="AB14" i="2"/>
  <c r="AB24" i="2" l="1"/>
  <c r="AB81" i="2"/>
  <c r="AB21" i="2"/>
  <c r="AB29" i="2"/>
  <c r="AB18" i="2"/>
  <c r="AB31" i="2" l="1"/>
  <c r="AB68" i="2" l="1"/>
  <c r="AB39" i="2"/>
  <c r="AB32" i="2"/>
  <c r="AB33" i="2"/>
  <c r="AB80" i="2" l="1"/>
  <c r="AB75" i="2"/>
  <c r="AB43" i="2"/>
  <c r="AC40" i="7" l="1"/>
  <c r="AB46" i="2"/>
  <c r="AB52" i="2"/>
  <c r="AB56" i="2"/>
  <c r="AB77" i="2"/>
  <c r="AB78" i="2"/>
  <c r="AB76" i="2"/>
  <c r="AB88" i="2"/>
  <c r="AB58" i="2" l="1"/>
  <c r="AB89" i="2"/>
  <c r="AB91" i="2"/>
  <c r="AB90" i="2"/>
  <c r="AB54" i="2"/>
  <c r="AB48" i="2"/>
  <c r="AB47" i="2"/>
  <c r="AB93" i="2"/>
  <c r="AB49" i="2"/>
  <c r="AC42" i="7"/>
  <c r="AC80" i="7" s="1"/>
  <c r="AC83" i="7" l="1"/>
  <c r="AB115" i="2"/>
  <c r="AB116" i="2" l="1"/>
  <c r="AB118" i="2"/>
  <c r="AD81" i="7"/>
  <c r="AC85" i="7"/>
  <c r="X37" i="6" l="1"/>
  <c r="AB119" i="2"/>
  <c r="AB120" i="2"/>
  <c r="X15" i="6" l="1"/>
  <c r="X26" i="6" s="1"/>
  <c r="X46" i="6" l="1"/>
  <c r="X56" i="6" l="1"/>
  <c r="X58" i="6" l="1"/>
  <c r="X60" i="6" l="1"/>
  <c r="AD73" i="7" l="1"/>
  <c r="AD76" i="7" s="1"/>
  <c r="AD52" i="7" l="1"/>
  <c r="AD55" i="7" s="1"/>
  <c r="AD40" i="7" l="1"/>
  <c r="AD42" i="7" s="1"/>
  <c r="AD80" i="7" s="1"/>
  <c r="AD83" i="7" s="1"/>
  <c r="AD85" i="7" s="1"/>
  <c r="Y15" i="6" l="1"/>
  <c r="Y37" i="6" l="1"/>
  <c r="Y46" i="6" l="1"/>
  <c r="Y26" i="6" l="1"/>
  <c r="AC95" i="2" l="1"/>
  <c r="AC82" i="2"/>
  <c r="AC83" i="2" l="1"/>
  <c r="AC94" i="2"/>
  <c r="AC10" i="2" l="1"/>
  <c r="AC9" i="2"/>
  <c r="AC27" i="2"/>
  <c r="AC13" i="2"/>
  <c r="AC64" i="2"/>
  <c r="AC66" i="2" s="1"/>
  <c r="AC14" i="2" l="1"/>
  <c r="AC21" i="2" l="1"/>
  <c r="AC24" i="2" l="1"/>
  <c r="AC81" i="2"/>
  <c r="AC29" i="2"/>
  <c r="AC31" i="2" s="1"/>
  <c r="AC18" i="2"/>
  <c r="AC68" i="2" l="1"/>
  <c r="AC39" i="2"/>
  <c r="AC43" i="2" s="1"/>
  <c r="AC33" i="2"/>
  <c r="AC32" i="2"/>
  <c r="AC52" i="2" l="1"/>
  <c r="AC54" i="2" s="1"/>
  <c r="AC46" i="2"/>
  <c r="AC56" i="2"/>
  <c r="AC58" i="2" s="1"/>
  <c r="AC75" i="2"/>
  <c r="AC80" i="2"/>
  <c r="AC88" i="2" s="1"/>
  <c r="AC76" i="2" l="1"/>
  <c r="AC78" i="2"/>
  <c r="AC77" i="2"/>
  <c r="AC49" i="2"/>
  <c r="AC47" i="2"/>
  <c r="AC93" i="2"/>
  <c r="AC48" i="2"/>
  <c r="AC91" i="2"/>
  <c r="AC89" i="2"/>
  <c r="AC90" i="2"/>
  <c r="AC115" i="2" l="1"/>
  <c r="AC116" i="2" l="1"/>
  <c r="AC118" i="2"/>
  <c r="AC120" i="2" l="1"/>
  <c r="AC119" i="2"/>
  <c r="Y56" i="6" l="1"/>
  <c r="Y58" i="6" s="1"/>
  <c r="Y60" i="6" s="1"/>
</calcChain>
</file>

<file path=xl/sharedStrings.xml><?xml version="1.0" encoding="utf-8"?>
<sst xmlns="http://schemas.openxmlformats.org/spreadsheetml/2006/main" count="580" uniqueCount="279">
  <si>
    <t>Headcount</t>
  </si>
  <si>
    <t>Revenues</t>
  </si>
  <si>
    <t>Gross profit</t>
  </si>
  <si>
    <t>General and administrative expenses</t>
  </si>
  <si>
    <t>Selling and marketing expenses</t>
  </si>
  <si>
    <t>Depreciation and amortization</t>
  </si>
  <si>
    <t>Total operating expenses</t>
  </si>
  <si>
    <t>Other income/ (expense)</t>
  </si>
  <si>
    <t>Q1</t>
  </si>
  <si>
    <t>Q2</t>
  </si>
  <si>
    <t>Q3</t>
  </si>
  <si>
    <t>Q4</t>
  </si>
  <si>
    <t>FY</t>
  </si>
  <si>
    <t>Income Statement</t>
  </si>
  <si>
    <t>Balance Sheet</t>
  </si>
  <si>
    <t>Foreign Exchange Gain / (Loss)</t>
  </si>
  <si>
    <t>Assets</t>
  </si>
  <si>
    <t>Current assets:</t>
  </si>
  <si>
    <t>Restricted cash</t>
  </si>
  <si>
    <t>Accounts receivable</t>
  </si>
  <si>
    <t/>
  </si>
  <si>
    <t>Goodwill</t>
  </si>
  <si>
    <t>Liabilities and Stockholders Equity</t>
  </si>
  <si>
    <t>Current liabilities:</t>
  </si>
  <si>
    <t>Accounts payable</t>
  </si>
  <si>
    <t>Deferred revenue</t>
  </si>
  <si>
    <t>Accrued employee cost</t>
  </si>
  <si>
    <t>Income taxes payable</t>
  </si>
  <si>
    <t>Total current liabilities</t>
  </si>
  <si>
    <t>Additional paid-in capital</t>
  </si>
  <si>
    <t>Other assets</t>
  </si>
  <si>
    <t>Other non-current liabilities</t>
  </si>
  <si>
    <t>Retained earnings</t>
  </si>
  <si>
    <t>Net income</t>
  </si>
  <si>
    <t>Amortization of deferred financing costs</t>
  </si>
  <si>
    <t>Non-employee stock options</t>
  </si>
  <si>
    <t>Foreign exchange (gain)/loss (unrealized)</t>
  </si>
  <si>
    <t>Prepaid expenses and other current assets</t>
  </si>
  <si>
    <t>Accrued expenses and other liabilities</t>
  </si>
  <si>
    <t>Repayment of senior long-term debt</t>
  </si>
  <si>
    <t>Repayment on redemption of preferred stock</t>
  </si>
  <si>
    <t>Proceeds from exercise of stock options</t>
  </si>
  <si>
    <t>Acquisition of treasury stock</t>
  </si>
  <si>
    <t>Cash and cash equivalents, end of year</t>
  </si>
  <si>
    <t>Cash Flow Statement</t>
  </si>
  <si>
    <t>Top - 3</t>
  </si>
  <si>
    <t>Top - 5</t>
  </si>
  <si>
    <t>Top - 10</t>
  </si>
  <si>
    <t>Top - 1</t>
  </si>
  <si>
    <t>Cashflow Statement</t>
  </si>
  <si>
    <t>Income from discontinued operations, net of taxes</t>
  </si>
  <si>
    <t>Adjustments to reconcile net income to net cash provided by operating activities:</t>
  </si>
  <si>
    <t>Repayment of bank borrowings and other long term debt</t>
  </si>
  <si>
    <t>Proceeds from sale of common stock, net of issuance costs</t>
  </si>
  <si>
    <t>Excess tax benefit/(deficiency) from stock-based compensation</t>
  </si>
  <si>
    <t>Effect of exchange rate changes on cash and cash equivalents</t>
  </si>
  <si>
    <t>GM</t>
  </si>
  <si>
    <t>Other metrics</t>
  </si>
  <si>
    <t>GM%</t>
  </si>
  <si>
    <t>Income tax (provision)/benefit</t>
  </si>
  <si>
    <t>Adjusted Operating Margin</t>
  </si>
  <si>
    <t>Operating expenses</t>
  </si>
  <si>
    <t>Accrued expenses and other current liabilities</t>
  </si>
  <si>
    <t>Non-current liabilities</t>
  </si>
  <si>
    <t>($ in thousands)</t>
  </si>
  <si>
    <t>Gross Margin</t>
  </si>
  <si>
    <t>Operating Margin</t>
  </si>
  <si>
    <t>Change in operating assets and liabilities (net of effect of acquisitions)</t>
  </si>
  <si>
    <t>EBIT</t>
  </si>
  <si>
    <t>Adjusted EBIT</t>
  </si>
  <si>
    <t>Total Liabilities</t>
  </si>
  <si>
    <t>Preferred Stock $0.001 par value; 15,000,000 shares authorized</t>
  </si>
  <si>
    <t>Common Stock</t>
  </si>
  <si>
    <t>Net Cash Flows from Financing</t>
  </si>
  <si>
    <t>Cash and Cash Equivalents from Continuing Operations, end of period</t>
  </si>
  <si>
    <t>Cash Flows from Investing (continuing operations)</t>
  </si>
  <si>
    <t>Cash Flows from Investing (discontinued operations)</t>
  </si>
  <si>
    <t>Cash Flows from Financing (continuing operations)</t>
  </si>
  <si>
    <t>Cash Flows from Financing (discontinued operations)</t>
  </si>
  <si>
    <t>Total Workstations</t>
  </si>
  <si>
    <t>NA</t>
  </si>
  <si>
    <t>Total Revenues</t>
  </si>
  <si>
    <t>Utilities</t>
  </si>
  <si>
    <t>Banking and Financial Services</t>
  </si>
  <si>
    <t>Other</t>
  </si>
  <si>
    <t>Revenue by Geography</t>
  </si>
  <si>
    <t>United States</t>
  </si>
  <si>
    <t>United Kingdom</t>
  </si>
  <si>
    <t>Reconciliation of GAAP to Non-GAAP Measures</t>
  </si>
  <si>
    <t>Cost of revenues (exclusive of depreciation and amortization)</t>
  </si>
  <si>
    <t>Interest and other income, net</t>
  </si>
  <si>
    <t>Income from continuing operations</t>
  </si>
  <si>
    <t>Income/(loss) from continuing operations before income taxes</t>
  </si>
  <si>
    <t>Income/(loss) from discontinued operations, net of taxes</t>
  </si>
  <si>
    <t>Net income/(loss) to common stockholders</t>
  </si>
  <si>
    <t>Diluted</t>
  </si>
  <si>
    <t>Continuing operations</t>
  </si>
  <si>
    <t>Discontinued operations</t>
  </si>
  <si>
    <t>Basic</t>
  </si>
  <si>
    <t>Total</t>
  </si>
  <si>
    <t>Weighted-average number of shares used in computing earnings per share</t>
  </si>
  <si>
    <t>Short-term investments</t>
  </si>
  <si>
    <t>Cash and cash equivalents</t>
  </si>
  <si>
    <t>Total current assets</t>
  </si>
  <si>
    <t>Total assets</t>
  </si>
  <si>
    <t>Total Liabilities and Stockholders' Equity</t>
  </si>
  <si>
    <t>Cash flows from operating activities</t>
  </si>
  <si>
    <t>Share-based compensation expense</t>
  </si>
  <si>
    <t>Net cash provided by operating activities - continuing operations</t>
  </si>
  <si>
    <t>Net cash provided by operating activities</t>
  </si>
  <si>
    <t>Cash flows from investing activities:</t>
  </si>
  <si>
    <t>Cash flows from financing activities:</t>
  </si>
  <si>
    <t>Net increase/(decrease) in cash and cash equivalents</t>
  </si>
  <si>
    <t xml:space="preserve">Cash and cash equivalents, beginning of period </t>
  </si>
  <si>
    <t>Less cash and equivalents of discontinued operations, end of period</t>
  </si>
  <si>
    <t xml:space="preserve">Purchase of short-term investments </t>
  </si>
  <si>
    <t>Proceeds from Redemption of short-term investments</t>
  </si>
  <si>
    <t>Exl Service Holdings, Inc. stockholders' equity</t>
  </si>
  <si>
    <t>Total stockholders' equity</t>
  </si>
  <si>
    <t>Proceeds from issuance of stock to minority shareholders</t>
  </si>
  <si>
    <t>Noncontrolling interest</t>
  </si>
  <si>
    <t>Adjusted EBITDA</t>
  </si>
  <si>
    <t>Adjusted EBITDA Margin</t>
  </si>
  <si>
    <t>Net Income</t>
  </si>
  <si>
    <t>add: Depreciation</t>
  </si>
  <si>
    <t>subtract: Tax impact on stock compensation expense</t>
  </si>
  <si>
    <t>Accumulated other comprehensive Income/(loss)</t>
  </si>
  <si>
    <t>Sequential Growth</t>
  </si>
  <si>
    <t>Year-Over-Year Growth</t>
  </si>
  <si>
    <t>% of revenue</t>
  </si>
  <si>
    <t>Adjusted Net Income</t>
  </si>
  <si>
    <t>Adjusted Net Income Margin</t>
  </si>
  <si>
    <t>Adjusted Diluted earnings per share</t>
  </si>
  <si>
    <t>Non-controlling Interest</t>
  </si>
  <si>
    <t>Payment of debt issuance cost</t>
  </si>
  <si>
    <t>Proceeds from issuance of common stock from public offering, net of issuance costs</t>
  </si>
  <si>
    <t>Gain on bargain purchase</t>
  </si>
  <si>
    <t>Rest of world</t>
  </si>
  <si>
    <t>U.K. pound sterling / U.S. dollar</t>
  </si>
  <si>
    <t>Philippine peso / U.S. dollar</t>
  </si>
  <si>
    <t>Indian rupee / U.S. dollar</t>
  </si>
  <si>
    <t>Exchange Rates (average of month end exchange rates)</t>
  </si>
  <si>
    <t xml:space="preserve">    Q/Q Appreciation / (Depreciation)</t>
  </si>
  <si>
    <t xml:space="preserve">    Y/Y Appreciation / (Depreciation)</t>
  </si>
  <si>
    <t>Y/Y revenue growth</t>
  </si>
  <si>
    <t>Travel, Transportation and Logistics</t>
  </si>
  <si>
    <t>Loss on sale of business unit</t>
  </si>
  <si>
    <t>Healthcare</t>
  </si>
  <si>
    <t>Insurance</t>
  </si>
  <si>
    <t>add: Reimbursement of transition and disentanglement costs</t>
  </si>
  <si>
    <t>Adjusted Revenues</t>
  </si>
  <si>
    <t>Proceeds from long-term borrowings</t>
  </si>
  <si>
    <t>Cash received from non-controlling interest shareholders</t>
  </si>
  <si>
    <t>Operations Management</t>
  </si>
  <si>
    <t>Analytics and Business Transformation</t>
  </si>
  <si>
    <t xml:space="preserve">Y/Y constant currency revenue growth % </t>
  </si>
  <si>
    <t>Q01</t>
  </si>
  <si>
    <t>Q02</t>
  </si>
  <si>
    <t>Q03</t>
  </si>
  <si>
    <t xml:space="preserve">    Q/Q (Appreciation) / Depreciation</t>
  </si>
  <si>
    <t xml:space="preserve">    Y/Y (Appreciation) / Depreciation</t>
  </si>
  <si>
    <t>Q04</t>
  </si>
  <si>
    <t>Finance &amp; Accounting</t>
  </si>
  <si>
    <t>All Other</t>
  </si>
  <si>
    <t>Revenues and Margins</t>
  </si>
  <si>
    <t xml:space="preserve">Attrition </t>
  </si>
  <si>
    <t>For example, Insurance will include BPM, Finance and Accounting, Analytics and Consulting work.</t>
  </si>
  <si>
    <t>Business acquisition (net of cash acquired)</t>
  </si>
  <si>
    <t xml:space="preserve"> </t>
  </si>
  <si>
    <t>Revised</t>
  </si>
  <si>
    <t>Accounts receivable, net</t>
  </si>
  <si>
    <t>Advance income tax, net</t>
  </si>
  <si>
    <t>Property and equipment, net</t>
  </si>
  <si>
    <t>Deferred taxes, net</t>
  </si>
  <si>
    <t>Investment in equity affiliate</t>
  </si>
  <si>
    <t>Current portion of long-term borrowings</t>
  </si>
  <si>
    <t>Deferred income tax (benefit)/expense</t>
  </si>
  <si>
    <t>Excess tax benefit from stock-based compensation</t>
  </si>
  <si>
    <t>Purchase of property and equipment</t>
  </si>
  <si>
    <t>Proceeds from borrowings</t>
  </si>
  <si>
    <t>Repayment of borrowings</t>
  </si>
  <si>
    <t>add: Amortization of acquisition-related intangibles</t>
  </si>
  <si>
    <t>add: Stock-based compensation expense</t>
  </si>
  <si>
    <t>subtract: Tax impact on amortization of acquisition-related intangibles</t>
  </si>
  <si>
    <t>Less: Shares held in treasury</t>
  </si>
  <si>
    <t>FY 17</t>
  </si>
  <si>
    <r>
      <t>Q2 2017</t>
    </r>
    <r>
      <rPr>
        <b/>
        <vertAlign val="superscript"/>
        <sz val="10"/>
        <rFont val="Arial"/>
        <family val="2"/>
      </rPr>
      <t>(1)</t>
    </r>
  </si>
  <si>
    <r>
      <t>Q1 2017</t>
    </r>
    <r>
      <rPr>
        <b/>
        <vertAlign val="superscript"/>
        <sz val="10"/>
        <rFont val="Arial"/>
        <family val="2"/>
      </rPr>
      <t>(1)</t>
    </r>
  </si>
  <si>
    <r>
      <t>Q3 2017</t>
    </r>
    <r>
      <rPr>
        <b/>
        <vertAlign val="superscript"/>
        <sz val="10"/>
        <rFont val="Arial"/>
        <family val="2"/>
      </rPr>
      <t>(1)</t>
    </r>
  </si>
  <si>
    <r>
      <t>Q4 2017</t>
    </r>
    <r>
      <rPr>
        <b/>
        <vertAlign val="superscript"/>
        <sz val="10"/>
        <rFont val="Arial"/>
        <family val="2"/>
      </rPr>
      <t>(1)</t>
    </r>
  </si>
  <si>
    <r>
      <t>FY 2017</t>
    </r>
    <r>
      <rPr>
        <b/>
        <vertAlign val="superscript"/>
        <sz val="10"/>
        <rFont val="Arial"/>
        <family val="2"/>
      </rPr>
      <t>(1)</t>
    </r>
  </si>
  <si>
    <t>add: Acquisition-related expenses</t>
  </si>
  <si>
    <t>Proceeds from convertible notes</t>
  </si>
  <si>
    <t>Impairment charges</t>
  </si>
  <si>
    <t>add: Non-cash interest expense related to convertible senior notes</t>
  </si>
  <si>
    <t>subtract: Tax impact non-cash interest expense related to convertible senior notes</t>
  </si>
  <si>
    <t>Amortization of non-cash interest expense related to convertible senior notes</t>
  </si>
  <si>
    <t>Net Cash Flows from Investing activities</t>
  </si>
  <si>
    <t>add/(subtract): Effect of Tax Reform Act and other one-time tax expenses/(benefits)</t>
  </si>
  <si>
    <t>Current portion of operating lease liabilities</t>
  </si>
  <si>
    <t>Operating lease liabilities, less current portion</t>
  </si>
  <si>
    <t>add: Impairment of acquisition-related intangibles, goodwill and long-lived assets and restructuring costs</t>
  </si>
  <si>
    <t>subtract: Tax impact on impairment of long lived assets and acquisition-related goodwill and intangibles and restructuring costs</t>
  </si>
  <si>
    <t>Impairment and restructuring charges</t>
  </si>
  <si>
    <t>add: Impairment of acquisition-related intangibles, goodwill and long-lived assets and restructuring charges</t>
  </si>
  <si>
    <t>Payment for purchase of non-controlling interest</t>
  </si>
  <si>
    <t>Amortization of operating lease right-of-use assets</t>
  </si>
  <si>
    <t>Operating lease liabilities</t>
  </si>
  <si>
    <t>Long-term borrowings, less current portion</t>
  </si>
  <si>
    <t>Finance lease liabilities, less current portion</t>
  </si>
  <si>
    <t>Depreciation and amortization expense</t>
  </si>
  <si>
    <t>Operating lease right-of-use assets</t>
  </si>
  <si>
    <t>Income taxes payable, net</t>
  </si>
  <si>
    <t>Deferred tax assets, net</t>
  </si>
  <si>
    <t>Intangible assets, net</t>
  </si>
  <si>
    <t>Deferred tax liabilities, net</t>
  </si>
  <si>
    <t>FY 19</t>
  </si>
  <si>
    <t>Emerging Business</t>
  </si>
  <si>
    <t>FY 18</t>
  </si>
  <si>
    <t xml:space="preserve">Seat Utilization </t>
  </si>
  <si>
    <t>Client Concentration</t>
  </si>
  <si>
    <t xml:space="preserve">Analytics </t>
  </si>
  <si>
    <r>
      <t xml:space="preserve">Revised </t>
    </r>
    <r>
      <rPr>
        <b/>
        <vertAlign val="superscript"/>
        <sz val="16"/>
        <color theme="1"/>
        <rFont val="Calibri"/>
        <family val="2"/>
        <scheme val="minor"/>
      </rPr>
      <t xml:space="preserve">(1) </t>
    </r>
  </si>
  <si>
    <r>
      <t xml:space="preserve">Revised </t>
    </r>
    <r>
      <rPr>
        <b/>
        <vertAlign val="superscript"/>
        <sz val="16"/>
        <color theme="1"/>
        <rFont val="Calibri"/>
        <family val="2"/>
        <scheme val="minor"/>
      </rPr>
      <t>(1)</t>
    </r>
  </si>
  <si>
    <t>Insurance, Healthcare, Emerging Business and Analytics.</t>
  </si>
  <si>
    <t xml:space="preserve">     Refer Form 10-K for the fiscal year ended December 31, 2018 for details.</t>
  </si>
  <si>
    <r>
      <t>Q1</t>
    </r>
    <r>
      <rPr>
        <b/>
        <vertAlign val="superscript"/>
        <sz val="10"/>
        <rFont val="Arial"/>
        <family val="2"/>
      </rPr>
      <t>(b)</t>
    </r>
  </si>
  <si>
    <r>
      <t>Q2</t>
    </r>
    <r>
      <rPr>
        <b/>
        <vertAlign val="superscript"/>
        <sz val="10"/>
        <rFont val="Arial"/>
        <family val="2"/>
      </rPr>
      <t>(b)(c)</t>
    </r>
  </si>
  <si>
    <r>
      <t>Q3</t>
    </r>
    <r>
      <rPr>
        <b/>
        <vertAlign val="superscript"/>
        <sz val="10"/>
        <rFont val="Arial"/>
        <family val="2"/>
      </rPr>
      <t>(b)(c)</t>
    </r>
  </si>
  <si>
    <r>
      <t>Q4</t>
    </r>
    <r>
      <rPr>
        <b/>
        <vertAlign val="superscript"/>
        <sz val="10"/>
        <rFont val="Arial"/>
        <family val="2"/>
      </rPr>
      <t>(b)(c)</t>
    </r>
  </si>
  <si>
    <t>(a) Per share amounts may not foot due to rounding.</t>
  </si>
  <si>
    <t>(1) Effective from January 1, 2017, On January 1, 2018, The Company adopted the guidance in ASU 2016-18 "Statement of Cash Flows". Refer Form 10-K for the fiscal year ended December 31, 2018 for details.</t>
  </si>
  <si>
    <t>Unrealized (gain) on short term investments</t>
  </si>
  <si>
    <t>add/(subtract): Tax impact on other non-recurring (benefits)/expense</t>
  </si>
  <si>
    <t>add/(subtract): Non-recurring tax expense/(benefits)</t>
  </si>
  <si>
    <r>
      <t>NA</t>
    </r>
    <r>
      <rPr>
        <b/>
        <vertAlign val="superscript"/>
        <sz val="10"/>
        <rFont val="Arial"/>
        <family val="2"/>
      </rPr>
      <t>(1)</t>
    </r>
  </si>
  <si>
    <t>Proceeds from sale of property and equipment</t>
  </si>
  <si>
    <t>b</t>
  </si>
  <si>
    <r>
      <t>Q1</t>
    </r>
    <r>
      <rPr>
        <b/>
        <vertAlign val="superscript"/>
        <sz val="10"/>
        <rFont val="Arial"/>
        <family val="2"/>
      </rPr>
      <t>(c)</t>
    </r>
  </si>
  <si>
    <t>(b) On January 1, 2018, the Company adopted ASU 2017-07, Compensation-Retirement Benefits (Topic 715), Improving the Presentation of Net Periodic Pension Cost and Net Periodic Post Retirement Benefit Cost. This was retrospectively effective from January 1, 2017.</t>
  </si>
  <si>
    <t>FY 20</t>
  </si>
  <si>
    <r>
      <t>Earnings/(loss)  per share</t>
    </r>
    <r>
      <rPr>
        <vertAlign val="superscript"/>
        <sz val="10"/>
        <rFont val="Arial"/>
        <family val="2"/>
      </rPr>
      <t xml:space="preserve"> (a)</t>
    </r>
  </si>
  <si>
    <t>(1) Due to country wide lockdowns, we moved to the “Work from home” operational model in second half of March 2020 for most of our business.</t>
  </si>
  <si>
    <t>Allowance for expected credit losses</t>
  </si>
  <si>
    <t>Others, net</t>
  </si>
  <si>
    <t xml:space="preserve">add/(subtract): Other non-recurring (benefits)/expense </t>
  </si>
  <si>
    <t>Loss / (Gain) from equity-method investment</t>
  </si>
  <si>
    <t>Principal payments on finance lease obligations</t>
  </si>
  <si>
    <t>Loss on settlement of convertible senior notes</t>
  </si>
  <si>
    <t>Loss on settlement of convertible notes</t>
  </si>
  <si>
    <t>add: Loss on settlement of convertible senior notes</t>
  </si>
  <si>
    <t>subtract: Tax impact on settlement of convertible senior notes</t>
  </si>
  <si>
    <t>FY 21</t>
  </si>
  <si>
    <t>(Loss)/Gain from equity-method investment</t>
  </si>
  <si>
    <t xml:space="preserve">add/(subtract): Other (benefits)/expense </t>
  </si>
  <si>
    <t>add/(subtract): Tax impact on other (benefits)/expense</t>
  </si>
  <si>
    <t>subtract: One-time tax expenses/(benefits)</t>
  </si>
  <si>
    <r>
      <t>2020</t>
    </r>
    <r>
      <rPr>
        <b/>
        <vertAlign val="superscript"/>
        <sz val="16"/>
        <rFont val="Calibri"/>
        <family val="2"/>
        <scheme val="minor"/>
      </rPr>
      <t>(1)</t>
    </r>
  </si>
  <si>
    <t>(1) Effective January 1, 2020, the Company made certain operational and structural changes to more closely integrate its businesses and to simplify its organizational structure and accordingly new reportable segments are as follows</t>
  </si>
  <si>
    <r>
      <t xml:space="preserve">Revenue by Industry </t>
    </r>
    <r>
      <rPr>
        <b/>
        <vertAlign val="superscript"/>
        <sz val="16"/>
        <color indexed="8"/>
        <rFont val="Arial"/>
        <family val="2"/>
      </rPr>
      <t>(2)</t>
    </r>
  </si>
  <si>
    <t xml:space="preserve">(2)  Revenue by Industry includes all solutions offered by EXL for each vertical listed.  </t>
  </si>
  <si>
    <t>and non-recurring benefits pertaining to successful acquisitions from its non-GAAP financial measures and effects of lease terminations. The previously reported periods presented have been adjusted with the effects of exclusion.</t>
  </si>
  <si>
    <t>Digital Operations and Solutions</t>
  </si>
  <si>
    <r>
      <t>2021</t>
    </r>
    <r>
      <rPr>
        <b/>
        <vertAlign val="superscript"/>
        <sz val="16"/>
        <rFont val="Calibri"/>
        <family val="2"/>
        <scheme val="minor"/>
      </rPr>
      <t>(2)</t>
    </r>
  </si>
  <si>
    <t>(2) The Company's operations management services are a part of its digital operations and solutions and they are referred to as “digital operations and solutions” and sometimes “digital solutions.”</t>
  </si>
  <si>
    <r>
      <t>2022</t>
    </r>
    <r>
      <rPr>
        <b/>
        <vertAlign val="superscript"/>
        <sz val="16"/>
        <rFont val="Calibri"/>
        <family val="2"/>
        <scheme val="minor"/>
      </rPr>
      <t>(2)</t>
    </r>
  </si>
  <si>
    <r>
      <t>FY</t>
    </r>
    <r>
      <rPr>
        <b/>
        <vertAlign val="superscript"/>
        <sz val="10"/>
        <rFont val="Arial"/>
        <family val="2"/>
      </rPr>
      <t>(b)</t>
    </r>
  </si>
  <si>
    <r>
      <t xml:space="preserve">add: Acquisition-related expenses/(income) </t>
    </r>
    <r>
      <rPr>
        <vertAlign val="superscript"/>
        <sz val="10"/>
        <rFont val="Arial"/>
        <family val="2"/>
      </rPr>
      <t>(b)</t>
    </r>
  </si>
  <si>
    <r>
      <t>(b) To exclude</t>
    </r>
    <r>
      <rPr>
        <b/>
        <i/>
        <sz val="9"/>
        <rFont val="Arial"/>
        <family val="2"/>
      </rPr>
      <t xml:space="preserve"> acquisition related expenses</t>
    </r>
    <r>
      <rPr>
        <i/>
        <sz val="9"/>
        <rFont val="Arial"/>
        <family val="2"/>
      </rPr>
      <t>. Effective in the second quarter of 2018 and fourth quarter of 2021, EXL excludes acquisition-related costs such as external deal costs, integration expenses, direct and incremental travel costs,</t>
    </r>
  </si>
  <si>
    <t>NA(1)</t>
  </si>
  <si>
    <t>($ in thousands, except per share amount and share count)</t>
  </si>
  <si>
    <t>add: Provision for litigation settlement</t>
  </si>
  <si>
    <t>add/(subtract): Effects of changes in fair value of contingent consideration</t>
  </si>
  <si>
    <t>subtract: Tax impact on provision for litigation settlement</t>
  </si>
  <si>
    <t>Effects of changes in fair value of contingent consideration</t>
  </si>
  <si>
    <t>ExlService Holdings, Inc. Stockholders’ equity:</t>
  </si>
  <si>
    <t>Long-term investments - Others</t>
  </si>
  <si>
    <t>Long-term investments - Equity affiliate</t>
  </si>
  <si>
    <t>Other current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</si>
</sst>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0.0"/>
    <numFmt numFmtId="168" formatCode="&quot;$&quot;#,##0.0_);\(&quot;$&quot;#,##0.0\)"/>
    <numFmt numFmtId="169" formatCode="_(&quot;$&quot;* #,##0_);_(&quot;$&quot;* \(#,##0\);_(&quot;$&quot;* &quot;-&quot;??_);_(@_)"/>
  </numFmts>
  <fonts count="51" x14ac:knownFonts="1">
    <font>
      <sz val="11"/>
      <color theme="1"/>
      <name val="Calibri"/>
      <family val="2"/>
      <scheme val="minor"/>
    </font>
    <font>
      <sz val="11"/>
      <color indexed="8"/>
      <name val="Calibri"/>
      <family val="2"/>
    </font>
    <font>
      <sz val="10"/>
      <name val="Arial"/>
      <family val="2"/>
    </font>
    <font>
      <b/>
      <sz val="10"/>
      <color indexed="8"/>
      <name val="Arial"/>
      <family val="2"/>
    </font>
    <font>
      <sz val="10"/>
      <color indexed="8"/>
      <name val="Arial"/>
      <family val="2"/>
    </font>
    <font>
      <b/>
      <sz val="10"/>
      <name val="Arial"/>
      <family val="2"/>
    </font>
    <font>
      <sz val="10"/>
      <color indexed="8"/>
      <name val="Arial"/>
      <family val="2"/>
    </font>
    <font>
      <b/>
      <sz val="10"/>
      <color indexed="20"/>
      <name val="Arial"/>
      <family val="2"/>
    </font>
    <font>
      <b/>
      <sz val="10"/>
      <color indexed="0"/>
      <name val="Arial"/>
      <family val="2"/>
    </font>
    <font>
      <sz val="10"/>
      <color indexed="0"/>
      <name val="Arial"/>
      <family val="2"/>
    </font>
    <font>
      <i/>
      <sz val="10"/>
      <name val="Arial"/>
      <family val="2"/>
    </font>
    <font>
      <sz val="10"/>
      <color indexed="28"/>
      <name val="Arial"/>
      <family val="2"/>
    </font>
    <font>
      <b/>
      <sz val="10"/>
      <color indexed="28"/>
      <name val="Arial"/>
      <family val="2"/>
    </font>
    <font>
      <sz val="10"/>
      <color indexed="10"/>
      <name val="Arial"/>
      <family val="2"/>
    </font>
    <font>
      <b/>
      <sz val="12"/>
      <color indexed="8"/>
      <name val="Arial"/>
      <family val="2"/>
    </font>
    <font>
      <sz val="11"/>
      <color indexed="8"/>
      <name val="Calibri"/>
      <family val="2"/>
    </font>
    <font>
      <sz val="8"/>
      <name val="Calibri"/>
      <family val="2"/>
    </font>
    <font>
      <i/>
      <sz val="10"/>
      <color indexed="8"/>
      <name val="Arial"/>
      <family val="2"/>
    </font>
    <font>
      <b/>
      <u/>
      <sz val="10"/>
      <name val="Arial"/>
      <family val="2"/>
    </font>
    <font>
      <u/>
      <sz val="11"/>
      <color theme="10"/>
      <name val="Calibri"/>
      <family val="2"/>
    </font>
    <font>
      <sz val="11"/>
      <color theme="1"/>
      <name val="Calibri"/>
      <family val="2"/>
      <scheme val="minor"/>
    </font>
    <font>
      <sz val="16"/>
      <color indexed="8"/>
      <name val="Arial"/>
      <family val="2"/>
    </font>
    <font>
      <sz val="16"/>
      <name val="Arial"/>
      <family val="2"/>
    </font>
    <font>
      <sz val="16"/>
      <color theme="1"/>
      <name val="Calibri"/>
      <family val="2"/>
      <scheme val="minor"/>
    </font>
    <font>
      <b/>
      <sz val="16"/>
      <name val="Arial"/>
      <family val="2"/>
    </font>
    <font>
      <b/>
      <sz val="16"/>
      <color indexed="8"/>
      <name val="Arial"/>
      <family val="2"/>
    </font>
    <font>
      <sz val="16"/>
      <color rgb="FFFF0000"/>
      <name val="Arial"/>
      <family val="2"/>
    </font>
    <font>
      <b/>
      <sz val="16"/>
      <color theme="1"/>
      <name val="Calibri"/>
      <family val="2"/>
      <scheme val="minor"/>
    </font>
    <font>
      <b/>
      <vertAlign val="superscript"/>
      <sz val="10"/>
      <name val="Arial"/>
      <family val="2"/>
    </font>
    <font>
      <b/>
      <vertAlign val="superscript"/>
      <sz val="16"/>
      <color theme="1"/>
      <name val="Calibri"/>
      <family val="2"/>
      <scheme val="minor"/>
    </font>
    <font>
      <sz val="16"/>
      <color theme="0"/>
      <name val="Calibri"/>
      <family val="2"/>
      <scheme val="minor"/>
    </font>
    <font>
      <sz val="10"/>
      <color rgb="FFFF0000"/>
      <name val="Arial"/>
      <family val="2"/>
    </font>
    <font>
      <sz val="16"/>
      <name val="Calibri"/>
      <family val="2"/>
      <scheme val="minor"/>
    </font>
    <font>
      <b/>
      <sz val="16"/>
      <name val="Calibri"/>
      <family val="2"/>
      <scheme val="minor"/>
    </font>
    <font>
      <b/>
      <vertAlign val="superscript"/>
      <sz val="16"/>
      <name val="Calibri"/>
      <family val="2"/>
      <scheme val="minor"/>
    </font>
    <font>
      <sz val="16"/>
      <color rgb="FFFF0000"/>
      <name val="Calibri"/>
      <family val="2"/>
      <scheme val="minor"/>
    </font>
    <font>
      <b/>
      <vertAlign val="superscript"/>
      <sz val="16"/>
      <color indexed="8"/>
      <name val="Arial"/>
      <family val="2"/>
    </font>
    <font>
      <vertAlign val="superscript"/>
      <sz val="10"/>
      <name val="Arial"/>
      <family val="2"/>
    </font>
    <font>
      <b/>
      <i/>
      <sz val="12"/>
      <color rgb="FFFF0000"/>
      <name val="Arial"/>
      <family val="2"/>
    </font>
    <font>
      <b/>
      <sz val="10"/>
      <color rgb="FFFF0000"/>
      <name val="Arial"/>
      <family val="2"/>
    </font>
    <font>
      <sz val="15"/>
      <color indexed="8"/>
      <name val="Arial"/>
      <family val="2"/>
    </font>
    <font>
      <sz val="9"/>
      <name val="Arial"/>
      <family val="2"/>
    </font>
    <font>
      <b/>
      <sz val="9"/>
      <name val="Arial"/>
      <family val="2"/>
    </font>
    <font>
      <sz val="14"/>
      <color rgb="FFFF0000"/>
      <name val="Calibri"/>
      <family val="2"/>
      <scheme val="minor"/>
    </font>
    <font>
      <b/>
      <i/>
      <sz val="14"/>
      <color rgb="FFFF0000"/>
      <name val="Arial"/>
      <family val="2"/>
    </font>
    <font>
      <b/>
      <i/>
      <sz val="10"/>
      <color rgb="FFFF0000"/>
      <name val="Arial"/>
      <family val="2"/>
    </font>
    <font>
      <sz val="8"/>
      <color indexed="8"/>
      <name val="Arial"/>
      <family val="2"/>
    </font>
    <font>
      <sz val="10"/>
      <color rgb="FFFF0000"/>
      <name val="Calibri"/>
      <family val="2"/>
      <scheme val="minor"/>
    </font>
    <font>
      <b/>
      <sz val="8"/>
      <name val="Arial"/>
      <family val="2"/>
    </font>
    <font>
      <i/>
      <sz val="9"/>
      <name val="Arial"/>
      <family val="2"/>
    </font>
    <font>
      <b/>
      <i/>
      <sz val="9"/>
      <name val="Arial"/>
      <family val="2"/>
    </font>
  </fonts>
  <fills count="10">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s>
  <borders count="1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9">
    <xf numFmtId="0" fontId="0" fillId="0" borderId="0"/>
    <xf numFmtId="0" fontId="2" fillId="0" borderId="0"/>
    <xf numFmtId="43" fontId="1" fillId="0" borderId="0" applyFont="0" applyFill="0" applyBorder="0" applyAlignment="0" applyProtection="0"/>
    <xf numFmtId="43" fontId="15" fillId="0" borderId="0" applyFont="0" applyFill="0" applyBorder="0" applyAlignment="0" applyProtection="0"/>
    <xf numFmtId="0" fontId="19" fillId="0" borderId="0" applyNumberFormat="0" applyFill="0" applyBorder="0" applyAlignment="0" applyProtection="0">
      <alignment vertical="top"/>
      <protection locked="0"/>
    </xf>
    <xf numFmtId="9" fontId="1" fillId="0" borderId="0" applyFont="0" applyFill="0" applyBorder="0" applyAlignment="0" applyProtection="0"/>
    <xf numFmtId="9" fontId="15" fillId="0" borderId="0" applyFont="0" applyFill="0" applyBorder="0" applyAlignment="0" applyProtection="0"/>
    <xf numFmtId="9" fontId="20" fillId="0" borderId="0" applyFont="0" applyFill="0" applyBorder="0" applyAlignment="0" applyProtection="0"/>
    <xf numFmtId="44" fontId="20" fillId="0" borderId="0" applyFont="0" applyFill="0" applyBorder="0" applyAlignment="0" applyProtection="0"/>
  </cellStyleXfs>
  <cellXfs count="426">
    <xf numFmtId="0" fontId="0" fillId="0" borderId="0" xfId="0"/>
    <xf numFmtId="0" fontId="3" fillId="0" borderId="0" xfId="0" applyFont="1" applyBorder="1"/>
    <xf numFmtId="0" fontId="4" fillId="0" borderId="0" xfId="0" applyFont="1"/>
    <xf numFmtId="0" fontId="3" fillId="0" borderId="0" xfId="0" applyFont="1" applyAlignment="1">
      <alignment horizontal="center"/>
    </xf>
    <xf numFmtId="0" fontId="5" fillId="0" borderId="0" xfId="0" applyFont="1" applyAlignment="1">
      <alignment horizontal="center"/>
    </xf>
    <xf numFmtId="0" fontId="6" fillId="0" borderId="0" xfId="0" applyFont="1" applyBorder="1"/>
    <xf numFmtId="0" fontId="3" fillId="0" borderId="0" xfId="0" applyFont="1" applyBorder="1" applyAlignment="1">
      <alignment horizontal="center"/>
    </xf>
    <xf numFmtId="0" fontId="4" fillId="0" borderId="0" xfId="0" applyFont="1" applyAlignment="1">
      <alignment horizontal="center"/>
    </xf>
    <xf numFmtId="0" fontId="3" fillId="0" borderId="0" xfId="0" applyFont="1"/>
    <xf numFmtId="0" fontId="3" fillId="0" borderId="0" xfId="0" applyFont="1" applyAlignment="1">
      <alignment horizontal="left"/>
    </xf>
    <xf numFmtId="9" fontId="2" fillId="0" borderId="0" xfId="5" applyFont="1" applyFill="1" applyBorder="1"/>
    <xf numFmtId="0" fontId="7" fillId="0" borderId="0" xfId="0" applyFont="1"/>
    <xf numFmtId="10" fontId="4" fillId="0" borderId="0" xfId="0" applyNumberFormat="1" applyFont="1"/>
    <xf numFmtId="0" fontId="5" fillId="0" borderId="0" xfId="0" applyFont="1" applyFill="1" applyAlignment="1" applyProtection="1"/>
    <xf numFmtId="0" fontId="8" fillId="0" borderId="0" xfId="0" applyFont="1" applyFill="1" applyAlignment="1" applyProtection="1"/>
    <xf numFmtId="0" fontId="9" fillId="0" borderId="0" xfId="0" applyFont="1" applyFill="1" applyAlignment="1" applyProtection="1">
      <alignment horizontal="left" indent="1"/>
    </xf>
    <xf numFmtId="0" fontId="9" fillId="0" borderId="0" xfId="0" applyFont="1" applyFill="1" applyAlignment="1" applyProtection="1"/>
    <xf numFmtId="0" fontId="9" fillId="0" borderId="0" xfId="0" applyFont="1" applyFill="1" applyAlignment="1" applyProtection="1">
      <alignment horizontal="right"/>
    </xf>
    <xf numFmtId="0" fontId="3" fillId="0" borderId="0" xfId="0" applyFont="1" applyAlignment="1">
      <alignment horizontal="left" wrapText="1"/>
    </xf>
    <xf numFmtId="0" fontId="9" fillId="0" borderId="0" xfId="0" applyFont="1" applyFill="1" applyAlignment="1" applyProtection="1">
      <alignment wrapText="1"/>
    </xf>
    <xf numFmtId="0" fontId="9" fillId="0" borderId="0" xfId="0" applyFont="1" applyFill="1" applyAlignment="1" applyProtection="1">
      <alignment horizontal="left" wrapText="1" indent="1"/>
    </xf>
    <xf numFmtId="0" fontId="8" fillId="0" borderId="0" xfId="0" applyFont="1" applyFill="1" applyAlignment="1" applyProtection="1">
      <alignment wrapText="1"/>
    </xf>
    <xf numFmtId="0" fontId="9" fillId="0" borderId="0" xfId="0" applyFont="1" applyFill="1" applyAlignment="1" applyProtection="1">
      <alignment horizontal="right" wrapText="1"/>
    </xf>
    <xf numFmtId="0" fontId="4" fillId="0" borderId="0" xfId="0" applyFont="1" applyAlignment="1">
      <alignment horizontal="left" wrapText="1"/>
    </xf>
    <xf numFmtId="0" fontId="2" fillId="0" borderId="0" xfId="0" applyFont="1"/>
    <xf numFmtId="0" fontId="5" fillId="0" borderId="0" xfId="0" applyFont="1" applyAlignment="1">
      <alignment horizontal="left"/>
    </xf>
    <xf numFmtId="164" fontId="5" fillId="0" borderId="0" xfId="2" applyNumberFormat="1" applyFont="1"/>
    <xf numFmtId="0" fontId="5" fillId="0" borderId="0" xfId="0" applyFont="1"/>
    <xf numFmtId="164" fontId="2" fillId="0" borderId="0" xfId="2" applyNumberFormat="1" applyFont="1"/>
    <xf numFmtId="5" fontId="2" fillId="0" borderId="0" xfId="2" applyNumberFormat="1" applyFont="1" applyFill="1"/>
    <xf numFmtId="164" fontId="2" fillId="0" borderId="0" xfId="2" applyNumberFormat="1" applyFont="1" applyFill="1"/>
    <xf numFmtId="0" fontId="2" fillId="0" borderId="0" xfId="0" applyFont="1" applyFill="1"/>
    <xf numFmtId="7" fontId="2" fillId="0" borderId="0" xfId="2" applyNumberFormat="1" applyFont="1"/>
    <xf numFmtId="43" fontId="2" fillId="0" borderId="0" xfId="2" applyFont="1"/>
    <xf numFmtId="165" fontId="10" fillId="0" borderId="0" xfId="5" applyNumberFormat="1" applyFont="1"/>
    <xf numFmtId="165" fontId="10" fillId="0" borderId="0" xfId="5" applyNumberFormat="1" applyFont="1" applyAlignment="1">
      <alignment horizontal="right"/>
    </xf>
    <xf numFmtId="0" fontId="9" fillId="0" borderId="0" xfId="0" applyFont="1" applyFill="1" applyAlignment="1" applyProtection="1">
      <alignment horizontal="left" indent="2"/>
    </xf>
    <xf numFmtId="0" fontId="2" fillId="0" borderId="0" xfId="0" applyFont="1" applyFill="1" applyAlignment="1" applyProtection="1"/>
    <xf numFmtId="0" fontId="4" fillId="0" borderId="0" xfId="0" applyFont="1" applyFill="1" applyBorder="1"/>
    <xf numFmtId="0" fontId="11" fillId="0" borderId="0" xfId="0" applyFont="1" applyFill="1" applyBorder="1"/>
    <xf numFmtId="0" fontId="12" fillId="0" borderId="0" xfId="0" applyFont="1" applyFill="1" applyBorder="1"/>
    <xf numFmtId="0" fontId="6" fillId="0" borderId="0" xfId="0" applyFont="1" applyFill="1" applyBorder="1"/>
    <xf numFmtId="5" fontId="5" fillId="2" borderId="1" xfId="2" applyNumberFormat="1" applyFont="1" applyFill="1" applyBorder="1"/>
    <xf numFmtId="0" fontId="8" fillId="0" borderId="1" xfId="0" applyFont="1" applyFill="1" applyBorder="1" applyAlignment="1" applyProtection="1">
      <alignment wrapText="1"/>
    </xf>
    <xf numFmtId="0" fontId="3" fillId="0" borderId="1" xfId="0" applyFont="1" applyBorder="1"/>
    <xf numFmtId="0" fontId="2" fillId="0" borderId="0" xfId="0" applyFont="1" applyFill="1" applyAlignment="1" applyProtection="1">
      <alignment horizontal="left" indent="1"/>
    </xf>
    <xf numFmtId="0" fontId="8" fillId="2" borderId="1" xfId="0" applyFont="1" applyFill="1" applyBorder="1" applyAlignment="1" applyProtection="1">
      <alignment wrapText="1"/>
    </xf>
    <xf numFmtId="0" fontId="3" fillId="2" borderId="1" xfId="0" applyFont="1" applyFill="1" applyBorder="1"/>
    <xf numFmtId="0" fontId="3" fillId="2" borderId="0" xfId="0" applyFont="1" applyFill="1"/>
    <xf numFmtId="0" fontId="5" fillId="0" borderId="0" xfId="0" applyFont="1" applyFill="1" applyBorder="1" applyAlignment="1" applyProtection="1">
      <alignment wrapText="1"/>
    </xf>
    <xf numFmtId="0" fontId="5" fillId="0" borderId="1" xfId="0" applyFont="1" applyFill="1" applyBorder="1" applyAlignment="1" applyProtection="1">
      <alignment horizontal="left" wrapText="1" indent="1"/>
    </xf>
    <xf numFmtId="0" fontId="8" fillId="2" borderId="1" xfId="0" applyFont="1" applyFill="1" applyBorder="1" applyAlignment="1" applyProtection="1"/>
    <xf numFmtId="0" fontId="5" fillId="2" borderId="1" xfId="0" applyFont="1" applyFill="1" applyBorder="1" applyAlignment="1" applyProtection="1"/>
    <xf numFmtId="0" fontId="5" fillId="0" borderId="2" xfId="0" applyFont="1" applyFill="1" applyBorder="1" applyAlignment="1" applyProtection="1"/>
    <xf numFmtId="0" fontId="5" fillId="0" borderId="3" xfId="0" applyFont="1" applyFill="1" applyBorder="1" applyAlignment="1" applyProtection="1"/>
    <xf numFmtId="0" fontId="4" fillId="0" borderId="0" xfId="0" applyFont="1" applyBorder="1"/>
    <xf numFmtId="0" fontId="4" fillId="0" borderId="0" xfId="0" applyFont="1" applyBorder="1" applyAlignment="1">
      <alignment horizontal="center"/>
    </xf>
    <xf numFmtId="37" fontId="2" fillId="0" borderId="0" xfId="2" applyNumberFormat="1" applyFont="1"/>
    <xf numFmtId="0" fontId="5" fillId="2" borderId="4" xfId="1" applyFont="1" applyFill="1" applyBorder="1" applyAlignment="1"/>
    <xf numFmtId="0" fontId="10" fillId="0" borderId="5" xfId="1" applyFont="1" applyFill="1" applyBorder="1" applyAlignment="1">
      <alignment horizontal="left" indent="2"/>
    </xf>
    <xf numFmtId="0" fontId="2" fillId="0" borderId="5" xfId="1" applyFont="1" applyFill="1" applyBorder="1" applyAlignment="1">
      <alignment horizontal="left" indent="1"/>
    </xf>
    <xf numFmtId="0" fontId="5" fillId="0" borderId="5" xfId="1" applyFont="1" applyFill="1" applyBorder="1" applyAlignment="1"/>
    <xf numFmtId="0" fontId="2" fillId="0" borderId="5" xfId="0" applyFont="1" applyBorder="1" applyAlignment="1">
      <alignment horizontal="left" indent="1"/>
    </xf>
    <xf numFmtId="0" fontId="2" fillId="0" borderId="5" xfId="1" applyFont="1" applyFill="1" applyBorder="1" applyAlignment="1"/>
    <xf numFmtId="5" fontId="5" fillId="2" borderId="4" xfId="2" applyNumberFormat="1" applyFont="1" applyFill="1" applyBorder="1"/>
    <xf numFmtId="5" fontId="2" fillId="0" borderId="0" xfId="0" applyNumberFormat="1" applyFont="1"/>
    <xf numFmtId="0" fontId="5" fillId="0" borderId="0" xfId="0" applyFont="1" applyFill="1" applyAlignment="1" applyProtection="1">
      <alignment horizontal="left" wrapText="1" indent="1"/>
    </xf>
    <xf numFmtId="0" fontId="9" fillId="3" borderId="0" xfId="0" applyFont="1" applyFill="1" applyAlignment="1" applyProtection="1">
      <alignment horizontal="left" wrapText="1" indent="2"/>
    </xf>
    <xf numFmtId="0" fontId="9" fillId="3" borderId="0" xfId="0" applyFont="1" applyFill="1" applyAlignment="1" applyProtection="1">
      <alignment horizontal="left" wrapText="1" indent="1"/>
    </xf>
    <xf numFmtId="0" fontId="2" fillId="3" borderId="0" xfId="0" applyFont="1" applyFill="1" applyAlignment="1" applyProtection="1">
      <alignment horizontal="left" wrapText="1" indent="1"/>
    </xf>
    <xf numFmtId="0" fontId="4" fillId="3" borderId="0" xfId="0" applyFont="1" applyFill="1"/>
    <xf numFmtId="0" fontId="9" fillId="3" borderId="0" xfId="0" applyFont="1" applyFill="1" applyAlignment="1" applyProtection="1">
      <alignment wrapText="1"/>
    </xf>
    <xf numFmtId="0" fontId="8" fillId="3" borderId="0" xfId="0" applyFont="1" applyFill="1" applyAlignment="1" applyProtection="1">
      <alignment horizontal="left" wrapText="1" indent="1"/>
    </xf>
    <xf numFmtId="0" fontId="3" fillId="4" borderId="1" xfId="0" applyFont="1" applyFill="1" applyBorder="1"/>
    <xf numFmtId="0" fontId="4" fillId="4" borderId="1" xfId="0" applyFont="1" applyFill="1" applyBorder="1"/>
    <xf numFmtId="164" fontId="2" fillId="0" borderId="6" xfId="2" applyNumberFormat="1" applyFont="1" applyFill="1" applyBorder="1"/>
    <xf numFmtId="16" fontId="3" fillId="0" borderId="0" xfId="0" applyNumberFormat="1" applyFont="1" applyAlignment="1">
      <alignment horizontal="center"/>
    </xf>
    <xf numFmtId="39" fontId="2" fillId="0" borderId="0" xfId="2" applyNumberFormat="1" applyFont="1"/>
    <xf numFmtId="165" fontId="10" fillId="0" borderId="6" xfId="5" applyNumberFormat="1" applyFont="1" applyBorder="1"/>
    <xf numFmtId="164" fontId="5" fillId="4" borderId="1" xfId="2" applyNumberFormat="1" applyFont="1" applyFill="1" applyBorder="1"/>
    <xf numFmtId="0" fontId="4" fillId="0" borderId="0" xfId="0" applyFont="1" applyBorder="1" applyAlignment="1">
      <alignment horizontal="left" indent="1"/>
    </xf>
    <xf numFmtId="0" fontId="3" fillId="0" borderId="0" xfId="0" applyFont="1" applyFill="1" applyBorder="1" applyAlignment="1">
      <alignment horizontal="center"/>
    </xf>
    <xf numFmtId="0" fontId="3" fillId="0" borderId="0" xfId="0" applyFont="1" applyFill="1" applyBorder="1" applyAlignment="1">
      <alignment horizontal="left"/>
    </xf>
    <xf numFmtId="0" fontId="3" fillId="4" borderId="1" xfId="0" applyFont="1" applyFill="1" applyBorder="1" applyAlignment="1">
      <alignment horizontal="center"/>
    </xf>
    <xf numFmtId="0" fontId="3" fillId="4" borderId="1" xfId="0" applyFont="1" applyFill="1" applyBorder="1" applyAlignment="1">
      <alignment horizontal="left"/>
    </xf>
    <xf numFmtId="37" fontId="2" fillId="0" borderId="0" xfId="0" applyNumberFormat="1" applyFont="1"/>
    <xf numFmtId="165" fontId="10" fillId="0" borderId="2" xfId="5" applyNumberFormat="1" applyFont="1" applyBorder="1" applyAlignment="1">
      <alignment horizontal="right"/>
    </xf>
    <xf numFmtId="0" fontId="14" fillId="0" borderId="0" xfId="0" applyFont="1" applyBorder="1" applyAlignment="1">
      <alignment horizontal="center"/>
    </xf>
    <xf numFmtId="0" fontId="2" fillId="0" borderId="5" xfId="1" applyFont="1" applyFill="1" applyBorder="1" applyAlignment="1">
      <alignment horizontal="left" indent="2"/>
    </xf>
    <xf numFmtId="0" fontId="2" fillId="0" borderId="5" xfId="1" applyFont="1" applyFill="1" applyBorder="1" applyAlignment="1">
      <alignment horizontal="left" indent="3"/>
    </xf>
    <xf numFmtId="0" fontId="2" fillId="0" borderId="7" xfId="1" applyFont="1" applyFill="1" applyBorder="1" applyAlignment="1">
      <alignment horizontal="left" indent="1"/>
    </xf>
    <xf numFmtId="0" fontId="5" fillId="0" borderId="5" xfId="1" applyFont="1" applyFill="1" applyBorder="1" applyAlignment="1">
      <alignment horizontal="left" indent="2"/>
    </xf>
    <xf numFmtId="0" fontId="2" fillId="0" borderId="0" xfId="0" applyFont="1" applyBorder="1"/>
    <xf numFmtId="43" fontId="5" fillId="4" borderId="1" xfId="2" applyFont="1" applyFill="1" applyBorder="1"/>
    <xf numFmtId="0" fontId="2" fillId="4" borderId="1" xfId="0" applyFont="1" applyFill="1" applyBorder="1"/>
    <xf numFmtId="9" fontId="2" fillId="0" borderId="0" xfId="5" applyFont="1" applyBorder="1"/>
    <xf numFmtId="165" fontId="5" fillId="4" borderId="1" xfId="0" applyNumberFormat="1" applyFont="1" applyFill="1" applyBorder="1"/>
    <xf numFmtId="0" fontId="2" fillId="0" borderId="0" xfId="0" applyFont="1" applyFill="1" applyBorder="1"/>
    <xf numFmtId="5" fontId="4" fillId="0" borderId="0" xfId="0" applyNumberFormat="1" applyFont="1"/>
    <xf numFmtId="165" fontId="2" fillId="0" borderId="0" xfId="5" applyNumberFormat="1" applyFont="1"/>
    <xf numFmtId="5" fontId="4" fillId="0" borderId="0" xfId="0" applyNumberFormat="1" applyFont="1" applyBorder="1"/>
    <xf numFmtId="165" fontId="10" fillId="0" borderId="0" xfId="5" applyNumberFormat="1" applyFont="1" applyBorder="1" applyAlignment="1">
      <alignment horizontal="right"/>
    </xf>
    <xf numFmtId="164" fontId="2" fillId="0" borderId="0" xfId="2" applyNumberFormat="1" applyFont="1" applyBorder="1" applyAlignment="1">
      <alignment horizontal="right"/>
    </xf>
    <xf numFmtId="164" fontId="5" fillId="2" borderId="1" xfId="2" applyNumberFormat="1" applyFont="1" applyFill="1" applyBorder="1"/>
    <xf numFmtId="165" fontId="10" fillId="0" borderId="0" xfId="5" applyNumberFormat="1" applyFont="1" applyBorder="1"/>
    <xf numFmtId="7" fontId="5" fillId="2" borderId="1" xfId="2" applyNumberFormat="1" applyFont="1" applyFill="1" applyBorder="1"/>
    <xf numFmtId="0" fontId="10" fillId="0" borderId="5" xfId="0" applyFont="1" applyBorder="1" applyAlignment="1">
      <alignment horizontal="left" indent="2"/>
    </xf>
    <xf numFmtId="0" fontId="5" fillId="2" borderId="8" xfId="1" applyFont="1" applyFill="1" applyBorder="1" applyAlignment="1"/>
    <xf numFmtId="0" fontId="10" fillId="0" borderId="7" xfId="1" applyFont="1" applyFill="1" applyBorder="1" applyAlignment="1">
      <alignment horizontal="left" indent="2"/>
    </xf>
    <xf numFmtId="165" fontId="10" fillId="0" borderId="5" xfId="5" applyNumberFormat="1" applyFont="1" applyBorder="1" applyAlignment="1">
      <alignment horizontal="right"/>
    </xf>
    <xf numFmtId="10" fontId="2" fillId="0" borderId="0" xfId="0" applyNumberFormat="1" applyFont="1" applyBorder="1"/>
    <xf numFmtId="0" fontId="5" fillId="0" borderId="0" xfId="0" applyFont="1" applyBorder="1" applyAlignment="1">
      <alignment horizontal="left"/>
    </xf>
    <xf numFmtId="0" fontId="10" fillId="0" borderId="0" xfId="1" applyFont="1" applyFill="1" applyBorder="1" applyAlignment="1">
      <alignment horizontal="left" indent="2"/>
    </xf>
    <xf numFmtId="0" fontId="10" fillId="0" borderId="2" xfId="1" applyFont="1" applyFill="1" applyBorder="1" applyAlignment="1">
      <alignment horizontal="left" indent="2"/>
    </xf>
    <xf numFmtId="164" fontId="4" fillId="0" borderId="0" xfId="3" applyNumberFormat="1" applyFont="1"/>
    <xf numFmtId="5" fontId="3" fillId="2" borderId="1" xfId="3" applyNumberFormat="1" applyFont="1" applyFill="1" applyBorder="1"/>
    <xf numFmtId="5" fontId="4" fillId="0" borderId="0" xfId="3" applyNumberFormat="1" applyFont="1"/>
    <xf numFmtId="5" fontId="3" fillId="0" borderId="1" xfId="3" applyNumberFormat="1" applyFont="1" applyBorder="1"/>
    <xf numFmtId="0" fontId="3" fillId="0" borderId="1" xfId="0" applyFont="1" applyFill="1" applyBorder="1" applyAlignment="1" applyProtection="1">
      <alignment wrapText="1"/>
    </xf>
    <xf numFmtId="164" fontId="4" fillId="0" borderId="0" xfId="3" applyNumberFormat="1" applyFont="1" applyBorder="1"/>
    <xf numFmtId="0" fontId="4" fillId="0" borderId="0" xfId="0" applyFont="1" applyFill="1" applyBorder="1" applyAlignment="1" applyProtection="1">
      <alignment wrapText="1"/>
    </xf>
    <xf numFmtId="37" fontId="4" fillId="0" borderId="0" xfId="3" applyNumberFormat="1" applyFont="1"/>
    <xf numFmtId="37" fontId="4" fillId="3" borderId="0" xfId="3" applyNumberFormat="1" applyFont="1" applyFill="1"/>
    <xf numFmtId="164" fontId="4" fillId="3" borderId="0" xfId="3" applyNumberFormat="1" applyFont="1" applyFill="1"/>
    <xf numFmtId="5" fontId="4" fillId="3" borderId="0" xfId="3" applyNumberFormat="1" applyFont="1" applyFill="1"/>
    <xf numFmtId="43" fontId="4" fillId="3" borderId="0" xfId="3" applyFont="1" applyFill="1"/>
    <xf numFmtId="5" fontId="3" fillId="3" borderId="0" xfId="3" applyNumberFormat="1" applyFont="1" applyFill="1"/>
    <xf numFmtId="164" fontId="3" fillId="3" borderId="0" xfId="3" applyNumberFormat="1" applyFont="1" applyFill="1"/>
    <xf numFmtId="164" fontId="4" fillId="0" borderId="0" xfId="3" applyNumberFormat="1" applyFont="1" applyFill="1" applyBorder="1"/>
    <xf numFmtId="164" fontId="3" fillId="2" borderId="1" xfId="3" applyNumberFormat="1" applyFont="1" applyFill="1" applyBorder="1"/>
    <xf numFmtId="164" fontId="13" fillId="3" borderId="0" xfId="3" applyNumberFormat="1" applyFont="1" applyFill="1"/>
    <xf numFmtId="5" fontId="3" fillId="3" borderId="1" xfId="3" applyNumberFormat="1" applyFont="1" applyFill="1" applyBorder="1"/>
    <xf numFmtId="164" fontId="4" fillId="0" borderId="1" xfId="3" applyNumberFormat="1" applyFont="1" applyBorder="1"/>
    <xf numFmtId="37" fontId="2" fillId="3" borderId="0" xfId="3" applyNumberFormat="1" applyFont="1" applyFill="1"/>
    <xf numFmtId="0" fontId="10" fillId="0" borderId="0" xfId="0" applyFont="1" applyBorder="1"/>
    <xf numFmtId="0" fontId="17" fillId="0" borderId="0" xfId="0" applyFont="1"/>
    <xf numFmtId="167" fontId="2" fillId="0" borderId="0" xfId="0" applyNumberFormat="1" applyFont="1"/>
    <xf numFmtId="9" fontId="10" fillId="0" borderId="0" xfId="5" applyFont="1"/>
    <xf numFmtId="0" fontId="18" fillId="0" borderId="0" xfId="0" applyFont="1"/>
    <xf numFmtId="4" fontId="2" fillId="0" borderId="0" xfId="0" applyNumberFormat="1" applyFont="1"/>
    <xf numFmtId="9" fontId="5" fillId="0" borderId="0" xfId="5" applyFont="1" applyBorder="1"/>
    <xf numFmtId="7" fontId="5" fillId="0" borderId="0" xfId="2" applyNumberFormat="1" applyFont="1"/>
    <xf numFmtId="5" fontId="5" fillId="0" borderId="0" xfId="2" applyNumberFormat="1" applyFont="1" applyFill="1"/>
    <xf numFmtId="165" fontId="10" fillId="0" borderId="0" xfId="5" applyNumberFormat="1" applyFont="1" applyFill="1"/>
    <xf numFmtId="164" fontId="4" fillId="0" borderId="0" xfId="2" applyNumberFormat="1" applyFont="1"/>
    <xf numFmtId="9" fontId="2" fillId="0" borderId="0" xfId="5" applyNumberFormat="1" applyFont="1" applyBorder="1"/>
    <xf numFmtId="165" fontId="10" fillId="0" borderId="2" xfId="5" applyNumberFormat="1" applyFont="1" applyFill="1" applyBorder="1"/>
    <xf numFmtId="0" fontId="19" fillId="0" borderId="0" xfId="4" applyBorder="1" applyAlignment="1" applyProtection="1"/>
    <xf numFmtId="0" fontId="5" fillId="0" borderId="0" xfId="0" applyFont="1" applyBorder="1" applyAlignment="1">
      <alignment horizontal="center" vertical="center"/>
    </xf>
    <xf numFmtId="0" fontId="5" fillId="0" borderId="0" xfId="0" applyFont="1" applyAlignment="1">
      <alignment horizontal="center" vertical="center"/>
    </xf>
    <xf numFmtId="5" fontId="2" fillId="0" borderId="0" xfId="0" applyNumberFormat="1" applyFont="1" applyBorder="1"/>
    <xf numFmtId="0" fontId="5" fillId="0" borderId="0" xfId="0" applyFont="1" applyBorder="1"/>
    <xf numFmtId="164" fontId="4" fillId="0" borderId="0" xfId="2" applyNumberFormat="1" applyFont="1" applyFill="1" applyBorder="1"/>
    <xf numFmtId="0" fontId="5" fillId="0" borderId="0" xfId="0" applyFont="1" applyAlignment="1">
      <alignment horizontal="center"/>
    </xf>
    <xf numFmtId="0" fontId="3" fillId="0" borderId="0" xfId="0" applyFont="1" applyBorder="1" applyAlignment="1">
      <alignment horizontal="right"/>
    </xf>
    <xf numFmtId="0" fontId="21" fillId="0" borderId="0" xfId="0" applyFont="1" applyAlignment="1">
      <alignment horizontal="center"/>
    </xf>
    <xf numFmtId="0" fontId="21" fillId="0" borderId="0" xfId="0" applyFont="1"/>
    <xf numFmtId="0" fontId="22" fillId="0" borderId="0" xfId="0" applyFont="1"/>
    <xf numFmtId="0" fontId="23" fillId="0" borderId="0" xfId="0" applyFont="1"/>
    <xf numFmtId="0" fontId="21" fillId="0" borderId="0" xfId="0" applyFont="1" applyBorder="1" applyAlignment="1">
      <alignment horizontal="center"/>
    </xf>
    <xf numFmtId="0" fontId="21" fillId="0" borderId="0" xfId="0" applyFont="1" applyBorder="1"/>
    <xf numFmtId="0" fontId="24" fillId="0" borderId="0" xfId="0" applyFont="1" applyBorder="1" applyAlignment="1">
      <alignment horizontal="center"/>
    </xf>
    <xf numFmtId="0" fontId="25" fillId="0" borderId="0" xfId="0" applyFont="1" applyBorder="1"/>
    <xf numFmtId="0" fontId="22" fillId="0" borderId="0" xfId="0" applyFont="1" applyBorder="1"/>
    <xf numFmtId="0" fontId="21" fillId="4" borderId="1" xfId="0" applyFont="1" applyFill="1" applyBorder="1" applyAlignment="1">
      <alignment horizontal="center"/>
    </xf>
    <xf numFmtId="0" fontId="25" fillId="4" borderId="1" xfId="0" applyFont="1" applyFill="1" applyBorder="1"/>
    <xf numFmtId="5" fontId="24" fillId="4" borderId="1" xfId="2" applyNumberFormat="1" applyFont="1" applyFill="1" applyBorder="1"/>
    <xf numFmtId="0" fontId="21" fillId="0" borderId="0" xfId="0" applyFont="1" applyBorder="1" applyAlignment="1">
      <alignment horizontal="left" indent="1"/>
    </xf>
    <xf numFmtId="165" fontId="21" fillId="0" borderId="0" xfId="5" applyNumberFormat="1" applyFont="1" applyBorder="1"/>
    <xf numFmtId="165" fontId="22" fillId="0" borderId="0" xfId="5" applyNumberFormat="1" applyFont="1" applyBorder="1"/>
    <xf numFmtId="37" fontId="22" fillId="3" borderId="0" xfId="2" applyNumberFormat="1" applyFont="1" applyFill="1" applyBorder="1"/>
    <xf numFmtId="0" fontId="21" fillId="0" borderId="0" xfId="0" applyFont="1" applyAlignment="1"/>
    <xf numFmtId="0" fontId="25" fillId="4" borderId="0" xfId="0" applyFont="1" applyFill="1" applyBorder="1"/>
    <xf numFmtId="5" fontId="24" fillId="4" borderId="0" xfId="2" applyNumberFormat="1" applyFont="1" applyFill="1" applyBorder="1"/>
    <xf numFmtId="42" fontId="24" fillId="4" borderId="0" xfId="2" applyNumberFormat="1" applyFont="1" applyFill="1" applyBorder="1"/>
    <xf numFmtId="0" fontId="21" fillId="0" borderId="0" xfId="0" applyFont="1" applyAlignment="1">
      <alignment horizontal="left"/>
    </xf>
    <xf numFmtId="165" fontId="21" fillId="0" borderId="0" xfId="5" applyNumberFormat="1" applyFont="1" applyFill="1" applyBorder="1"/>
    <xf numFmtId="165" fontId="22" fillId="0" borderId="0" xfId="5" applyNumberFormat="1" applyFont="1" applyFill="1" applyBorder="1"/>
    <xf numFmtId="0" fontId="22" fillId="4" borderId="1" xfId="0" applyFont="1" applyFill="1" applyBorder="1"/>
    <xf numFmtId="0" fontId="22" fillId="0" borderId="0" xfId="0" applyFont="1" applyBorder="1" applyAlignment="1">
      <alignment horizontal="left" indent="1"/>
    </xf>
    <xf numFmtId="0" fontId="26" fillId="0" borderId="0" xfId="0" applyFont="1" applyBorder="1" applyAlignment="1">
      <alignment horizontal="center"/>
    </xf>
    <xf numFmtId="9" fontId="23" fillId="0" borderId="0" xfId="5" applyNumberFormat="1" applyFont="1"/>
    <xf numFmtId="0" fontId="23" fillId="0" borderId="0" xfId="0" applyFont="1" applyAlignment="1"/>
    <xf numFmtId="164" fontId="2" fillId="0" borderId="0" xfId="0" applyNumberFormat="1" applyFont="1"/>
    <xf numFmtId="0" fontId="4" fillId="0" borderId="0" xfId="0" applyFont="1" applyBorder="1" applyAlignment="1">
      <alignment horizontal="right"/>
    </xf>
    <xf numFmtId="5" fontId="3" fillId="0" borderId="0" xfId="0" applyNumberFormat="1" applyFont="1" applyBorder="1" applyAlignment="1">
      <alignment horizontal="right"/>
    </xf>
    <xf numFmtId="5" fontId="5" fillId="0" borderId="2" xfId="3" applyNumberFormat="1" applyFont="1" applyBorder="1" applyAlignment="1">
      <alignment horizontal="right"/>
    </xf>
    <xf numFmtId="37" fontId="5" fillId="0" borderId="3" xfId="3" applyNumberFormat="1" applyFont="1" applyBorder="1" applyAlignment="1">
      <alignment horizontal="right"/>
    </xf>
    <xf numFmtId="5" fontId="5" fillId="2" borderId="1" xfId="3" applyNumberFormat="1" applyFont="1" applyFill="1" applyBorder="1" applyAlignment="1">
      <alignment horizontal="right"/>
    </xf>
    <xf numFmtId="0" fontId="4" fillId="0" borderId="0" xfId="0" applyFont="1" applyAlignment="1">
      <alignment horizontal="right"/>
    </xf>
    <xf numFmtId="5" fontId="4" fillId="0" borderId="0" xfId="0" applyNumberFormat="1" applyFont="1" applyBorder="1" applyAlignment="1">
      <alignment horizontal="right"/>
    </xf>
    <xf numFmtId="5" fontId="5" fillId="0" borderId="0" xfId="3" applyNumberFormat="1" applyFont="1" applyAlignment="1">
      <alignment horizontal="right"/>
    </xf>
    <xf numFmtId="37" fontId="4" fillId="0" borderId="0" xfId="0" applyNumberFormat="1" applyFont="1" applyAlignment="1">
      <alignment horizontal="right"/>
    </xf>
    <xf numFmtId="37" fontId="2" fillId="0" borderId="0" xfId="3" applyNumberFormat="1" applyFont="1" applyAlignment="1">
      <alignment horizontal="right"/>
    </xf>
    <xf numFmtId="42" fontId="24" fillId="4" borderId="3" xfId="2" applyNumberFormat="1" applyFont="1" applyFill="1" applyBorder="1"/>
    <xf numFmtId="0" fontId="23" fillId="0" borderId="3" xfId="0" applyFont="1" applyBorder="1"/>
    <xf numFmtId="43" fontId="4" fillId="3" borderId="0" xfId="2" applyFont="1" applyFill="1"/>
    <xf numFmtId="43" fontId="4" fillId="0" borderId="0" xfId="2" applyFont="1"/>
    <xf numFmtId="9" fontId="23" fillId="0" borderId="0" xfId="5" applyFont="1"/>
    <xf numFmtId="164" fontId="2" fillId="0" borderId="0" xfId="2" applyNumberFormat="1" applyFont="1" applyFill="1" applyAlignment="1">
      <alignment horizontal="right"/>
    </xf>
    <xf numFmtId="164" fontId="4" fillId="0" borderId="0" xfId="2" applyNumberFormat="1" applyFont="1" applyBorder="1" applyAlignment="1">
      <alignment horizontal="right"/>
    </xf>
    <xf numFmtId="43" fontId="5" fillId="0" borderId="3" xfId="2" applyFont="1" applyBorder="1" applyAlignment="1">
      <alignment horizontal="right"/>
    </xf>
    <xf numFmtId="43" fontId="4" fillId="0" borderId="0" xfId="2" applyFont="1" applyBorder="1"/>
    <xf numFmtId="43" fontId="2" fillId="0" borderId="0" xfId="2" applyFont="1" applyAlignment="1">
      <alignment horizontal="right"/>
    </xf>
    <xf numFmtId="164" fontId="2" fillId="0" borderId="0" xfId="0" applyNumberFormat="1" applyFont="1" applyFill="1"/>
    <xf numFmtId="0" fontId="5" fillId="5" borderId="0" xfId="0" applyFont="1" applyFill="1" applyAlignment="1">
      <alignment horizontal="center"/>
    </xf>
    <xf numFmtId="0" fontId="2" fillId="5" borderId="0" xfId="0" applyFont="1" applyFill="1"/>
    <xf numFmtId="164" fontId="5" fillId="5" borderId="1" xfId="2" applyNumberFormat="1" applyFont="1" applyFill="1" applyBorder="1"/>
    <xf numFmtId="165" fontId="10" fillId="5" borderId="0" xfId="5" applyNumberFormat="1" applyFont="1" applyFill="1"/>
    <xf numFmtId="164" fontId="2" fillId="5" borderId="0" xfId="2" applyNumberFormat="1" applyFont="1" applyFill="1"/>
    <xf numFmtId="9" fontId="2" fillId="5" borderId="0" xfId="5" applyFont="1" applyFill="1"/>
    <xf numFmtId="164" fontId="5" fillId="5" borderId="0" xfId="2" applyNumberFormat="1" applyFont="1" applyFill="1"/>
    <xf numFmtId="5" fontId="5" fillId="5" borderId="1" xfId="2" applyNumberFormat="1" applyFont="1" applyFill="1" applyBorder="1"/>
    <xf numFmtId="5" fontId="2" fillId="5" borderId="0" xfId="2" applyNumberFormat="1" applyFont="1" applyFill="1"/>
    <xf numFmtId="37" fontId="2" fillId="5" borderId="0" xfId="2" applyNumberFormat="1" applyFont="1" applyFill="1"/>
    <xf numFmtId="165" fontId="10" fillId="5" borderId="0" xfId="5" applyNumberFormat="1" applyFont="1" applyFill="1" applyAlignment="1">
      <alignment horizontal="right"/>
    </xf>
    <xf numFmtId="165" fontId="10" fillId="5" borderId="6" xfId="5" applyNumberFormat="1" applyFont="1" applyFill="1" applyBorder="1"/>
    <xf numFmtId="7" fontId="2" fillId="5" borderId="0" xfId="2" applyNumberFormat="1" applyFont="1" applyFill="1"/>
    <xf numFmtId="39" fontId="2" fillId="5" borderId="0" xfId="2" applyNumberFormat="1" applyFont="1" applyFill="1"/>
    <xf numFmtId="7" fontId="5" fillId="5" borderId="0" xfId="2" applyNumberFormat="1" applyFont="1" applyFill="1"/>
    <xf numFmtId="43" fontId="2" fillId="5" borderId="0" xfId="2" applyFont="1" applyFill="1"/>
    <xf numFmtId="164" fontId="2" fillId="5" borderId="6" xfId="2" applyNumberFormat="1" applyFont="1" applyFill="1" applyBorder="1"/>
    <xf numFmtId="164" fontId="2" fillId="5" borderId="0" xfId="2" applyNumberFormat="1" applyFont="1" applyFill="1" applyBorder="1" applyAlignment="1">
      <alignment horizontal="right"/>
    </xf>
    <xf numFmtId="165" fontId="10" fillId="5" borderId="0" xfId="5" applyNumberFormat="1" applyFont="1" applyFill="1" applyBorder="1"/>
    <xf numFmtId="37" fontId="2" fillId="5" borderId="0" xfId="0" applyNumberFormat="1" applyFont="1" applyFill="1"/>
    <xf numFmtId="165" fontId="10" fillId="5" borderId="0" xfId="5" applyNumberFormat="1" applyFont="1" applyFill="1" applyBorder="1" applyAlignment="1">
      <alignment horizontal="right"/>
    </xf>
    <xf numFmtId="166" fontId="2" fillId="5" borderId="0" xfId="2" applyNumberFormat="1" applyFont="1" applyFill="1" applyBorder="1" applyAlignment="1">
      <alignment horizontal="right"/>
    </xf>
    <xf numFmtId="7" fontId="5" fillId="5" borderId="1" xfId="2" applyNumberFormat="1" applyFont="1" applyFill="1" applyBorder="1"/>
    <xf numFmtId="165" fontId="10" fillId="5" borderId="2" xfId="5" applyNumberFormat="1" applyFont="1" applyFill="1" applyBorder="1"/>
    <xf numFmtId="0" fontId="5" fillId="5" borderId="0" xfId="0" applyFont="1" applyFill="1"/>
    <xf numFmtId="5" fontId="5" fillId="5" borderId="0" xfId="2" applyNumberFormat="1" applyFont="1" applyFill="1"/>
    <xf numFmtId="5" fontId="2" fillId="5" borderId="0" xfId="0" applyNumberFormat="1" applyFont="1" applyFill="1"/>
    <xf numFmtId="0" fontId="24" fillId="6" borderId="0" xfId="0" applyFont="1" applyFill="1" applyBorder="1" applyAlignment="1">
      <alignment horizontal="center"/>
    </xf>
    <xf numFmtId="0" fontId="22" fillId="6" borderId="0" xfId="0" applyFont="1" applyFill="1" applyBorder="1"/>
    <xf numFmtId="5" fontId="24" fillId="6" borderId="1" xfId="2" applyNumberFormat="1" applyFont="1" applyFill="1" applyBorder="1"/>
    <xf numFmtId="165" fontId="21" fillId="6" borderId="0" xfId="5" applyNumberFormat="1" applyFont="1" applyFill="1" applyBorder="1"/>
    <xf numFmtId="165" fontId="22" fillId="6" borderId="0" xfId="5" applyNumberFormat="1" applyFont="1" applyFill="1" applyBorder="1"/>
    <xf numFmtId="37" fontId="22" fillId="6" borderId="0" xfId="2" applyNumberFormat="1" applyFont="1" applyFill="1" applyBorder="1"/>
    <xf numFmtId="5" fontId="24" fillId="6" borderId="0" xfId="2" applyNumberFormat="1" applyFont="1" applyFill="1" applyBorder="1"/>
    <xf numFmtId="0" fontId="23" fillId="6" borderId="0" xfId="0" applyFont="1" applyFill="1"/>
    <xf numFmtId="165" fontId="23" fillId="6" borderId="0" xfId="5" applyNumberFormat="1" applyFont="1" applyFill="1"/>
    <xf numFmtId="42" fontId="24" fillId="6" borderId="0" xfId="2" applyNumberFormat="1" applyFont="1" applyFill="1" applyBorder="1"/>
    <xf numFmtId="42" fontId="24" fillId="6" borderId="1" xfId="2" applyNumberFormat="1" applyFont="1" applyFill="1" applyBorder="1"/>
    <xf numFmtId="164" fontId="4" fillId="0" borderId="0" xfId="2" applyNumberFormat="1" applyFont="1" applyFill="1" applyBorder="1" applyAlignment="1">
      <alignment horizontal="right"/>
    </xf>
    <xf numFmtId="164" fontId="4" fillId="0" borderId="0" xfId="2" applyNumberFormat="1" applyFont="1" applyBorder="1"/>
    <xf numFmtId="164" fontId="4" fillId="0" borderId="0" xfId="2" applyNumberFormat="1" applyFont="1" applyAlignment="1">
      <alignment horizontal="right"/>
    </xf>
    <xf numFmtId="5" fontId="22" fillId="6" borderId="0" xfId="0" applyNumberFormat="1" applyFont="1" applyFill="1" applyBorder="1"/>
    <xf numFmtId="9" fontId="22" fillId="6" borderId="0" xfId="0" applyNumberFormat="1" applyFont="1" applyFill="1" applyBorder="1"/>
    <xf numFmtId="9" fontId="23" fillId="6" borderId="0" xfId="5" applyNumberFormat="1" applyFont="1" applyFill="1"/>
    <xf numFmtId="9" fontId="22" fillId="6" borderId="0" xfId="5" applyNumberFormat="1" applyFont="1" applyFill="1" applyBorder="1"/>
    <xf numFmtId="9" fontId="22" fillId="6" borderId="0" xfId="5" applyFont="1" applyFill="1" applyBorder="1"/>
    <xf numFmtId="165" fontId="22" fillId="0" borderId="0" xfId="0" applyNumberFormat="1" applyFont="1" applyFill="1" applyBorder="1"/>
    <xf numFmtId="165" fontId="10" fillId="5" borderId="2" xfId="5" applyNumberFormat="1" applyFont="1" applyFill="1" applyBorder="1" applyAlignment="1">
      <alignment horizontal="right"/>
    </xf>
    <xf numFmtId="0" fontId="4" fillId="0" borderId="0" xfId="0" applyFont="1" applyFill="1"/>
    <xf numFmtId="9" fontId="4" fillId="0" borderId="0" xfId="5" applyNumberFormat="1" applyFont="1" applyBorder="1"/>
    <xf numFmtId="165" fontId="4" fillId="0" borderId="0" xfId="5" applyNumberFormat="1" applyFont="1"/>
    <xf numFmtId="43" fontId="23" fillId="0" borderId="0" xfId="2" applyFont="1"/>
    <xf numFmtId="164" fontId="2" fillId="5" borderId="0" xfId="0" applyNumberFormat="1" applyFont="1" applyFill="1"/>
    <xf numFmtId="0" fontId="30" fillId="0" borderId="0" xfId="0" applyFont="1" applyFill="1"/>
    <xf numFmtId="164" fontId="30" fillId="0" borderId="0" xfId="2" applyNumberFormat="1" applyFont="1" applyFill="1"/>
    <xf numFmtId="43" fontId="2" fillId="0" borderId="0" xfId="0" applyNumberFormat="1" applyFont="1" applyFill="1"/>
    <xf numFmtId="16" fontId="5" fillId="5" borderId="0" xfId="0" applyNumberFormat="1" applyFont="1" applyFill="1" applyAlignment="1">
      <alignment horizontal="center" wrapText="1"/>
    </xf>
    <xf numFmtId="0" fontId="5" fillId="5" borderId="0" xfId="0" applyFont="1" applyFill="1" applyBorder="1"/>
    <xf numFmtId="0" fontId="2" fillId="5" borderId="0" xfId="0" applyFont="1" applyFill="1" applyBorder="1"/>
    <xf numFmtId="5" fontId="5" fillId="5" borderId="0" xfId="3" applyNumberFormat="1" applyFont="1" applyFill="1"/>
    <xf numFmtId="37" fontId="2" fillId="5" borderId="0" xfId="3" applyNumberFormat="1" applyFont="1" applyFill="1"/>
    <xf numFmtId="5" fontId="2" fillId="5" borderId="0" xfId="3" applyNumberFormat="1" applyFont="1" applyFill="1"/>
    <xf numFmtId="5" fontId="5" fillId="5" borderId="2" xfId="3" applyNumberFormat="1" applyFont="1" applyFill="1" applyBorder="1"/>
    <xf numFmtId="43" fontId="5" fillId="5" borderId="3" xfId="2" applyFont="1" applyFill="1" applyBorder="1"/>
    <xf numFmtId="5" fontId="5" fillId="5" borderId="1" xfId="3" applyNumberFormat="1" applyFont="1" applyFill="1" applyBorder="1"/>
    <xf numFmtId="5" fontId="2" fillId="5" borderId="0" xfId="0" applyNumberFormat="1" applyFont="1" applyFill="1" applyBorder="1"/>
    <xf numFmtId="37" fontId="5" fillId="5" borderId="3" xfId="3" applyNumberFormat="1" applyFont="1" applyFill="1" applyBorder="1"/>
    <xf numFmtId="5" fontId="4" fillId="5" borderId="0" xfId="0" applyNumberFormat="1" applyFont="1" applyFill="1" applyBorder="1"/>
    <xf numFmtId="9" fontId="4" fillId="0" borderId="0" xfId="5" applyFont="1" applyBorder="1"/>
    <xf numFmtId="165" fontId="2" fillId="0" borderId="0" xfId="5" applyNumberFormat="1" applyFont="1" applyBorder="1"/>
    <xf numFmtId="7" fontId="5" fillId="2" borderId="1" xfId="2" applyNumberFormat="1" applyFont="1" applyFill="1" applyBorder="1" applyAlignment="1">
      <alignment horizontal="right"/>
    </xf>
    <xf numFmtId="5" fontId="23" fillId="0" borderId="0" xfId="0" applyNumberFormat="1" applyFont="1"/>
    <xf numFmtId="164" fontId="2" fillId="0" borderId="0" xfId="2" applyNumberFormat="1" applyFont="1" applyFill="1" applyBorder="1" applyAlignment="1">
      <alignment horizontal="right"/>
    </xf>
    <xf numFmtId="164" fontId="4" fillId="0" borderId="0" xfId="2" quotePrefix="1" applyNumberFormat="1" applyFont="1"/>
    <xf numFmtId="0" fontId="31" fillId="0" borderId="0" xfId="0" applyFont="1" applyBorder="1"/>
    <xf numFmtId="5" fontId="2" fillId="7" borderId="0" xfId="0" applyNumberFormat="1" applyFont="1" applyFill="1" applyBorder="1"/>
    <xf numFmtId="0" fontId="5" fillId="0" borderId="0" xfId="0" applyFont="1" applyBorder="1" applyAlignment="1">
      <alignment horizontal="center"/>
    </xf>
    <xf numFmtId="164" fontId="2" fillId="7" borderId="0" xfId="2" applyNumberFormat="1" applyFont="1" applyFill="1" applyBorder="1"/>
    <xf numFmtId="5" fontId="5" fillId="7" borderId="0" xfId="0" applyNumberFormat="1" applyFont="1" applyFill="1" applyBorder="1"/>
    <xf numFmtId="164" fontId="22" fillId="0" borderId="0" xfId="2" applyNumberFormat="1" applyFont="1" applyBorder="1"/>
    <xf numFmtId="164" fontId="23" fillId="0" borderId="0" xfId="2" applyNumberFormat="1" applyFont="1"/>
    <xf numFmtId="9" fontId="32" fillId="0" borderId="0" xfId="5" applyNumberFormat="1" applyFont="1"/>
    <xf numFmtId="9" fontId="32" fillId="0" borderId="0" xfId="5" applyFont="1"/>
    <xf numFmtId="43" fontId="10" fillId="0" borderId="0" xfId="2" applyFont="1"/>
    <xf numFmtId="164" fontId="10" fillId="0" borderId="0" xfId="2" applyNumberFormat="1" applyFont="1"/>
    <xf numFmtId="43" fontId="10" fillId="5" borderId="0" xfId="2" applyFont="1" applyFill="1"/>
    <xf numFmtId="43" fontId="2" fillId="3" borderId="0" xfId="2" applyFont="1" applyFill="1"/>
    <xf numFmtId="164" fontId="4" fillId="3" borderId="0" xfId="2" applyNumberFormat="1" applyFont="1" applyFill="1"/>
    <xf numFmtId="0" fontId="21" fillId="0" borderId="0" xfId="0" applyFont="1" applyBorder="1" applyAlignment="1">
      <alignment horizontal="center" vertical="center"/>
    </xf>
    <xf numFmtId="0" fontId="21" fillId="0" borderId="0" xfId="0" applyFont="1" applyBorder="1" applyAlignment="1">
      <alignment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0" fontId="23" fillId="0" borderId="0" xfId="0" applyFont="1" applyAlignment="1">
      <alignment vertical="center"/>
    </xf>
    <xf numFmtId="165" fontId="10" fillId="0" borderId="0" xfId="5" applyNumberFormat="1" applyFont="1" applyFill="1" applyBorder="1" applyAlignment="1">
      <alignment horizontal="right"/>
    </xf>
    <xf numFmtId="165" fontId="23" fillId="0" borderId="3" xfId="5" applyNumberFormat="1" applyFont="1" applyBorder="1"/>
    <xf numFmtId="4" fontId="2" fillId="0" borderId="0" xfId="0" applyNumberFormat="1" applyFont="1" applyFill="1"/>
    <xf numFmtId="165" fontId="4" fillId="0" borderId="0" xfId="5" applyNumberFormat="1" applyFont="1" applyFill="1"/>
    <xf numFmtId="165" fontId="2" fillId="0" borderId="0" xfId="5" applyNumberFormat="1" applyFont="1" applyFill="1"/>
    <xf numFmtId="0" fontId="2" fillId="0" borderId="5" xfId="0" applyFont="1" applyBorder="1" applyAlignment="1">
      <alignment horizontal="left" wrapText="1" indent="1"/>
    </xf>
    <xf numFmtId="164" fontId="2" fillId="0" borderId="0" xfId="2" applyNumberFormat="1" applyFont="1" applyBorder="1" applyAlignment="1">
      <alignment horizontal="right" vertical="center"/>
    </xf>
    <xf numFmtId="164" fontId="2" fillId="5" borderId="0" xfId="2" applyNumberFormat="1" applyFont="1" applyFill="1" applyBorder="1" applyAlignment="1">
      <alignment horizontal="right" vertical="center"/>
    </xf>
    <xf numFmtId="164" fontId="2" fillId="5" borderId="0" xfId="2" applyNumberFormat="1" applyFont="1" applyFill="1" applyAlignment="1">
      <alignment vertical="center"/>
    </xf>
    <xf numFmtId="164" fontId="2" fillId="0" borderId="0" xfId="2" applyNumberFormat="1" applyFont="1" applyFill="1" applyBorder="1" applyAlignment="1">
      <alignment horizontal="right" vertical="center"/>
    </xf>
    <xf numFmtId="164" fontId="2" fillId="0" borderId="0" xfId="2" applyNumberFormat="1" applyFont="1" applyAlignment="1">
      <alignment vertical="center"/>
    </xf>
    <xf numFmtId="164" fontId="2" fillId="0" borderId="0" xfId="0" applyNumberFormat="1" applyFont="1" applyAlignment="1">
      <alignment vertical="center"/>
    </xf>
    <xf numFmtId="165" fontId="32" fillId="0" borderId="0" xfId="5" applyNumberFormat="1" applyFont="1" applyFill="1"/>
    <xf numFmtId="0" fontId="2" fillId="0" borderId="0" xfId="0" applyFont="1" applyBorder="1" applyAlignment="1">
      <alignment horizontal="right"/>
    </xf>
    <xf numFmtId="0" fontId="2" fillId="0" borderId="0" xfId="0" applyFont="1" applyAlignment="1">
      <alignment horizontal="right"/>
    </xf>
    <xf numFmtId="37" fontId="2" fillId="0" borderId="0" xfId="0" applyNumberFormat="1" applyFont="1" applyAlignment="1">
      <alignment horizontal="right"/>
    </xf>
    <xf numFmtId="164" fontId="2" fillId="0" borderId="0" xfId="2" applyNumberFormat="1" applyFont="1" applyAlignment="1">
      <alignment horizontal="right"/>
    </xf>
    <xf numFmtId="165" fontId="10" fillId="0" borderId="0" xfId="5" applyNumberFormat="1" applyFont="1" applyFill="1" applyBorder="1"/>
    <xf numFmtId="42" fontId="24" fillId="4" borderId="1" xfId="2" applyNumberFormat="1" applyFont="1" applyFill="1" applyBorder="1"/>
    <xf numFmtId="164" fontId="2" fillId="0" borderId="0" xfId="2" applyNumberFormat="1" applyFont="1" applyFill="1" applyBorder="1"/>
    <xf numFmtId="164" fontId="4" fillId="0" borderId="0" xfId="0" applyNumberFormat="1" applyFont="1" applyBorder="1"/>
    <xf numFmtId="164" fontId="4" fillId="0" borderId="0" xfId="0" applyNumberFormat="1" applyFont="1"/>
    <xf numFmtId="2" fontId="2" fillId="0" borderId="0" xfId="0" applyNumberFormat="1" applyFont="1"/>
    <xf numFmtId="164" fontId="5" fillId="0" borderId="2" xfId="3" applyNumberFormat="1" applyFont="1" applyBorder="1" applyAlignment="1">
      <alignment horizontal="right"/>
    </xf>
    <xf numFmtId="5" fontId="22" fillId="0" borderId="0" xfId="0" applyNumberFormat="1" applyFont="1" applyFill="1" applyBorder="1"/>
    <xf numFmtId="43" fontId="4" fillId="0" borderId="0" xfId="0" applyNumberFormat="1" applyFont="1"/>
    <xf numFmtId="0" fontId="33" fillId="0" borderId="12" xfId="0"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Border="1"/>
    <xf numFmtId="5" fontId="5" fillId="0" borderId="0" xfId="0" applyNumberFormat="1" applyFont="1" applyFill="1" applyBorder="1"/>
    <xf numFmtId="5" fontId="2" fillId="0" borderId="0" xfId="0" applyNumberFormat="1" applyFont="1" applyFill="1" applyBorder="1"/>
    <xf numFmtId="5" fontId="5" fillId="0" borderId="2" xfId="3" applyNumberFormat="1" applyFont="1" applyFill="1" applyBorder="1" applyAlignment="1">
      <alignment horizontal="right"/>
    </xf>
    <xf numFmtId="43" fontId="5" fillId="0" borderId="3" xfId="2" applyFont="1" applyFill="1" applyBorder="1" applyAlignment="1">
      <alignment horizontal="right"/>
    </xf>
    <xf numFmtId="0" fontId="2" fillId="0" borderId="0" xfId="0" applyFont="1" applyFill="1" applyBorder="1" applyAlignment="1">
      <alignment horizontal="right"/>
    </xf>
    <xf numFmtId="164" fontId="5" fillId="0" borderId="2" xfId="3" applyNumberFormat="1" applyFont="1" applyFill="1" applyBorder="1" applyAlignment="1">
      <alignment horizontal="right"/>
    </xf>
    <xf numFmtId="37" fontId="5" fillId="0" borderId="3" xfId="3" applyNumberFormat="1" applyFont="1" applyFill="1" applyBorder="1" applyAlignment="1">
      <alignment horizontal="right"/>
    </xf>
    <xf numFmtId="0" fontId="2" fillId="0" borderId="0" xfId="0" applyFont="1" applyFill="1" applyAlignment="1">
      <alignment horizontal="right"/>
    </xf>
    <xf numFmtId="5" fontId="5" fillId="0" borderId="0" xfId="3" applyNumberFormat="1" applyFont="1" applyFill="1" applyAlignment="1">
      <alignment horizontal="right"/>
    </xf>
    <xf numFmtId="37" fontId="2" fillId="0" borderId="0" xfId="0" applyNumberFormat="1" applyFont="1" applyFill="1" applyAlignment="1">
      <alignment horizontal="right"/>
    </xf>
    <xf numFmtId="37" fontId="2" fillId="0" borderId="0" xfId="3" applyNumberFormat="1" applyFont="1" applyFill="1" applyAlignment="1">
      <alignment horizontal="right"/>
    </xf>
    <xf numFmtId="43" fontId="2" fillId="0" borderId="0" xfId="2" applyFont="1" applyFill="1" applyAlignment="1">
      <alignment horizontal="right"/>
    </xf>
    <xf numFmtId="42" fontId="24" fillId="0" borderId="0" xfId="2" applyNumberFormat="1" applyFont="1" applyFill="1" applyBorder="1"/>
    <xf numFmtId="37" fontId="22" fillId="0" borderId="0" xfId="2" applyNumberFormat="1" applyFont="1" applyFill="1" applyBorder="1"/>
    <xf numFmtId="0" fontId="23" fillId="0" borderId="0" xfId="0" applyFont="1" applyFill="1"/>
    <xf numFmtId="164" fontId="24" fillId="4" borderId="1" xfId="2" applyNumberFormat="1" applyFont="1" applyFill="1" applyBorder="1"/>
    <xf numFmtId="43" fontId="35" fillId="0" borderId="0" xfId="2" applyFont="1" applyFill="1"/>
    <xf numFmtId="165" fontId="22" fillId="6" borderId="0" xfId="0" applyNumberFormat="1" applyFont="1" applyFill="1" applyBorder="1"/>
    <xf numFmtId="0" fontId="22" fillId="0" borderId="0" xfId="0" applyFont="1" applyFill="1" applyBorder="1"/>
    <xf numFmtId="164" fontId="23" fillId="0" borderId="0" xfId="0" applyNumberFormat="1" applyFont="1"/>
    <xf numFmtId="37" fontId="2" fillId="0" borderId="0" xfId="2" applyNumberFormat="1" applyFont="1" applyFill="1"/>
    <xf numFmtId="0" fontId="10" fillId="0" borderId="5" xfId="0" applyFont="1" applyFill="1" applyBorder="1" applyAlignment="1">
      <alignment horizontal="left" indent="2"/>
    </xf>
    <xf numFmtId="2" fontId="4" fillId="0" borderId="0" xfId="0" applyNumberFormat="1" applyFont="1"/>
    <xf numFmtId="164" fontId="2" fillId="5" borderId="0" xfId="2" applyNumberFormat="1" applyFont="1" applyFill="1" applyBorder="1"/>
    <xf numFmtId="9" fontId="2" fillId="0" borderId="0" xfId="5" applyNumberFormat="1" applyFont="1" applyFill="1" applyBorder="1"/>
    <xf numFmtId="165" fontId="10" fillId="0" borderId="0" xfId="5" applyNumberFormat="1" applyFont="1" applyFill="1" applyAlignment="1">
      <alignment horizontal="right"/>
    </xf>
    <xf numFmtId="165" fontId="10" fillId="0" borderId="2" xfId="5" applyNumberFormat="1" applyFont="1" applyFill="1" applyBorder="1" applyAlignment="1">
      <alignment horizontal="right"/>
    </xf>
    <xf numFmtId="10" fontId="2" fillId="0" borderId="0" xfId="5" applyNumberFormat="1" applyFont="1" applyBorder="1"/>
    <xf numFmtId="165" fontId="23" fillId="0" borderId="0" xfId="5" applyNumberFormat="1" applyFont="1"/>
    <xf numFmtId="164" fontId="23" fillId="0" borderId="0" xfId="2" applyNumberFormat="1" applyFont="1" applyFill="1"/>
    <xf numFmtId="7" fontId="2" fillId="0" borderId="0" xfId="0" applyNumberFormat="1" applyFont="1"/>
    <xf numFmtId="0" fontId="22" fillId="0" borderId="0" xfId="0" applyFont="1" applyBorder="1" applyAlignment="1">
      <alignment horizontal="right"/>
    </xf>
    <xf numFmtId="165" fontId="22" fillId="6" borderId="0" xfId="0" applyNumberFormat="1" applyFont="1" applyFill="1" applyBorder="1" applyAlignment="1">
      <alignment horizontal="right"/>
    </xf>
    <xf numFmtId="0" fontId="22" fillId="8" borderId="0" xfId="0" applyFont="1" applyFill="1" applyBorder="1" applyAlignment="1">
      <alignment horizontal="left" indent="1"/>
    </xf>
    <xf numFmtId="5" fontId="22" fillId="8" borderId="0" xfId="0" applyNumberFormat="1" applyFont="1" applyFill="1" applyBorder="1"/>
    <xf numFmtId="9" fontId="22" fillId="0" borderId="0" xfId="0" applyNumberFormat="1" applyFont="1" applyFill="1" applyBorder="1"/>
    <xf numFmtId="165" fontId="22" fillId="0" borderId="0" xfId="0" applyNumberFormat="1" applyFont="1" applyFill="1" applyBorder="1" applyAlignment="1">
      <alignment horizontal="right"/>
    </xf>
    <xf numFmtId="164" fontId="22" fillId="8" borderId="0" xfId="0" applyNumberFormat="1" applyFont="1" applyFill="1" applyBorder="1"/>
    <xf numFmtId="164" fontId="4" fillId="0" borderId="0" xfId="0" applyNumberFormat="1" applyFont="1" applyFill="1"/>
    <xf numFmtId="0" fontId="38" fillId="0" borderId="0" xfId="0" applyFont="1"/>
    <xf numFmtId="9" fontId="2" fillId="0" borderId="0" xfId="5" applyNumberFormat="1" applyFont="1"/>
    <xf numFmtId="37" fontId="2" fillId="0" borderId="0" xfId="0" applyNumberFormat="1" applyFont="1" applyBorder="1"/>
    <xf numFmtId="164" fontId="4" fillId="0" borderId="0" xfId="0" applyNumberFormat="1" applyFont="1" applyBorder="1" applyAlignment="1">
      <alignment horizontal="right"/>
    </xf>
    <xf numFmtId="165" fontId="23" fillId="0" borderId="0" xfId="5" applyNumberFormat="1" applyFont="1" applyFill="1"/>
    <xf numFmtId="39" fontId="5" fillId="0" borderId="0" xfId="2" applyNumberFormat="1" applyFont="1" applyFill="1" applyBorder="1"/>
    <xf numFmtId="43" fontId="4" fillId="0" borderId="0" xfId="0" applyNumberFormat="1" applyFont="1" applyFill="1"/>
    <xf numFmtId="0" fontId="9" fillId="0" borderId="0" xfId="0" applyFont="1" applyFill="1" applyAlignment="1" applyProtection="1">
      <alignment horizontal="left" wrapText="1" indent="2"/>
    </xf>
    <xf numFmtId="164" fontId="4" fillId="0" borderId="0" xfId="3" applyNumberFormat="1" applyFont="1" applyFill="1"/>
    <xf numFmtId="164" fontId="4" fillId="0" borderId="0" xfId="2" applyNumberFormat="1" applyFont="1" applyFill="1"/>
    <xf numFmtId="43" fontId="2" fillId="0" borderId="0" xfId="2" applyFont="1" applyFill="1" applyBorder="1" applyAlignment="1">
      <alignment horizontal="right"/>
    </xf>
    <xf numFmtId="43" fontId="2" fillId="0" borderId="0" xfId="2" applyFont="1" applyFill="1"/>
    <xf numFmtId="0" fontId="40" fillId="0" borderId="0" xfId="0" applyFont="1" applyFill="1" applyBorder="1" applyAlignment="1">
      <alignment horizontal="left" indent="1"/>
    </xf>
    <xf numFmtId="0" fontId="40" fillId="0" borderId="0" xfId="0" applyFont="1" applyFill="1" applyAlignment="1">
      <alignment horizontal="left"/>
    </xf>
    <xf numFmtId="0" fontId="40" fillId="0" borderId="0" xfId="0" applyFont="1" applyBorder="1" applyAlignment="1">
      <alignment horizontal="left" indent="1"/>
    </xf>
    <xf numFmtId="2" fontId="5" fillId="4" borderId="1" xfId="2" applyNumberFormat="1" applyFont="1" applyFill="1" applyBorder="1" applyAlignment="1">
      <alignment horizontal="center"/>
    </xf>
    <xf numFmtId="0" fontId="41" fillId="0" borderId="0" xfId="0" applyFont="1"/>
    <xf numFmtId="5" fontId="42" fillId="0" borderId="0" xfId="0" applyNumberFormat="1" applyFont="1"/>
    <xf numFmtId="0" fontId="43" fillId="0" borderId="0" xfId="0" applyFont="1"/>
    <xf numFmtId="0" fontId="44" fillId="0" borderId="0" xfId="0" applyFont="1"/>
    <xf numFmtId="0" fontId="45" fillId="0" borderId="0" xfId="0" applyFont="1"/>
    <xf numFmtId="0" fontId="41" fillId="0" borderId="0" xfId="0" applyFont="1" applyAlignment="1"/>
    <xf numFmtId="0" fontId="46" fillId="0" borderId="0" xfId="0" applyFont="1"/>
    <xf numFmtId="0" fontId="47" fillId="0" borderId="0" xfId="0" applyFont="1"/>
    <xf numFmtId="0" fontId="17" fillId="0" borderId="0" xfId="0" applyFont="1" applyFill="1"/>
    <xf numFmtId="0" fontId="17" fillId="0" borderId="0" xfId="0" applyFont="1" applyFill="1" applyAlignment="1">
      <alignment vertical="center"/>
    </xf>
    <xf numFmtId="0" fontId="48" fillId="0" borderId="0" xfId="0" applyFont="1"/>
    <xf numFmtId="0" fontId="49" fillId="0" borderId="0" xfId="0" applyFont="1" applyBorder="1"/>
    <xf numFmtId="43" fontId="0" fillId="0" borderId="0" xfId="0" applyNumberFormat="1"/>
    <xf numFmtId="168" fontId="5" fillId="0" borderId="0" xfId="0" applyNumberFormat="1" applyFont="1"/>
    <xf numFmtId="165" fontId="42" fillId="0" borderId="0" xfId="0" applyNumberFormat="1" applyFont="1"/>
    <xf numFmtId="164" fontId="42" fillId="0" borderId="0" xfId="0" applyNumberFormat="1" applyFont="1"/>
    <xf numFmtId="164" fontId="31" fillId="0" borderId="0" xfId="0" applyNumberFormat="1" applyFont="1"/>
    <xf numFmtId="43" fontId="4" fillId="0" borderId="0" xfId="0" applyNumberFormat="1" applyFont="1" applyBorder="1"/>
    <xf numFmtId="169" fontId="35" fillId="0" borderId="0" xfId="8" applyNumberFormat="1" applyFont="1"/>
    <xf numFmtId="165" fontId="23" fillId="0" borderId="0" xfId="0" applyNumberFormat="1" applyFont="1"/>
    <xf numFmtId="42" fontId="23" fillId="0" borderId="0" xfId="0" applyNumberFormat="1" applyFont="1"/>
    <xf numFmtId="9" fontId="23" fillId="0" borderId="0" xfId="0" applyNumberFormat="1" applyFont="1"/>
    <xf numFmtId="7" fontId="4" fillId="0" borderId="0" xfId="0" applyNumberFormat="1" applyFont="1" applyBorder="1"/>
    <xf numFmtId="43" fontId="31" fillId="0" borderId="0" xfId="0" applyNumberFormat="1" applyFont="1" applyBorder="1"/>
    <xf numFmtId="37" fontId="4" fillId="0" borderId="0" xfId="0" applyNumberFormat="1" applyFont="1"/>
    <xf numFmtId="164" fontId="5" fillId="0" borderId="0" xfId="2" applyNumberFormat="1" applyFont="1" applyFill="1" applyBorder="1"/>
    <xf numFmtId="164" fontId="0" fillId="0" borderId="0" xfId="0" applyNumberFormat="1"/>
    <xf numFmtId="37" fontId="5" fillId="0" borderId="0" xfId="2" applyNumberFormat="1" applyFont="1" applyFill="1" applyBorder="1"/>
    <xf numFmtId="0" fontId="39" fillId="0" borderId="0" xfId="0" applyFont="1"/>
    <xf numFmtId="0" fontId="33" fillId="0" borderId="13" xfId="0" applyFont="1" applyFill="1" applyBorder="1" applyAlignment="1">
      <alignment horizontal="center" vertical="center"/>
    </xf>
    <xf numFmtId="0" fontId="38" fillId="0" borderId="0" xfId="0" applyFont="1" applyAlignment="1"/>
    <xf numFmtId="0" fontId="4" fillId="9" borderId="0" xfId="0" applyFont="1" applyFill="1"/>
    <xf numFmtId="0" fontId="31" fillId="0" borderId="0" xfId="0" applyFont="1"/>
    <xf numFmtId="0" fontId="33" fillId="0" borderId="14" xfId="0" applyFont="1" applyFill="1" applyBorder="1" applyAlignment="1">
      <alignment horizontal="center" vertical="center"/>
    </xf>
    <xf numFmtId="0" fontId="41" fillId="0" borderId="0" xfId="0" applyFont="1" applyAlignment="1">
      <alignment horizontal="center" wrapText="1"/>
    </xf>
    <xf numFmtId="0" fontId="24" fillId="0" borderId="9" xfId="0" applyFont="1" applyBorder="1" applyAlignment="1">
      <alignment horizontal="center"/>
    </xf>
    <xf numFmtId="0" fontId="24" fillId="0" borderId="10" xfId="0" applyFont="1" applyBorder="1" applyAlignment="1">
      <alignment horizontal="center"/>
    </xf>
    <xf numFmtId="0" fontId="24" fillId="0" borderId="11" xfId="0" applyFont="1" applyBorder="1" applyAlignment="1">
      <alignment horizont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33" fillId="0" borderId="9"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11" xfId="0" applyFont="1" applyFill="1" applyBorder="1" applyAlignment="1">
      <alignment horizontal="center" vertical="center"/>
    </xf>
  </cellXfs>
  <cellStyles count="9">
    <cellStyle name="%" xfId="1" xr:uid="{00000000-0005-0000-0000-000000000000}"/>
    <cellStyle name="Comma" xfId="2" builtinId="3"/>
    <cellStyle name="Comma 2" xfId="3" xr:uid="{00000000-0005-0000-0000-000002000000}"/>
    <cellStyle name="Currency" xfId="8" builtinId="4"/>
    <cellStyle name="Hyperlink" xfId="4" builtinId="8"/>
    <cellStyle name="Normal" xfId="0" builtinId="0"/>
    <cellStyle name="Percent" xfId="5" builtinId="5"/>
    <cellStyle name="Percent 2" xfId="6" xr:uid="{00000000-0005-0000-0000-000007000000}"/>
    <cellStyle name="Percent 3" xfId="7"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47627</xdr:colOff>
      <xdr:row>0</xdr:row>
      <xdr:rowOff>2</xdr:rowOff>
    </xdr:from>
    <xdr:to>
      <xdr:col>1</xdr:col>
      <xdr:colOff>335758</xdr:colOff>
      <xdr:row>1</xdr:row>
      <xdr:rowOff>366714</xdr:rowOff>
    </xdr:to>
    <xdr:pic>
      <xdr:nvPicPr>
        <xdr:cNvPr id="3" name="Picture 2" descr="cid:image001.png@01D7AA39.D1F7E160">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7" y="2"/>
          <a:ext cx="895350" cy="533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52917</xdr:colOff>
      <xdr:row>0</xdr:row>
      <xdr:rowOff>0</xdr:rowOff>
    </xdr:from>
    <xdr:to>
      <xdr:col>0</xdr:col>
      <xdr:colOff>814917</xdr:colOff>
      <xdr:row>1</xdr:row>
      <xdr:rowOff>222250</xdr:rowOff>
    </xdr:to>
    <xdr:pic>
      <xdr:nvPicPr>
        <xdr:cNvPr id="3" name="Picture 2" descr="cid:image001.png@01D7AA39.D1F7E160">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7" y="0"/>
          <a:ext cx="762000" cy="42333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52917</xdr:colOff>
      <xdr:row>0</xdr:row>
      <xdr:rowOff>0</xdr:rowOff>
    </xdr:from>
    <xdr:to>
      <xdr:col>0</xdr:col>
      <xdr:colOff>836083</xdr:colOff>
      <xdr:row>1</xdr:row>
      <xdr:rowOff>222250</xdr:rowOff>
    </xdr:to>
    <xdr:pic>
      <xdr:nvPicPr>
        <xdr:cNvPr id="4" name="Picture 3" descr="cid:image001.png@01D7AA39.D1F7E160">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7" y="0"/>
          <a:ext cx="783166" cy="381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42333</xdr:colOff>
      <xdr:row>0</xdr:row>
      <xdr:rowOff>0</xdr:rowOff>
    </xdr:from>
    <xdr:to>
      <xdr:col>0</xdr:col>
      <xdr:colOff>654050</xdr:colOff>
      <xdr:row>1</xdr:row>
      <xdr:rowOff>201083</xdr:rowOff>
    </xdr:to>
    <xdr:pic>
      <xdr:nvPicPr>
        <xdr:cNvPr id="3" name="Picture 2" descr="cid:image001.png@01D7AA39.D1F7E160">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3" y="0"/>
          <a:ext cx="611717" cy="35983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784225</xdr:colOff>
      <xdr:row>1</xdr:row>
      <xdr:rowOff>263525</xdr:rowOff>
    </xdr:to>
    <xdr:pic>
      <xdr:nvPicPr>
        <xdr:cNvPr id="5" name="Picture 4" descr="cid:image001.png@01D7AA39.D1F7E160">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895350" cy="5334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0</xdr:row>
      <xdr:rowOff>1</xdr:rowOff>
    </xdr:from>
    <xdr:to>
      <xdr:col>1</xdr:col>
      <xdr:colOff>560917</xdr:colOff>
      <xdr:row>2</xdr:row>
      <xdr:rowOff>31751</xdr:rowOff>
    </xdr:to>
    <xdr:pic>
      <xdr:nvPicPr>
        <xdr:cNvPr id="3" name="Picture 2" descr="cid:image001.png@01D7AA39.D1F7E160">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1"/>
          <a:ext cx="687917" cy="3492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8"/>
  <sheetViews>
    <sheetView showGridLines="0" zoomScale="80" zoomScaleNormal="80" workbookViewId="0">
      <selection activeCell="D9" sqref="D9"/>
    </sheetView>
  </sheetViews>
  <sheetFormatPr defaultColWidth="9.140625" defaultRowHeight="12.75" x14ac:dyDescent="0.2"/>
  <cols>
    <col min="1" max="1" width="9.140625" style="5"/>
    <col min="2" max="2" width="36.42578125" style="5" customWidth="1"/>
    <col min="3" max="16384" width="9.140625" style="5"/>
  </cols>
  <sheetData>
    <row r="1" spans="1:10" s="55" customFormat="1" x14ac:dyDescent="0.2"/>
    <row r="2" spans="1:10" ht="34.5" customHeight="1" x14ac:dyDescent="0.2"/>
    <row r="3" spans="1:10" ht="34.5" customHeight="1" x14ac:dyDescent="0.2"/>
    <row r="4" spans="1:10" ht="15.75" x14ac:dyDescent="0.25">
      <c r="A4" s="87">
        <v>1</v>
      </c>
      <c r="B4" s="147" t="s">
        <v>13</v>
      </c>
    </row>
    <row r="5" spans="1:10" ht="15.75" x14ac:dyDescent="0.25">
      <c r="A5" s="87">
        <v>2</v>
      </c>
      <c r="B5" s="147" t="s">
        <v>14</v>
      </c>
    </row>
    <row r="6" spans="1:10" ht="15.75" x14ac:dyDescent="0.25">
      <c r="A6" s="87">
        <v>3</v>
      </c>
      <c r="B6" s="147" t="s">
        <v>49</v>
      </c>
    </row>
    <row r="7" spans="1:10" ht="15.75" x14ac:dyDescent="0.25">
      <c r="A7" s="87">
        <v>4</v>
      </c>
      <c r="B7" s="147" t="s">
        <v>164</v>
      </c>
    </row>
    <row r="8" spans="1:10" ht="15.75" x14ac:dyDescent="0.25">
      <c r="A8" s="87">
        <v>5</v>
      </c>
      <c r="B8" s="147" t="s">
        <v>57</v>
      </c>
    </row>
    <row r="9" spans="1:10" s="41" customFormat="1" x14ac:dyDescent="0.2">
      <c r="A9" s="39"/>
      <c r="C9" s="39"/>
      <c r="D9" s="39"/>
      <c r="E9" s="39"/>
      <c r="F9" s="39"/>
      <c r="G9" s="39"/>
      <c r="H9" s="39"/>
      <c r="I9" s="39"/>
      <c r="J9" s="39"/>
    </row>
    <row r="10" spans="1:10" x14ac:dyDescent="0.2">
      <c r="A10" s="39"/>
      <c r="B10" s="40"/>
      <c r="C10" s="39"/>
      <c r="D10" s="39"/>
      <c r="E10" s="39"/>
      <c r="F10" s="39"/>
      <c r="G10" s="39"/>
      <c r="H10" s="39"/>
      <c r="I10" s="39"/>
      <c r="J10" s="39"/>
    </row>
    <row r="11" spans="1:10" x14ac:dyDescent="0.2">
      <c r="A11" s="39"/>
      <c r="B11" s="40"/>
      <c r="C11" s="39"/>
      <c r="D11" s="39"/>
      <c r="E11" s="39"/>
      <c r="F11" s="39"/>
      <c r="G11" s="39"/>
      <c r="H11" s="39"/>
      <c r="I11" s="39"/>
      <c r="J11" s="39"/>
    </row>
    <row r="12" spans="1:10" x14ac:dyDescent="0.2">
      <c r="A12" s="39"/>
      <c r="B12" s="40"/>
      <c r="C12" s="39"/>
      <c r="D12" s="39"/>
      <c r="E12" s="39"/>
      <c r="F12" s="39"/>
      <c r="G12" s="39"/>
      <c r="H12" s="39"/>
      <c r="I12" s="39"/>
      <c r="J12" s="39"/>
    </row>
    <row r="13" spans="1:10" x14ac:dyDescent="0.2">
      <c r="A13" s="39"/>
      <c r="B13" s="40"/>
      <c r="C13" s="39"/>
      <c r="D13" s="39"/>
      <c r="E13" s="39"/>
      <c r="F13" s="39"/>
      <c r="G13" s="39"/>
      <c r="H13" s="39"/>
      <c r="I13" s="39"/>
      <c r="J13" s="39"/>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x14ac:dyDescent="0.2">
      <c r="A16" s="39"/>
      <c r="B16" s="39"/>
      <c r="C16" s="39"/>
      <c r="D16" s="39"/>
      <c r="E16" s="39"/>
      <c r="F16" s="39"/>
      <c r="G16" s="39"/>
      <c r="H16" s="39"/>
      <c r="I16" s="39"/>
      <c r="J16" s="39"/>
    </row>
    <row r="17" spans="1:10" x14ac:dyDescent="0.2">
      <c r="A17" s="41"/>
      <c r="B17" s="41"/>
      <c r="C17" s="41"/>
      <c r="D17" s="41"/>
      <c r="E17" s="41"/>
      <c r="F17" s="41"/>
      <c r="G17" s="41"/>
      <c r="H17" s="41"/>
      <c r="I17" s="41"/>
      <c r="J17" s="41"/>
    </row>
    <row r="18" spans="1:10" x14ac:dyDescent="0.2">
      <c r="A18" s="41"/>
      <c r="B18" s="41"/>
      <c r="C18" s="41"/>
      <c r="D18" s="41"/>
      <c r="E18" s="41"/>
      <c r="F18" s="41"/>
      <c r="G18" s="41"/>
      <c r="H18" s="41"/>
      <c r="I18" s="41"/>
      <c r="J18" s="41"/>
    </row>
  </sheetData>
  <hyperlinks>
    <hyperlink ref="B4" location="'Income Statement'!A1" display="Income Statement" xr:uid="{00000000-0004-0000-0000-000000000000}"/>
    <hyperlink ref="B5" location="'Balance Sheet'!A1" display="Balance Sheet" xr:uid="{00000000-0004-0000-0000-000001000000}"/>
    <hyperlink ref="B6" location="Cashflow!A1" display="Cashflow Statement" xr:uid="{00000000-0004-0000-0000-000002000000}"/>
    <hyperlink ref="B8" location="'Other Metrics'!A1" display="Other metrics" xr:uid="{00000000-0004-0000-0000-000003000000}"/>
    <hyperlink ref="B7" location="'Revenues and Margins'!A1" display="Revenues and Margins" xr:uid="{00000000-0004-0000-0000-000004000000}"/>
  </hyperlink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128"/>
  <sheetViews>
    <sheetView showGridLines="0" view="pageBreakPreview" zoomScale="90" zoomScaleNormal="90" zoomScaleSheetLayoutView="90" workbookViewId="0">
      <pane xSplit="5" ySplit="8" topLeftCell="P9" activePane="bottomRight" state="frozen"/>
      <selection pane="topRight" activeCell="F1" sqref="F1"/>
      <selection pane="bottomLeft" activeCell="A9" sqref="A9"/>
      <selection pane="bottomRight" activeCell="A2" sqref="A2"/>
    </sheetView>
  </sheetViews>
  <sheetFormatPr defaultColWidth="9.140625" defaultRowHeight="15" outlineLevelRow="1" outlineLevelCol="1" x14ac:dyDescent="0.25"/>
  <cols>
    <col min="1" max="1" width="75.7109375" style="24" customWidth="1"/>
    <col min="2" max="2" width="11.140625" style="24" hidden="1" customWidth="1" outlineLevel="1"/>
    <col min="3" max="3" width="10.140625" style="24" hidden="1" customWidth="1" outlineLevel="1"/>
    <col min="4" max="4" width="11.42578125" style="24" hidden="1" customWidth="1" outlineLevel="1"/>
    <col min="5" max="5" width="12.85546875" style="24" hidden="1" customWidth="1" outlineLevel="1"/>
    <col min="6" max="6" width="11.42578125" style="24" hidden="1" customWidth="1" collapsed="1"/>
    <col min="7" max="7" width="11.42578125" style="24" hidden="1" customWidth="1" outlineLevel="1"/>
    <col min="8" max="10" width="12.140625" style="24" hidden="1" customWidth="1" outlineLevel="1"/>
    <col min="11" max="11" width="12.140625" style="24" hidden="1" customWidth="1" collapsed="1"/>
    <col min="12" max="15" width="12.140625" style="24" hidden="1" customWidth="1" outlineLevel="1"/>
    <col min="16" max="16" width="12.140625" style="24" customWidth="1" collapsed="1"/>
    <col min="17" max="20" width="12.140625" style="24" hidden="1" customWidth="1" outlineLevel="1"/>
    <col min="21" max="21" width="12.140625" style="24" customWidth="1" collapsed="1"/>
    <col min="22" max="29" width="12.140625" style="24" customWidth="1"/>
    <col min="30" max="30" width="9.140625" customWidth="1"/>
    <col min="31" max="31" width="9.140625" style="24" customWidth="1"/>
    <col min="32" max="32" width="10.5703125" style="382" customWidth="1"/>
    <col min="33" max="16384" width="9.140625" style="24"/>
  </cols>
  <sheetData>
    <row r="1" spans="1:57" ht="15.75" x14ac:dyDescent="0.25">
      <c r="A1" s="92"/>
      <c r="W1" s="366"/>
      <c r="X1" s="366"/>
      <c r="Y1" s="366"/>
      <c r="AC1" s="412"/>
      <c r="AE1" s="386"/>
    </row>
    <row r="2" spans="1:57" ht="30.75" customHeight="1" x14ac:dyDescent="0.25">
      <c r="A2" s="110"/>
      <c r="B2" s="31"/>
      <c r="Z2" s="357"/>
      <c r="AA2" s="357"/>
      <c r="AB2" s="357"/>
      <c r="AC2" s="357"/>
    </row>
    <row r="3" spans="1:57" ht="15" customHeight="1" x14ac:dyDescent="0.25">
      <c r="A3" s="92"/>
      <c r="AF3" s="416"/>
    </row>
    <row r="4" spans="1:57" s="4" customFormat="1" ht="12.75" x14ac:dyDescent="0.2">
      <c r="A4" s="111" t="s">
        <v>13</v>
      </c>
      <c r="B4" s="205">
        <v>2017</v>
      </c>
      <c r="C4" s="205">
        <v>2017</v>
      </c>
      <c r="D4" s="205">
        <v>2017</v>
      </c>
      <c r="E4" s="205">
        <v>2017</v>
      </c>
      <c r="F4" s="205">
        <v>2017</v>
      </c>
      <c r="G4" s="205">
        <v>2018</v>
      </c>
      <c r="H4" s="153">
        <v>2018</v>
      </c>
      <c r="I4" s="153">
        <v>2018</v>
      </c>
      <c r="J4" s="153">
        <v>2018</v>
      </c>
      <c r="K4" s="153">
        <v>2018</v>
      </c>
      <c r="L4" s="153">
        <v>2019</v>
      </c>
      <c r="M4" s="153">
        <v>2019</v>
      </c>
      <c r="N4" s="153">
        <v>2019</v>
      </c>
      <c r="O4" s="153">
        <v>2019</v>
      </c>
      <c r="P4" s="153">
        <v>2019</v>
      </c>
      <c r="Q4" s="153">
        <v>2020</v>
      </c>
      <c r="R4" s="153">
        <v>2020</v>
      </c>
      <c r="S4" s="153">
        <v>2020</v>
      </c>
      <c r="T4" s="153">
        <v>2020</v>
      </c>
      <c r="U4" s="153">
        <v>2020</v>
      </c>
      <c r="V4" s="153">
        <v>2021</v>
      </c>
      <c r="W4" s="153">
        <v>2021</v>
      </c>
      <c r="X4" s="153">
        <v>2021</v>
      </c>
      <c r="Y4" s="153">
        <v>2021</v>
      </c>
      <c r="Z4" s="153">
        <v>2021</v>
      </c>
      <c r="AA4" s="153">
        <v>2022</v>
      </c>
      <c r="AB4" s="153">
        <v>2022</v>
      </c>
      <c r="AC4" s="153">
        <v>2022</v>
      </c>
      <c r="AF4" s="416"/>
    </row>
    <row r="5" spans="1:57" s="4" customFormat="1" ht="15" customHeight="1" x14ac:dyDescent="0.2">
      <c r="A5" s="111" t="s">
        <v>270</v>
      </c>
      <c r="B5" s="205" t="s">
        <v>226</v>
      </c>
      <c r="C5" s="205" t="s">
        <v>227</v>
      </c>
      <c r="D5" s="205" t="s">
        <v>228</v>
      </c>
      <c r="E5" s="205" t="s">
        <v>229</v>
      </c>
      <c r="F5" s="205" t="s">
        <v>266</v>
      </c>
      <c r="G5" s="205" t="s">
        <v>238</v>
      </c>
      <c r="H5" s="153" t="s">
        <v>9</v>
      </c>
      <c r="I5" s="153" t="s">
        <v>10</v>
      </c>
      <c r="J5" s="153" t="s">
        <v>11</v>
      </c>
      <c r="K5" s="153" t="s">
        <v>12</v>
      </c>
      <c r="L5" s="153" t="s">
        <v>8</v>
      </c>
      <c r="M5" s="153" t="s">
        <v>9</v>
      </c>
      <c r="N5" s="153" t="s">
        <v>10</v>
      </c>
      <c r="O5" s="153" t="s">
        <v>11</v>
      </c>
      <c r="P5" s="153" t="s">
        <v>12</v>
      </c>
      <c r="Q5" s="153" t="s">
        <v>8</v>
      </c>
      <c r="R5" s="153" t="s">
        <v>9</v>
      </c>
      <c r="S5" s="153" t="s">
        <v>10</v>
      </c>
      <c r="T5" s="153" t="s">
        <v>11</v>
      </c>
      <c r="U5" s="153" t="s">
        <v>12</v>
      </c>
      <c r="V5" s="153" t="s">
        <v>8</v>
      </c>
      <c r="W5" s="153" t="s">
        <v>9</v>
      </c>
      <c r="X5" s="153" t="s">
        <v>10</v>
      </c>
      <c r="Y5" s="153" t="s">
        <v>11</v>
      </c>
      <c r="Z5" s="153" t="s">
        <v>12</v>
      </c>
      <c r="AA5" s="153" t="s">
        <v>8</v>
      </c>
      <c r="AB5" s="153" t="s">
        <v>9</v>
      </c>
      <c r="AC5" s="153" t="s">
        <v>10</v>
      </c>
      <c r="AF5" s="416"/>
      <c r="AG5" s="387"/>
      <c r="AH5" s="387"/>
    </row>
    <row r="6" spans="1:57" ht="6" customHeight="1" x14ac:dyDescent="0.25">
      <c r="A6" s="92"/>
      <c r="B6" s="206"/>
      <c r="C6" s="206"/>
      <c r="D6" s="206"/>
      <c r="E6" s="206"/>
      <c r="F6" s="206"/>
      <c r="G6" s="206"/>
      <c r="AF6" s="416"/>
      <c r="AG6" s="387"/>
      <c r="AH6" s="387"/>
    </row>
    <row r="7" spans="1:57" ht="6" customHeight="1" x14ac:dyDescent="0.25">
      <c r="A7" s="92"/>
      <c r="B7" s="206"/>
      <c r="C7" s="206"/>
      <c r="D7" s="206"/>
      <c r="E7" s="206"/>
      <c r="F7" s="206"/>
      <c r="G7" s="206"/>
      <c r="AF7" s="387"/>
      <c r="AG7" s="387"/>
      <c r="AH7" s="387"/>
    </row>
    <row r="8" spans="1:57" s="27" customFormat="1" ht="12.75" x14ac:dyDescent="0.2">
      <c r="A8" s="58" t="s">
        <v>1</v>
      </c>
      <c r="B8" s="207">
        <v>183033</v>
      </c>
      <c r="C8" s="207">
        <v>189057</v>
      </c>
      <c r="D8" s="212">
        <v>192345</v>
      </c>
      <c r="E8" s="212">
        <f>+F8-SUM(B8,C8,D8)</f>
        <v>197875</v>
      </c>
      <c r="F8" s="212">
        <v>762310</v>
      </c>
      <c r="G8" s="212">
        <v>206973</v>
      </c>
      <c r="H8" s="42">
        <v>210112</v>
      </c>
      <c r="I8" s="42">
        <v>231124</v>
      </c>
      <c r="J8" s="42">
        <f>+K8-SUM(G8:I8)</f>
        <v>234903</v>
      </c>
      <c r="K8" s="42">
        <v>883112</v>
      </c>
      <c r="L8" s="42">
        <v>239573</v>
      </c>
      <c r="M8" s="42">
        <v>243509</v>
      </c>
      <c r="N8" s="42">
        <v>251392</v>
      </c>
      <c r="O8" s="42">
        <f>+P8-SUM(L8:N8)</f>
        <v>256872</v>
      </c>
      <c r="P8" s="42">
        <v>991346</v>
      </c>
      <c r="Q8" s="42">
        <v>245990</v>
      </c>
      <c r="R8" s="42">
        <v>222473</v>
      </c>
      <c r="S8" s="42">
        <v>241018</v>
      </c>
      <c r="T8" s="42">
        <f>+U8-SUM(Q8:S8)</f>
        <v>248953</v>
      </c>
      <c r="U8" s="42">
        <v>958434</v>
      </c>
      <c r="V8" s="42">
        <v>261415</v>
      </c>
      <c r="W8" s="42">
        <v>275064</v>
      </c>
      <c r="X8" s="42">
        <v>290325</v>
      </c>
      <c r="Y8" s="42">
        <f>+Z8-SUM(V8:X8)</f>
        <v>295489</v>
      </c>
      <c r="Z8" s="42">
        <v>1122293</v>
      </c>
      <c r="AA8" s="42">
        <v>329208</v>
      </c>
      <c r="AB8" s="42">
        <v>346782</v>
      </c>
      <c r="AC8" s="42">
        <v>361351</v>
      </c>
      <c r="AD8" s="395"/>
      <c r="AF8" s="383"/>
    </row>
    <row r="9" spans="1:57" s="27" customFormat="1" ht="12.75" x14ac:dyDescent="0.2">
      <c r="A9" s="59" t="s">
        <v>127</v>
      </c>
      <c r="B9" s="208">
        <v>3.2486433430734429E-2</v>
      </c>
      <c r="C9" s="208">
        <v>3.2912097818426078E-2</v>
      </c>
      <c r="D9" s="208">
        <v>1.7391580317047239E-2</v>
      </c>
      <c r="E9" s="208">
        <v>2.8750422418050814E-2</v>
      </c>
      <c r="F9" s="215" t="s">
        <v>80</v>
      </c>
      <c r="G9" s="208">
        <f>G8/E8-1</f>
        <v>4.5978521794061811E-2</v>
      </c>
      <c r="H9" s="35">
        <f>H8/G8-1</f>
        <v>1.5166229411565757E-2</v>
      </c>
      <c r="I9" s="35">
        <f>I8/H8-1</f>
        <v>0.10000380749314641</v>
      </c>
      <c r="J9" s="35">
        <f>J8/I8-1</f>
        <v>1.6350530451186396E-2</v>
      </c>
      <c r="K9" s="35" t="s">
        <v>80</v>
      </c>
      <c r="L9" s="143">
        <f>L8/J8-1</f>
        <v>1.9880546438317159E-2</v>
      </c>
      <c r="M9" s="143">
        <f>M8/L8-1</f>
        <v>1.642923033897814E-2</v>
      </c>
      <c r="N9" s="143">
        <f>N8/M8-1</f>
        <v>3.2372520112192937E-2</v>
      </c>
      <c r="O9" s="143">
        <f>O8/N8-1</f>
        <v>2.1798625254582538E-2</v>
      </c>
      <c r="P9" s="35" t="s">
        <v>80</v>
      </c>
      <c r="Q9" s="143">
        <f>Q8/O8-1</f>
        <v>-4.2363511787972263E-2</v>
      </c>
      <c r="R9" s="143">
        <f>R8/Q8-1</f>
        <v>-9.5601447213301327E-2</v>
      </c>
      <c r="S9" s="143">
        <f>S8/R8-1</f>
        <v>8.3358430011731821E-2</v>
      </c>
      <c r="T9" s="143">
        <f>T8/S8-1</f>
        <v>3.2922852235102829E-2</v>
      </c>
      <c r="U9" s="352" t="s">
        <v>80</v>
      </c>
      <c r="V9" s="143">
        <f>V8/T8-1</f>
        <v>5.0057641402192488E-2</v>
      </c>
      <c r="W9" s="143">
        <f>W8/V8-1</f>
        <v>5.2212000076506726E-2</v>
      </c>
      <c r="X9" s="143">
        <f>X8/W8-1</f>
        <v>5.5481633365325855E-2</v>
      </c>
      <c r="Y9" s="143">
        <f>Y8/X8-1</f>
        <v>1.7786962886420454E-2</v>
      </c>
      <c r="Z9" s="352" t="s">
        <v>80</v>
      </c>
      <c r="AA9" s="143">
        <f>AA8/Y8-1</f>
        <v>0.11411253887623563</v>
      </c>
      <c r="AB9" s="143">
        <f>AB8/AA8-1</f>
        <v>5.3382663847780121E-2</v>
      </c>
      <c r="AC9" s="143">
        <f>AC8/AB8-1</f>
        <v>4.2011984474396025E-2</v>
      </c>
      <c r="AF9" s="396"/>
    </row>
    <row r="10" spans="1:57" s="27" customFormat="1" ht="12.75" x14ac:dyDescent="0.2">
      <c r="A10" s="59" t="s">
        <v>128</v>
      </c>
      <c r="B10" s="208">
        <v>9.5769774180416212E-2</v>
      </c>
      <c r="C10" s="208">
        <v>0.10898180410375535</v>
      </c>
      <c r="D10" s="208">
        <v>0.12351051401869162</v>
      </c>
      <c r="E10" s="208">
        <v>0.11620993490303144</v>
      </c>
      <c r="F10" s="208">
        <v>0.11125850597969644</v>
      </c>
      <c r="G10" s="208">
        <f t="shared" ref="G10:R10" si="0">G8/B8-1</f>
        <v>0.13079608595171366</v>
      </c>
      <c r="H10" s="34">
        <f t="shared" si="0"/>
        <v>0.11136852906795314</v>
      </c>
      <c r="I10" s="34">
        <f t="shared" si="0"/>
        <v>0.20161168733265744</v>
      </c>
      <c r="J10" s="34">
        <f t="shared" si="0"/>
        <v>0.18712823752368912</v>
      </c>
      <c r="K10" s="34">
        <f t="shared" si="0"/>
        <v>0.15846833965184759</v>
      </c>
      <c r="L10" s="34">
        <f t="shared" si="0"/>
        <v>0.15750846728800383</v>
      </c>
      <c r="M10" s="34">
        <f t="shared" si="0"/>
        <v>0.15894856076759067</v>
      </c>
      <c r="N10" s="34">
        <f t="shared" si="0"/>
        <v>8.7693186341530893E-2</v>
      </c>
      <c r="O10" s="34">
        <f t="shared" si="0"/>
        <v>9.3523709786592857E-2</v>
      </c>
      <c r="P10" s="34">
        <f t="shared" si="0"/>
        <v>0.12255976591870565</v>
      </c>
      <c r="Q10" s="34">
        <f t="shared" si="0"/>
        <v>2.6785155255391935E-2</v>
      </c>
      <c r="R10" s="34">
        <f t="shared" si="0"/>
        <v>-8.6386950790319883E-2</v>
      </c>
      <c r="S10" s="34">
        <f>S8/N8-1</f>
        <v>-4.1266229633401208E-2</v>
      </c>
      <c r="T10" s="34">
        <f>T8/O8-1</f>
        <v>-3.082858388613785E-2</v>
      </c>
      <c r="U10" s="34">
        <f>U8/P8-1</f>
        <v>-3.3199306801056316E-2</v>
      </c>
      <c r="V10" s="34">
        <f t="shared" ref="V10:X10" si="1">V8/Q8-1</f>
        <v>6.2705801048823062E-2</v>
      </c>
      <c r="W10" s="34">
        <f t="shared" si="1"/>
        <v>0.23639273080328849</v>
      </c>
      <c r="X10" s="34">
        <f t="shared" si="1"/>
        <v>0.20457808130513078</v>
      </c>
      <c r="Y10" s="34">
        <f>Y8/T8-1</f>
        <v>0.18692684964631878</v>
      </c>
      <c r="Z10" s="34">
        <f>Z8/U8-1</f>
        <v>0.17096534555326715</v>
      </c>
      <c r="AA10" s="34">
        <f t="shared" ref="AA10:AB10" si="2">AA8/V8-1</f>
        <v>0.25933094887439512</v>
      </c>
      <c r="AB10" s="34">
        <f t="shared" si="2"/>
        <v>0.26073204781432691</v>
      </c>
      <c r="AC10" s="34">
        <f>AC8/X8-1</f>
        <v>0.24464307241884087</v>
      </c>
      <c r="AF10" s="396"/>
    </row>
    <row r="11" spans="1:57" s="27" customFormat="1" ht="6" customHeight="1" x14ac:dyDescent="0.2">
      <c r="A11" s="59"/>
      <c r="B11" s="208"/>
      <c r="C11" s="229"/>
      <c r="D11" s="229"/>
      <c r="E11" s="229"/>
      <c r="F11" s="229"/>
      <c r="G11" s="229"/>
      <c r="AF11" s="383"/>
    </row>
    <row r="12" spans="1:57" x14ac:dyDescent="0.25">
      <c r="A12" s="60" t="s">
        <v>89</v>
      </c>
      <c r="B12" s="209">
        <v>-119072</v>
      </c>
      <c r="C12" s="209">
        <v>-123734</v>
      </c>
      <c r="D12" s="209">
        <v>-123077</v>
      </c>
      <c r="E12" s="209">
        <v>-129259</v>
      </c>
      <c r="F12" s="209">
        <v>-495142</v>
      </c>
      <c r="G12" s="209">
        <v>-138101</v>
      </c>
      <c r="H12" s="183">
        <v>-139649</v>
      </c>
      <c r="I12" s="183">
        <v>-152157</v>
      </c>
      <c r="J12" s="183">
        <f>+K12-SUM(G12:I12)</f>
        <v>-154948</v>
      </c>
      <c r="K12" s="183">
        <v>-584855</v>
      </c>
      <c r="L12" s="183">
        <v>-157240</v>
      </c>
      <c r="M12" s="183">
        <v>-162446</v>
      </c>
      <c r="N12" s="183">
        <v>-167542</v>
      </c>
      <c r="O12" s="183">
        <f>+P12-SUM(L12:N12)</f>
        <v>-168262</v>
      </c>
      <c r="P12" s="183">
        <v>-655490</v>
      </c>
      <c r="Q12" s="183">
        <v>-162656</v>
      </c>
      <c r="R12" s="183">
        <v>-158401</v>
      </c>
      <c r="S12" s="183">
        <v>-152087</v>
      </c>
      <c r="T12" s="183">
        <f>+U12-SUM(Q12:S12)</f>
        <v>-150792</v>
      </c>
      <c r="U12" s="183">
        <v>-623936</v>
      </c>
      <c r="V12" s="183">
        <v>-158821</v>
      </c>
      <c r="W12" s="183">
        <v>-170701</v>
      </c>
      <c r="X12" s="183">
        <v>-177743</v>
      </c>
      <c r="Y12" s="183">
        <f>+Z12-SUM(V12:X12)</f>
        <v>-183669</v>
      </c>
      <c r="Z12" s="183">
        <v>-690934</v>
      </c>
      <c r="AA12" s="183">
        <v>-207516</v>
      </c>
      <c r="AB12" s="183">
        <v>-221207</v>
      </c>
      <c r="AC12" s="183">
        <v>-230462</v>
      </c>
      <c r="AF12" s="397"/>
      <c r="AO12" s="27"/>
      <c r="AP12" s="27"/>
      <c r="AQ12" s="27"/>
      <c r="AR12" s="27"/>
      <c r="AS12" s="27"/>
      <c r="AT12" s="27"/>
      <c r="AU12" s="27"/>
      <c r="AV12" s="27"/>
      <c r="AW12" s="27"/>
      <c r="AX12" s="27"/>
      <c r="AY12" s="27"/>
      <c r="AZ12" s="27"/>
      <c r="BA12" s="27"/>
      <c r="BB12" s="27"/>
      <c r="BC12" s="27"/>
      <c r="BD12" s="27"/>
      <c r="BE12" s="27"/>
    </row>
    <row r="13" spans="1:57" s="27" customFormat="1" ht="12.75" x14ac:dyDescent="0.2">
      <c r="A13" s="61" t="s">
        <v>2</v>
      </c>
      <c r="B13" s="211">
        <f t="shared" ref="B13:M13" si="3">B8+B12</f>
        <v>63961</v>
      </c>
      <c r="C13" s="211">
        <f t="shared" si="3"/>
        <v>65323</v>
      </c>
      <c r="D13" s="230">
        <f t="shared" si="3"/>
        <v>69268</v>
      </c>
      <c r="E13" s="230">
        <f t="shared" si="3"/>
        <v>68616</v>
      </c>
      <c r="F13" s="230">
        <f t="shared" si="3"/>
        <v>267168</v>
      </c>
      <c r="G13" s="230">
        <f t="shared" si="3"/>
        <v>68872</v>
      </c>
      <c r="H13" s="142">
        <f t="shared" si="3"/>
        <v>70463</v>
      </c>
      <c r="I13" s="142">
        <f t="shared" si="3"/>
        <v>78967</v>
      </c>
      <c r="J13" s="142">
        <f t="shared" si="3"/>
        <v>79955</v>
      </c>
      <c r="K13" s="142">
        <f t="shared" si="3"/>
        <v>298257</v>
      </c>
      <c r="L13" s="142">
        <f t="shared" si="3"/>
        <v>82333</v>
      </c>
      <c r="M13" s="142">
        <f t="shared" si="3"/>
        <v>81063</v>
      </c>
      <c r="N13" s="142">
        <f t="shared" ref="N13:U13" si="4">N8+N12</f>
        <v>83850</v>
      </c>
      <c r="O13" s="142">
        <f t="shared" si="4"/>
        <v>88610</v>
      </c>
      <c r="P13" s="142">
        <f t="shared" si="4"/>
        <v>335856</v>
      </c>
      <c r="Q13" s="142">
        <f t="shared" si="4"/>
        <v>83334</v>
      </c>
      <c r="R13" s="142">
        <f>R8+R12</f>
        <v>64072</v>
      </c>
      <c r="S13" s="142">
        <f t="shared" si="4"/>
        <v>88931</v>
      </c>
      <c r="T13" s="142">
        <f t="shared" si="4"/>
        <v>98161</v>
      </c>
      <c r="U13" s="142">
        <f t="shared" si="4"/>
        <v>334498</v>
      </c>
      <c r="V13" s="142">
        <f t="shared" ref="V13:W13" si="5">V8+V12</f>
        <v>102594</v>
      </c>
      <c r="W13" s="142">
        <f t="shared" si="5"/>
        <v>104363</v>
      </c>
      <c r="X13" s="142">
        <f t="shared" ref="X13:Y13" si="6">X8+X12</f>
        <v>112582</v>
      </c>
      <c r="Y13" s="142">
        <f t="shared" si="6"/>
        <v>111820</v>
      </c>
      <c r="Z13" s="142">
        <f t="shared" ref="Z13:AC13" si="7">Z8+Z12</f>
        <v>431359</v>
      </c>
      <c r="AA13" s="142">
        <f t="shared" si="7"/>
        <v>121692</v>
      </c>
      <c r="AB13" s="142">
        <f t="shared" si="7"/>
        <v>125575</v>
      </c>
      <c r="AC13" s="142">
        <f t="shared" si="7"/>
        <v>130889</v>
      </c>
      <c r="AF13" s="383"/>
    </row>
    <row r="14" spans="1:57" x14ac:dyDescent="0.25">
      <c r="A14" s="59" t="s">
        <v>65</v>
      </c>
      <c r="B14" s="208">
        <f t="shared" ref="B14:N14" si="8">B13/B8</f>
        <v>0.34945064551201149</v>
      </c>
      <c r="C14" s="208">
        <f t="shared" si="8"/>
        <v>0.34552013413943944</v>
      </c>
      <c r="D14" s="208">
        <f t="shared" si="8"/>
        <v>0.36012373599521691</v>
      </c>
      <c r="E14" s="208">
        <f t="shared" si="8"/>
        <v>0.34676437144662037</v>
      </c>
      <c r="F14" s="208">
        <f t="shared" si="8"/>
        <v>0.35047159292151486</v>
      </c>
      <c r="G14" s="208">
        <f t="shared" si="8"/>
        <v>0.33275837911225137</v>
      </c>
      <c r="H14" s="143">
        <f t="shared" si="8"/>
        <v>0.33535923697837344</v>
      </c>
      <c r="I14" s="143">
        <f t="shared" si="8"/>
        <v>0.34166508021668024</v>
      </c>
      <c r="J14" s="143">
        <f t="shared" si="8"/>
        <v>0.34037453757508418</v>
      </c>
      <c r="K14" s="143">
        <f t="shared" si="8"/>
        <v>0.33773405864714784</v>
      </c>
      <c r="L14" s="143">
        <f t="shared" si="8"/>
        <v>0.34366560505566152</v>
      </c>
      <c r="M14" s="143">
        <f t="shared" si="8"/>
        <v>0.33289529339777996</v>
      </c>
      <c r="N14" s="143">
        <f t="shared" si="8"/>
        <v>0.33354283350305497</v>
      </c>
      <c r="O14" s="143">
        <f t="shared" ref="O14:U14" si="9">O13/O8</f>
        <v>0.34495779999377124</v>
      </c>
      <c r="P14" s="143">
        <f t="shared" si="9"/>
        <v>0.33878787022896145</v>
      </c>
      <c r="Q14" s="143">
        <f t="shared" si="9"/>
        <v>0.33876986869384934</v>
      </c>
      <c r="R14" s="143">
        <f t="shared" si="9"/>
        <v>0.28799899313624577</v>
      </c>
      <c r="S14" s="143">
        <f t="shared" si="9"/>
        <v>0.36898074002771575</v>
      </c>
      <c r="T14" s="143">
        <f t="shared" si="9"/>
        <v>0.39429530875305779</v>
      </c>
      <c r="U14" s="143">
        <f t="shared" si="9"/>
        <v>0.34900473063351256</v>
      </c>
      <c r="V14" s="143">
        <f t="shared" ref="V14:W14" si="10">V13/V8</f>
        <v>0.39245643899546701</v>
      </c>
      <c r="W14" s="143">
        <f t="shared" si="10"/>
        <v>0.37941351830846637</v>
      </c>
      <c r="X14" s="143">
        <f t="shared" ref="X14:Y14" si="11">X13/X8</f>
        <v>0.3877792129510032</v>
      </c>
      <c r="Y14" s="143">
        <f t="shared" si="11"/>
        <v>0.37842356229842733</v>
      </c>
      <c r="Z14" s="143">
        <f t="shared" ref="Z14:AB14" si="12">Z13/Z8</f>
        <v>0.38435506592307001</v>
      </c>
      <c r="AA14" s="143">
        <f t="shared" si="12"/>
        <v>0.3696507982795072</v>
      </c>
      <c r="AB14" s="143">
        <f t="shared" si="12"/>
        <v>0.36211510401347247</v>
      </c>
      <c r="AC14" s="143">
        <f>AC13/AC8</f>
        <v>0.36222121981120847</v>
      </c>
      <c r="AF14" s="396"/>
      <c r="AO14" s="27"/>
      <c r="AP14" s="27"/>
      <c r="AQ14" s="27"/>
      <c r="AR14" s="27"/>
      <c r="AS14" s="27"/>
      <c r="AT14" s="27"/>
      <c r="AU14" s="27"/>
      <c r="AV14" s="27"/>
      <c r="AW14" s="27"/>
      <c r="AX14" s="27"/>
      <c r="AY14" s="27"/>
      <c r="AZ14" s="27"/>
      <c r="BA14" s="27"/>
      <c r="BB14" s="27"/>
      <c r="BC14" s="27"/>
      <c r="BD14" s="27"/>
      <c r="BE14" s="27"/>
    </row>
    <row r="15" spans="1:57" ht="6" customHeight="1" x14ac:dyDescent="0.25">
      <c r="A15" s="59"/>
      <c r="B15" s="208"/>
      <c r="C15" s="206"/>
      <c r="D15" s="206"/>
      <c r="E15" s="206"/>
      <c r="F15" s="206"/>
      <c r="G15" s="206"/>
      <c r="AF15" s="383"/>
      <c r="AO15" s="27"/>
      <c r="AP15" s="27"/>
      <c r="AQ15" s="27"/>
      <c r="AR15" s="27"/>
      <c r="AS15" s="27"/>
      <c r="AT15" s="27"/>
      <c r="AU15" s="27"/>
      <c r="AV15" s="27"/>
      <c r="AW15" s="27"/>
      <c r="AX15" s="27"/>
      <c r="AY15" s="27"/>
      <c r="AZ15" s="27"/>
      <c r="BA15" s="27"/>
      <c r="BB15" s="27"/>
      <c r="BC15" s="27"/>
      <c r="BD15" s="27"/>
      <c r="BE15" s="27"/>
    </row>
    <row r="16" spans="1:57" x14ac:dyDescent="0.25">
      <c r="A16" s="61" t="s">
        <v>61</v>
      </c>
      <c r="B16" s="210"/>
      <c r="C16" s="206"/>
      <c r="D16" s="206"/>
      <c r="E16" s="206"/>
      <c r="F16" s="206"/>
      <c r="G16" s="206"/>
      <c r="AF16" s="383"/>
      <c r="AO16" s="27"/>
      <c r="AP16" s="27"/>
      <c r="AQ16" s="27"/>
      <c r="AR16" s="27"/>
      <c r="AS16" s="27"/>
      <c r="AT16" s="27"/>
      <c r="AU16" s="27"/>
      <c r="AV16" s="27"/>
      <c r="AW16" s="27"/>
      <c r="AX16" s="27"/>
      <c r="AY16" s="27"/>
      <c r="AZ16" s="27"/>
      <c r="BA16" s="27"/>
      <c r="BB16" s="27"/>
      <c r="BC16" s="27"/>
      <c r="BD16" s="27"/>
      <c r="BE16" s="27"/>
    </row>
    <row r="17" spans="1:57" x14ac:dyDescent="0.25">
      <c r="A17" s="60" t="s">
        <v>3</v>
      </c>
      <c r="B17" s="209">
        <v>-24037</v>
      </c>
      <c r="C17" s="209">
        <v>-24425</v>
      </c>
      <c r="D17" s="209">
        <v>-26545</v>
      </c>
      <c r="E17" s="209">
        <f>+F17-SUM(B17,C17,D17)</f>
        <v>-27508</v>
      </c>
      <c r="F17" s="209">
        <v>-102515</v>
      </c>
      <c r="G17" s="209">
        <v>-29266</v>
      </c>
      <c r="H17" s="183">
        <f>-27640</f>
        <v>-27640</v>
      </c>
      <c r="I17" s="183">
        <v>-28704</v>
      </c>
      <c r="J17" s="183">
        <f>+K17-SUM(G17:I17)</f>
        <v>-30592</v>
      </c>
      <c r="K17" s="183">
        <v>-116202</v>
      </c>
      <c r="L17" s="183">
        <v>-32531</v>
      </c>
      <c r="M17" s="183">
        <v>-31228</v>
      </c>
      <c r="N17" s="183">
        <v>-29590</v>
      </c>
      <c r="O17" s="183">
        <f>+P17-SUM(L17:N17)</f>
        <v>-33560</v>
      </c>
      <c r="P17" s="183">
        <v>-126909</v>
      </c>
      <c r="Q17" s="183">
        <v>-28941</v>
      </c>
      <c r="R17" s="183">
        <v>-28750</v>
      </c>
      <c r="S17" s="183">
        <v>-26810</v>
      </c>
      <c r="T17" s="183">
        <f>+U17-SUM(Q17:S17)</f>
        <v>-29390</v>
      </c>
      <c r="U17" s="183">
        <v>-113891</v>
      </c>
      <c r="V17" s="183">
        <v>-30703</v>
      </c>
      <c r="W17" s="183">
        <v>-36499</v>
      </c>
      <c r="X17" s="183">
        <v>-36167</v>
      </c>
      <c r="Y17" s="183">
        <f>+Z17-SUM(V17:X17)</f>
        <v>-38671</v>
      </c>
      <c r="Z17" s="183">
        <v>-142040</v>
      </c>
      <c r="AA17" s="183">
        <v>-39945</v>
      </c>
      <c r="AB17" s="183">
        <v>-40434</v>
      </c>
      <c r="AC17" s="183">
        <v>-42519</v>
      </c>
      <c r="AF17" s="397"/>
      <c r="AO17" s="27"/>
      <c r="AP17" s="27"/>
      <c r="AQ17" s="27"/>
      <c r="AR17" s="27"/>
      <c r="AS17" s="27"/>
      <c r="AT17" s="27"/>
      <c r="AU17" s="27"/>
      <c r="AV17" s="27"/>
      <c r="AW17" s="27"/>
      <c r="AX17" s="27"/>
      <c r="AY17" s="27"/>
      <c r="AZ17" s="27"/>
      <c r="BA17" s="27"/>
      <c r="BB17" s="27"/>
      <c r="BC17" s="27"/>
      <c r="BD17" s="27"/>
      <c r="BE17" s="27"/>
    </row>
    <row r="18" spans="1:57" x14ac:dyDescent="0.25">
      <c r="A18" s="59" t="s">
        <v>129</v>
      </c>
      <c r="B18" s="208">
        <f t="shared" ref="B18:M18" si="13">-B17/B$8</f>
        <v>0.13132604503013118</v>
      </c>
      <c r="C18" s="208">
        <f t="shared" si="13"/>
        <v>0.12919384101091205</v>
      </c>
      <c r="D18" s="208">
        <f t="shared" si="13"/>
        <v>0.13800722659803999</v>
      </c>
      <c r="E18" s="208">
        <f t="shared" si="13"/>
        <v>0.1390170562223626</v>
      </c>
      <c r="F18" s="208">
        <f t="shared" si="13"/>
        <v>0.13447941126313442</v>
      </c>
      <c r="G18" s="208">
        <f t="shared" si="13"/>
        <v>0.14140008600155576</v>
      </c>
      <c r="H18" s="143">
        <f t="shared" si="13"/>
        <v>0.13154888821200122</v>
      </c>
      <c r="I18" s="143">
        <f t="shared" si="13"/>
        <v>0.12419307384780465</v>
      </c>
      <c r="J18" s="143">
        <f t="shared" si="13"/>
        <v>0.13023247893811488</v>
      </c>
      <c r="K18" s="143">
        <f t="shared" si="13"/>
        <v>0.13158240404388119</v>
      </c>
      <c r="L18" s="143">
        <f t="shared" si="13"/>
        <v>0.13578742178793102</v>
      </c>
      <c r="M18" s="143">
        <f t="shared" si="13"/>
        <v>0.1282416666324448</v>
      </c>
      <c r="N18" s="143">
        <f t="shared" ref="N18:U18" si="14">-N17/N$8</f>
        <v>0.11770462067209776</v>
      </c>
      <c r="O18" s="143">
        <f t="shared" si="14"/>
        <v>0.13064872777102993</v>
      </c>
      <c r="P18" s="143">
        <f t="shared" si="14"/>
        <v>0.12801685788816417</v>
      </c>
      <c r="Q18" s="143">
        <f t="shared" si="14"/>
        <v>0.11765112402943209</v>
      </c>
      <c r="R18" s="143">
        <f>-R17/R$8</f>
        <v>0.12922916488742453</v>
      </c>
      <c r="S18" s="143">
        <f t="shared" si="14"/>
        <v>0.11123650515729115</v>
      </c>
      <c r="T18" s="143">
        <f t="shared" si="14"/>
        <v>0.11805441187694063</v>
      </c>
      <c r="U18" s="143">
        <f t="shared" si="14"/>
        <v>0.11883030026063349</v>
      </c>
      <c r="V18" s="143">
        <f t="shared" ref="V18:W18" si="15">-V17/V$8</f>
        <v>0.11744926649197636</v>
      </c>
      <c r="W18" s="143">
        <f t="shared" si="15"/>
        <v>0.13269275514062182</v>
      </c>
      <c r="X18" s="143">
        <f t="shared" ref="X18:AA18" si="16">-X17/X$8</f>
        <v>0.12457418410402135</v>
      </c>
      <c r="Y18" s="143">
        <f t="shared" si="16"/>
        <v>0.13087119994314508</v>
      </c>
      <c r="Z18" s="143">
        <f t="shared" si="16"/>
        <v>0.12656231483222297</v>
      </c>
      <c r="AA18" s="143">
        <f t="shared" si="16"/>
        <v>0.12133666253553985</v>
      </c>
      <c r="AB18" s="143">
        <f t="shared" ref="AB18:AC18" si="17">-AB17/AB$8</f>
        <v>0.11659774728792152</v>
      </c>
      <c r="AC18" s="143">
        <f t="shared" si="17"/>
        <v>0.1176667561456866</v>
      </c>
      <c r="AF18" s="396"/>
      <c r="AO18" s="27"/>
      <c r="AP18" s="27"/>
      <c r="AQ18" s="27"/>
      <c r="AR18" s="27"/>
      <c r="AS18" s="27"/>
      <c r="AT18" s="27"/>
      <c r="AU18" s="27"/>
      <c r="AV18" s="27"/>
      <c r="AW18" s="27"/>
      <c r="AX18" s="27"/>
      <c r="AY18" s="27"/>
      <c r="AZ18" s="27"/>
      <c r="BA18" s="27"/>
      <c r="BB18" s="27"/>
      <c r="BC18" s="27"/>
      <c r="BD18" s="27"/>
      <c r="BE18" s="27"/>
    </row>
    <row r="19" spans="1:57" ht="6" customHeight="1" x14ac:dyDescent="0.25">
      <c r="A19" s="59"/>
      <c r="B19" s="208"/>
      <c r="C19" s="206"/>
      <c r="D19" s="206"/>
      <c r="E19" s="206"/>
      <c r="F19" s="206"/>
      <c r="G19" s="206"/>
      <c r="AF19" s="383"/>
      <c r="AO19" s="27"/>
      <c r="AP19" s="27"/>
      <c r="AQ19" s="27"/>
      <c r="AR19" s="27"/>
      <c r="AS19" s="27"/>
      <c r="AT19" s="27"/>
      <c r="AU19" s="27"/>
      <c r="AV19" s="27"/>
      <c r="AW19" s="27"/>
      <c r="AX19" s="27"/>
      <c r="AY19" s="27"/>
      <c r="AZ19" s="27"/>
      <c r="BA19" s="27"/>
      <c r="BB19" s="27"/>
      <c r="BC19" s="27"/>
      <c r="BD19" s="27"/>
      <c r="BE19" s="27"/>
    </row>
    <row r="20" spans="1:57" x14ac:dyDescent="0.25">
      <c r="A20" s="60" t="s">
        <v>4</v>
      </c>
      <c r="B20" s="209">
        <v>-13340</v>
      </c>
      <c r="C20" s="209">
        <v>-13095</v>
      </c>
      <c r="D20" s="209">
        <v>-12196</v>
      </c>
      <c r="E20" s="209">
        <f>+F20-SUM(B20,C20,D20)</f>
        <v>-14748</v>
      </c>
      <c r="F20" s="209">
        <v>-53379</v>
      </c>
      <c r="G20" s="209">
        <v>-13952</v>
      </c>
      <c r="H20" s="183">
        <v>-15151</v>
      </c>
      <c r="I20" s="183">
        <v>-16490</v>
      </c>
      <c r="J20" s="183">
        <f>+K20-SUM(G20:I20)</f>
        <v>-18019</v>
      </c>
      <c r="K20" s="183">
        <v>-63612</v>
      </c>
      <c r="L20" s="183">
        <v>-18047</v>
      </c>
      <c r="M20" s="183">
        <v>-17647</v>
      </c>
      <c r="N20" s="183">
        <v>-18302</v>
      </c>
      <c r="O20" s="183">
        <f>+P20-SUM(L20:N20)</f>
        <v>-17846</v>
      </c>
      <c r="P20" s="183">
        <v>-71842</v>
      </c>
      <c r="Q20" s="183">
        <v>-14456</v>
      </c>
      <c r="R20" s="183">
        <v>-13051</v>
      </c>
      <c r="S20" s="183">
        <v>-15290</v>
      </c>
      <c r="T20" s="183">
        <f>+U20-SUM(Q20:S20)</f>
        <v>-17326</v>
      </c>
      <c r="U20" s="183">
        <v>-60123</v>
      </c>
      <c r="V20" s="183">
        <v>-18235</v>
      </c>
      <c r="W20" s="183">
        <v>-19724</v>
      </c>
      <c r="X20" s="183">
        <v>-21672</v>
      </c>
      <c r="Y20" s="183">
        <f>+Z20-SUM(V20:X20)</f>
        <v>-24675</v>
      </c>
      <c r="Z20" s="183">
        <v>-84306</v>
      </c>
      <c r="AA20" s="183">
        <v>-24170</v>
      </c>
      <c r="AB20" s="183">
        <v>-23985</v>
      </c>
      <c r="AC20" s="183">
        <v>-23879</v>
      </c>
      <c r="AF20" s="397"/>
      <c r="AO20" s="27"/>
      <c r="AP20" s="27"/>
      <c r="AQ20" s="27"/>
      <c r="AR20" s="27"/>
      <c r="AS20" s="27"/>
      <c r="AT20" s="27"/>
      <c r="AU20" s="27"/>
      <c r="AV20" s="27"/>
      <c r="AW20" s="27"/>
      <c r="AX20" s="27"/>
      <c r="AY20" s="27"/>
      <c r="AZ20" s="27"/>
      <c r="BA20" s="27"/>
      <c r="BB20" s="27"/>
      <c r="BC20" s="27"/>
      <c r="BD20" s="27"/>
      <c r="BE20" s="27"/>
    </row>
    <row r="21" spans="1:57" x14ac:dyDescent="0.25">
      <c r="A21" s="59" t="s">
        <v>129</v>
      </c>
      <c r="B21" s="208">
        <f t="shared" ref="B21:M21" si="18">-B20/B$8</f>
        <v>7.2883032021548028E-2</v>
      </c>
      <c r="C21" s="208">
        <f t="shared" si="18"/>
        <v>6.9264824894079563E-2</v>
      </c>
      <c r="D21" s="208">
        <f t="shared" si="18"/>
        <v>6.3406899061582048E-2</v>
      </c>
      <c r="E21" s="208">
        <f t="shared" si="18"/>
        <v>7.4531901452937463E-2</v>
      </c>
      <c r="F21" s="208">
        <f t="shared" si="18"/>
        <v>7.002269417953326E-2</v>
      </c>
      <c r="G21" s="208">
        <f t="shared" si="18"/>
        <v>6.7409758760804545E-2</v>
      </c>
      <c r="H21" s="143">
        <f t="shared" si="18"/>
        <v>7.2109160828510502E-2</v>
      </c>
      <c r="I21" s="143">
        <f t="shared" si="18"/>
        <v>7.1346982572125781E-2</v>
      </c>
      <c r="J21" s="143">
        <f t="shared" si="18"/>
        <v>7.6708258302363108E-2</v>
      </c>
      <c r="K21" s="143">
        <f t="shared" si="18"/>
        <v>7.2031633586679827E-2</v>
      </c>
      <c r="L21" s="143">
        <f t="shared" si="18"/>
        <v>7.5329857705167105E-2</v>
      </c>
      <c r="M21" s="143">
        <f t="shared" si="18"/>
        <v>7.246960071290999E-2</v>
      </c>
      <c r="N21" s="143">
        <f t="shared" ref="N21:U21" si="19">-N20/N$8</f>
        <v>7.28026349287169E-2</v>
      </c>
      <c r="O21" s="143">
        <f t="shared" si="19"/>
        <v>6.9474290697312285E-2</v>
      </c>
      <c r="P21" s="143">
        <f t="shared" si="19"/>
        <v>7.2469148006851294E-2</v>
      </c>
      <c r="Q21" s="143">
        <f t="shared" si="19"/>
        <v>5.8766616529127201E-2</v>
      </c>
      <c r="R21" s="143">
        <f>-R20/R$8</f>
        <v>5.8663298467679224E-2</v>
      </c>
      <c r="S21" s="143">
        <f t="shared" si="19"/>
        <v>6.3439245201603198E-2</v>
      </c>
      <c r="T21" s="143">
        <f t="shared" si="19"/>
        <v>6.9595465810815701E-2</v>
      </c>
      <c r="U21" s="143">
        <f t="shared" si="19"/>
        <v>6.2730454053174234E-2</v>
      </c>
      <c r="V21" s="143">
        <f t="shared" ref="V21:W21" si="20">-V20/V$8</f>
        <v>6.9754987280760475E-2</v>
      </c>
      <c r="W21" s="143">
        <f t="shared" si="20"/>
        <v>7.1706948201145912E-2</v>
      </c>
      <c r="X21" s="143">
        <f>-X20/X$8-0.05%</f>
        <v>7.4147377938517181E-2</v>
      </c>
      <c r="Y21" s="143">
        <f>ROUNDDOWN(-Y20/Y$8,3)</f>
        <v>8.3000000000000004E-2</v>
      </c>
      <c r="Z21" s="143">
        <f>-Z20/Z$8</f>
        <v>7.5119420686041882E-2</v>
      </c>
      <c r="AA21" s="143">
        <f>-AA20/AA$8</f>
        <v>7.3418628951908829E-2</v>
      </c>
      <c r="AB21" s="143">
        <f>-AB20/AB$8</f>
        <v>6.916448950637577E-2</v>
      </c>
      <c r="AC21" s="143">
        <f>-AC20/AC$8</f>
        <v>6.6082562383942486E-2</v>
      </c>
      <c r="AF21" s="396"/>
      <c r="AO21" s="27"/>
      <c r="AP21" s="27"/>
      <c r="AQ21" s="27"/>
      <c r="AR21" s="27"/>
      <c r="AS21" s="27"/>
      <c r="AT21" s="27"/>
      <c r="AU21" s="27"/>
      <c r="AV21" s="27"/>
      <c r="AW21" s="27"/>
      <c r="AX21" s="27"/>
      <c r="AY21" s="27"/>
      <c r="AZ21" s="27"/>
      <c r="BA21" s="27"/>
      <c r="BB21" s="27"/>
      <c r="BC21" s="27"/>
      <c r="BD21" s="27"/>
      <c r="BE21" s="27"/>
    </row>
    <row r="22" spans="1:57" ht="6" customHeight="1" x14ac:dyDescent="0.25">
      <c r="A22" s="59"/>
      <c r="B22" s="208"/>
      <c r="C22" s="206"/>
      <c r="D22" s="206"/>
      <c r="E22" s="206"/>
      <c r="F22" s="206"/>
      <c r="G22" s="206"/>
      <c r="AF22" s="383"/>
      <c r="AO22" s="27"/>
      <c r="AP22" s="27"/>
      <c r="AQ22" s="27"/>
      <c r="AR22" s="27"/>
      <c r="AS22" s="27"/>
      <c r="AT22" s="27"/>
      <c r="AU22" s="27"/>
      <c r="AV22" s="27"/>
      <c r="AW22" s="27"/>
      <c r="AX22" s="27"/>
      <c r="AY22" s="27"/>
      <c r="AZ22" s="27"/>
      <c r="BA22" s="27"/>
      <c r="BB22" s="27"/>
      <c r="BC22" s="27"/>
      <c r="BD22" s="27"/>
      <c r="BE22" s="27"/>
    </row>
    <row r="23" spans="1:57" x14ac:dyDescent="0.25">
      <c r="A23" s="60" t="s">
        <v>210</v>
      </c>
      <c r="B23" s="209">
        <v>-9372</v>
      </c>
      <c r="C23" s="209">
        <v>-9535</v>
      </c>
      <c r="D23" s="209">
        <v>-9582</v>
      </c>
      <c r="E23" s="209">
        <f>+F23-SUM(B23,C23,D23)</f>
        <v>-10060</v>
      </c>
      <c r="F23" s="209">
        <v>-38549</v>
      </c>
      <c r="G23" s="209">
        <v>-10504</v>
      </c>
      <c r="H23" s="85">
        <v>-10582</v>
      </c>
      <c r="I23" s="85">
        <v>-14099</v>
      </c>
      <c r="J23" s="183">
        <f>+K23-SUM(G23:I23)</f>
        <v>-13381</v>
      </c>
      <c r="K23" s="28">
        <v>-48566</v>
      </c>
      <c r="L23" s="28">
        <v>-13667</v>
      </c>
      <c r="M23" s="28">
        <v>-12752</v>
      </c>
      <c r="N23" s="28">
        <v>-13047</v>
      </c>
      <c r="O23" s="183">
        <f>+P23-SUM(L23:N23)</f>
        <v>-12515</v>
      </c>
      <c r="P23" s="28">
        <v>-51981</v>
      </c>
      <c r="Q23" s="28">
        <v>-12450</v>
      </c>
      <c r="R23" s="28">
        <v>-12405</v>
      </c>
      <c r="S23" s="28">
        <v>-12425</v>
      </c>
      <c r="T23" s="28">
        <f>+U23-SUM(Q23:S23)</f>
        <v>-13182</v>
      </c>
      <c r="U23" s="28">
        <v>-50462</v>
      </c>
      <c r="V23" s="28">
        <v>-12101</v>
      </c>
      <c r="W23" s="28">
        <v>-12310</v>
      </c>
      <c r="X23" s="28">
        <v>-12305</v>
      </c>
      <c r="Y23" s="28">
        <f>+Z23-SUM(V23:X23)</f>
        <v>-12416</v>
      </c>
      <c r="Z23" s="28">
        <v>-49132</v>
      </c>
      <c r="AA23" s="28">
        <v>-13602</v>
      </c>
      <c r="AB23" s="28">
        <v>-14075</v>
      </c>
      <c r="AC23" s="28">
        <v>-14380</v>
      </c>
      <c r="AF23" s="397"/>
      <c r="AO23" s="27"/>
      <c r="AP23" s="27"/>
      <c r="AQ23" s="27"/>
      <c r="AR23" s="27"/>
      <c r="AS23" s="27"/>
      <c r="AT23" s="27"/>
      <c r="AU23" s="27"/>
      <c r="AV23" s="27"/>
      <c r="AW23" s="27"/>
      <c r="AX23" s="27"/>
      <c r="AY23" s="27"/>
      <c r="AZ23" s="27"/>
      <c r="BA23" s="27"/>
      <c r="BB23" s="27"/>
      <c r="BC23" s="27"/>
      <c r="BD23" s="27"/>
      <c r="BE23" s="27"/>
    </row>
    <row r="24" spans="1:57" x14ac:dyDescent="0.25">
      <c r="A24" s="59" t="s">
        <v>129</v>
      </c>
      <c r="B24" s="208">
        <f t="shared" ref="B24:M24" si="21">-B23/B$8</f>
        <v>5.120388126731245E-2</v>
      </c>
      <c r="C24" s="208">
        <f t="shared" si="21"/>
        <v>5.0434525037422573E-2</v>
      </c>
      <c r="D24" s="208">
        <f t="shared" si="21"/>
        <v>4.9816735553302662E-2</v>
      </c>
      <c r="E24" s="208">
        <f t="shared" si="21"/>
        <v>5.0840176879343023E-2</v>
      </c>
      <c r="F24" s="208">
        <f t="shared" si="21"/>
        <v>5.0568666290616682E-2</v>
      </c>
      <c r="G24" s="208">
        <f t="shared" si="21"/>
        <v>5.0750580993656175E-2</v>
      </c>
      <c r="H24" s="34">
        <f t="shared" si="21"/>
        <v>5.0363615595491927E-2</v>
      </c>
      <c r="I24" s="34">
        <f t="shared" si="21"/>
        <v>6.1001886433256609E-2</v>
      </c>
      <c r="J24" s="34">
        <f t="shared" si="21"/>
        <v>5.6963938306449899E-2</v>
      </c>
      <c r="K24" s="34">
        <f t="shared" si="21"/>
        <v>5.4994157026515327E-2</v>
      </c>
      <c r="L24" s="34">
        <f t="shared" si="21"/>
        <v>5.7047330041365266E-2</v>
      </c>
      <c r="M24" s="34">
        <f t="shared" si="21"/>
        <v>5.2367674295405918E-2</v>
      </c>
      <c r="N24" s="34">
        <f t="shared" ref="N24:U24" si="22">-N23/N$8</f>
        <v>5.1899026221995929E-2</v>
      </c>
      <c r="O24" s="34">
        <f t="shared" si="22"/>
        <v>4.8720763648821205E-2</v>
      </c>
      <c r="P24" s="34">
        <f t="shared" si="22"/>
        <v>5.243477050394111E-2</v>
      </c>
      <c r="Q24" s="34">
        <f t="shared" si="22"/>
        <v>5.0611813488353183E-2</v>
      </c>
      <c r="R24" s="34">
        <f>-R23/R$8</f>
        <v>5.5759575319252221E-2</v>
      </c>
      <c r="S24" s="34">
        <f t="shared" si="22"/>
        <v>5.1552166228248514E-2</v>
      </c>
      <c r="T24" s="34">
        <f t="shared" si="22"/>
        <v>5.2949753567942542E-2</v>
      </c>
      <c r="U24" s="34">
        <f t="shared" si="22"/>
        <v>5.2650469411560943E-2</v>
      </c>
      <c r="V24" s="34">
        <f t="shared" ref="V24:W24" si="23">-V23/V$8</f>
        <v>4.6290381194652182E-2</v>
      </c>
      <c r="W24" s="34">
        <f t="shared" si="23"/>
        <v>4.475322106855132E-2</v>
      </c>
      <c r="X24" s="34">
        <f t="shared" ref="X24:AA24" si="24">-X23/X$8</f>
        <v>4.2383535692758115E-2</v>
      </c>
      <c r="Y24" s="34">
        <f t="shared" si="24"/>
        <v>4.2018484613640439E-2</v>
      </c>
      <c r="Z24" s="34">
        <f t="shared" si="24"/>
        <v>4.3778229036445918E-2</v>
      </c>
      <c r="AA24" s="34">
        <f t="shared" si="24"/>
        <v>4.1317343442443685E-2</v>
      </c>
      <c r="AB24" s="34">
        <f t="shared" ref="AB24:AC24" si="25">-AB23/AB$8</f>
        <v>4.0587458403261993E-2</v>
      </c>
      <c r="AC24" s="34">
        <f t="shared" si="25"/>
        <v>3.9795102268985007E-2</v>
      </c>
      <c r="AF24" s="396"/>
      <c r="AO24" s="27"/>
      <c r="AP24" s="27"/>
      <c r="AQ24" s="27"/>
      <c r="AR24" s="27"/>
      <c r="AS24" s="27"/>
      <c r="AT24" s="27"/>
      <c r="AU24" s="27"/>
      <c r="AV24" s="27"/>
      <c r="AW24" s="27"/>
      <c r="AX24" s="27"/>
      <c r="AY24" s="27"/>
      <c r="AZ24" s="27"/>
      <c r="BA24" s="27"/>
      <c r="BB24" s="27"/>
      <c r="BC24" s="27"/>
      <c r="BD24" s="27"/>
      <c r="BE24" s="27"/>
    </row>
    <row r="25" spans="1:57" ht="6" customHeight="1" x14ac:dyDescent="0.25">
      <c r="A25" s="59"/>
      <c r="B25" s="208"/>
      <c r="C25" s="206"/>
      <c r="D25" s="206"/>
      <c r="E25" s="206"/>
      <c r="F25" s="206"/>
      <c r="G25" s="206"/>
      <c r="AF25" s="383"/>
      <c r="AO25" s="27"/>
      <c r="AP25" s="27"/>
      <c r="AQ25" s="27"/>
      <c r="AR25" s="27"/>
      <c r="AS25" s="27"/>
      <c r="AT25" s="27"/>
      <c r="AU25" s="27"/>
      <c r="AV25" s="27"/>
      <c r="AW25" s="27"/>
      <c r="AX25" s="27"/>
      <c r="AY25" s="27"/>
      <c r="AZ25" s="27"/>
      <c r="BA25" s="27"/>
      <c r="BB25" s="27"/>
      <c r="BC25" s="27"/>
      <c r="BD25" s="27"/>
      <c r="BE25" s="27"/>
    </row>
    <row r="26" spans="1:57" x14ac:dyDescent="0.25">
      <c r="A26" s="60" t="s">
        <v>203</v>
      </c>
      <c r="B26" s="290">
        <v>0</v>
      </c>
      <c r="C26" s="290">
        <v>0</v>
      </c>
      <c r="D26" s="290">
        <v>0</v>
      </c>
      <c r="E26" s="290">
        <v>0</v>
      </c>
      <c r="F26" s="290">
        <v>0</v>
      </c>
      <c r="G26" s="290">
        <v>0</v>
      </c>
      <c r="H26" s="288">
        <v>0</v>
      </c>
      <c r="I26" s="33">
        <v>0</v>
      </c>
      <c r="J26" s="183">
        <f>+K26-SUM(G26:I26)</f>
        <v>-20056</v>
      </c>
      <c r="K26" s="28">
        <v>-20056</v>
      </c>
      <c r="L26" s="28">
        <v>-1227</v>
      </c>
      <c r="M26" s="28">
        <v>-5580</v>
      </c>
      <c r="N26" s="289">
        <v>-489</v>
      </c>
      <c r="O26" s="183">
        <f>+P26-SUM(L26:N26)</f>
        <v>-1375</v>
      </c>
      <c r="P26" s="28">
        <v>-8671</v>
      </c>
      <c r="Q26" s="28">
        <v>0</v>
      </c>
      <c r="R26" s="28">
        <v>0</v>
      </c>
      <c r="S26" s="28">
        <v>0</v>
      </c>
      <c r="T26" s="28">
        <f>+U26-SUM(Q26:S26)</f>
        <v>0</v>
      </c>
      <c r="U26" s="28">
        <v>0</v>
      </c>
      <c r="V26" s="28">
        <v>0</v>
      </c>
      <c r="W26" s="28">
        <v>0</v>
      </c>
      <c r="X26" s="28">
        <v>0</v>
      </c>
      <c r="Y26" s="28">
        <f>+Z26-SUM(V26:X26)</f>
        <v>0</v>
      </c>
      <c r="Z26" s="28">
        <v>0</v>
      </c>
      <c r="AA26" s="28">
        <v>0</v>
      </c>
      <c r="AB26" s="28">
        <v>0</v>
      </c>
      <c r="AC26" s="28">
        <v>0</v>
      </c>
      <c r="AD26" s="394"/>
      <c r="AF26" s="397"/>
      <c r="AO26" s="27"/>
      <c r="AP26" s="27"/>
      <c r="AQ26" s="27"/>
      <c r="AR26" s="27"/>
      <c r="AS26" s="27"/>
      <c r="AT26" s="27"/>
      <c r="AU26" s="27"/>
      <c r="AV26" s="27"/>
      <c r="AW26" s="27"/>
      <c r="AX26" s="27"/>
      <c r="AY26" s="27"/>
      <c r="AZ26" s="27"/>
      <c r="BA26" s="27"/>
      <c r="BB26" s="27"/>
      <c r="BC26" s="27"/>
      <c r="BD26" s="27"/>
      <c r="BE26" s="27"/>
    </row>
    <row r="27" spans="1:57" x14ac:dyDescent="0.25">
      <c r="A27" s="59" t="s">
        <v>129</v>
      </c>
      <c r="B27" s="208">
        <v>0</v>
      </c>
      <c r="C27" s="208">
        <v>0</v>
      </c>
      <c r="D27" s="208">
        <v>0</v>
      </c>
      <c r="E27" s="208">
        <v>0</v>
      </c>
      <c r="F27" s="208">
        <v>0</v>
      </c>
      <c r="G27" s="208">
        <v>0</v>
      </c>
      <c r="H27" s="34">
        <v>0</v>
      </c>
      <c r="I27" s="34">
        <v>0</v>
      </c>
      <c r="J27" s="34">
        <f>-J26/J$8</f>
        <v>8.5379922776635461E-2</v>
      </c>
      <c r="K27" s="34">
        <f>-K26/K$8</f>
        <v>2.2710596164472911E-2</v>
      </c>
      <c r="L27" s="34">
        <f>-L26/L$8</f>
        <v>5.1216122017088738E-3</v>
      </c>
      <c r="M27" s="34">
        <f>-M26/M$8</f>
        <v>2.2914964128635903E-2</v>
      </c>
      <c r="N27" s="34">
        <f t="shared" ref="N27:U27" si="26">-N26/N$8</f>
        <v>1.9451692973523422E-3</v>
      </c>
      <c r="O27" s="34">
        <f t="shared" si="26"/>
        <v>5.3528605686879067E-3</v>
      </c>
      <c r="P27" s="34">
        <f t="shared" si="26"/>
        <v>8.7466938889146674E-3</v>
      </c>
      <c r="Q27" s="34">
        <f t="shared" si="26"/>
        <v>0</v>
      </c>
      <c r="R27" s="34">
        <f>-R26/R$8</f>
        <v>0</v>
      </c>
      <c r="S27" s="34">
        <f t="shared" si="26"/>
        <v>0</v>
      </c>
      <c r="T27" s="34">
        <f t="shared" si="26"/>
        <v>0</v>
      </c>
      <c r="U27" s="34">
        <f t="shared" si="26"/>
        <v>0</v>
      </c>
      <c r="V27" s="34">
        <f t="shared" ref="V27:W27" si="27">-V26/V$8</f>
        <v>0</v>
      </c>
      <c r="W27" s="34">
        <f t="shared" si="27"/>
        <v>0</v>
      </c>
      <c r="X27" s="34">
        <f t="shared" ref="X27:AA27" si="28">-X26/X$8</f>
        <v>0</v>
      </c>
      <c r="Y27" s="34">
        <f t="shared" si="28"/>
        <v>0</v>
      </c>
      <c r="Z27" s="34">
        <f t="shared" si="28"/>
        <v>0</v>
      </c>
      <c r="AA27" s="34">
        <f t="shared" si="28"/>
        <v>0</v>
      </c>
      <c r="AB27" s="34">
        <f t="shared" ref="AB27:AC27" si="29">-AB26/AB$8</f>
        <v>0</v>
      </c>
      <c r="AC27" s="34">
        <f t="shared" si="29"/>
        <v>0</v>
      </c>
      <c r="AF27" s="396"/>
      <c r="AO27" s="27"/>
      <c r="AP27" s="27"/>
      <c r="AQ27" s="27"/>
      <c r="AR27" s="27"/>
      <c r="AS27" s="27"/>
      <c r="AT27" s="27"/>
      <c r="AU27" s="27"/>
      <c r="AV27" s="27"/>
      <c r="AW27" s="27"/>
      <c r="AX27" s="27"/>
      <c r="AY27" s="27"/>
      <c r="AZ27" s="27"/>
      <c r="BA27" s="27"/>
      <c r="BB27" s="27"/>
      <c r="BC27" s="27"/>
      <c r="BD27" s="27"/>
      <c r="BE27" s="27"/>
    </row>
    <row r="28" spans="1:57" ht="6" customHeight="1" x14ac:dyDescent="0.25">
      <c r="A28" s="59"/>
      <c r="B28" s="208"/>
      <c r="C28" s="206"/>
      <c r="D28" s="206"/>
      <c r="E28" s="206"/>
      <c r="F28" s="206"/>
      <c r="G28" s="206"/>
      <c r="AF28" s="383"/>
      <c r="AO28" s="27"/>
      <c r="AP28" s="27"/>
      <c r="AQ28" s="27"/>
      <c r="AR28" s="27"/>
      <c r="AS28" s="27"/>
      <c r="AT28" s="27"/>
      <c r="AU28" s="27"/>
      <c r="AV28" s="27"/>
      <c r="AW28" s="27"/>
      <c r="AX28" s="27"/>
      <c r="AY28" s="27"/>
      <c r="AZ28" s="27"/>
      <c r="BA28" s="27"/>
      <c r="BB28" s="27"/>
      <c r="BC28" s="27"/>
      <c r="BD28" s="27"/>
      <c r="BE28" s="27"/>
    </row>
    <row r="29" spans="1:57" s="27" customFormat="1" ht="12.75" x14ac:dyDescent="0.2">
      <c r="A29" s="61" t="s">
        <v>6</v>
      </c>
      <c r="B29" s="211">
        <f t="shared" ref="B29:J29" si="30">B17+B20+B23+B26</f>
        <v>-46749</v>
      </c>
      <c r="C29" s="211">
        <f t="shared" si="30"/>
        <v>-47055</v>
      </c>
      <c r="D29" s="211">
        <f t="shared" si="30"/>
        <v>-48323</v>
      </c>
      <c r="E29" s="211">
        <f t="shared" si="30"/>
        <v>-52316</v>
      </c>
      <c r="F29" s="211">
        <f t="shared" si="30"/>
        <v>-194443</v>
      </c>
      <c r="G29" s="211">
        <f t="shared" si="30"/>
        <v>-53722</v>
      </c>
      <c r="H29" s="26">
        <f t="shared" si="30"/>
        <v>-53373</v>
      </c>
      <c r="I29" s="26">
        <f t="shared" si="30"/>
        <v>-59293</v>
      </c>
      <c r="J29" s="26">
        <f t="shared" si="30"/>
        <v>-82048</v>
      </c>
      <c r="K29" s="26">
        <f t="shared" ref="K29:U29" si="31">K17+K20+K23+K26</f>
        <v>-248436</v>
      </c>
      <c r="L29" s="26">
        <f t="shared" si="31"/>
        <v>-65472</v>
      </c>
      <c r="M29" s="26">
        <f t="shared" si="31"/>
        <v>-67207</v>
      </c>
      <c r="N29" s="26">
        <f t="shared" si="31"/>
        <v>-61428</v>
      </c>
      <c r="O29" s="26">
        <f t="shared" si="31"/>
        <v>-65296</v>
      </c>
      <c r="P29" s="26">
        <f t="shared" si="31"/>
        <v>-259403</v>
      </c>
      <c r="Q29" s="26">
        <f t="shared" si="31"/>
        <v>-55847</v>
      </c>
      <c r="R29" s="26">
        <f>R17+R20+R23+R26</f>
        <v>-54206</v>
      </c>
      <c r="S29" s="26">
        <f t="shared" si="31"/>
        <v>-54525</v>
      </c>
      <c r="T29" s="26">
        <f t="shared" si="31"/>
        <v>-59898</v>
      </c>
      <c r="U29" s="26">
        <f t="shared" si="31"/>
        <v>-224476</v>
      </c>
      <c r="V29" s="26">
        <f t="shared" ref="V29:W29" si="32">V17+V20+V23+V26</f>
        <v>-61039</v>
      </c>
      <c r="W29" s="26">
        <f t="shared" si="32"/>
        <v>-68533</v>
      </c>
      <c r="X29" s="26">
        <f t="shared" ref="X29:AA29" si="33">X17+X20+X23+X26</f>
        <v>-70144</v>
      </c>
      <c r="Y29" s="26">
        <f t="shared" si="33"/>
        <v>-75762</v>
      </c>
      <c r="Z29" s="26">
        <f t="shared" si="33"/>
        <v>-275478</v>
      </c>
      <c r="AA29" s="26">
        <f t="shared" si="33"/>
        <v>-77717</v>
      </c>
      <c r="AB29" s="26">
        <f t="shared" ref="AB29:AC29" si="34">AB17+AB20+AB23+AB26</f>
        <v>-78494</v>
      </c>
      <c r="AC29" s="26">
        <f t="shared" si="34"/>
        <v>-80778</v>
      </c>
      <c r="AF29" s="397"/>
    </row>
    <row r="30" spans="1:57" ht="6" customHeight="1" x14ac:dyDescent="0.25">
      <c r="A30" s="59"/>
      <c r="B30" s="209"/>
      <c r="C30" s="206"/>
      <c r="D30" s="206"/>
      <c r="E30" s="206"/>
      <c r="F30" s="206"/>
      <c r="G30" s="206"/>
      <c r="AF30" s="383"/>
      <c r="AO30" s="27"/>
      <c r="AP30" s="27"/>
      <c r="AQ30" s="27"/>
      <c r="AR30" s="27"/>
      <c r="AS30" s="27"/>
      <c r="AT30" s="27"/>
      <c r="AU30" s="27"/>
      <c r="AV30" s="27"/>
      <c r="AW30" s="27"/>
      <c r="AX30" s="27"/>
      <c r="AY30" s="27"/>
      <c r="AZ30" s="27"/>
      <c r="BA30" s="27"/>
      <c r="BB30" s="27"/>
      <c r="BC30" s="27"/>
      <c r="BD30" s="27"/>
      <c r="BE30" s="27"/>
    </row>
    <row r="31" spans="1:57" s="27" customFormat="1" ht="12.75" x14ac:dyDescent="0.2">
      <c r="A31" s="58" t="s">
        <v>91</v>
      </c>
      <c r="B31" s="207">
        <f t="shared" ref="B31:K31" si="35">B13+B29</f>
        <v>17212</v>
      </c>
      <c r="C31" s="212">
        <f t="shared" si="35"/>
        <v>18268</v>
      </c>
      <c r="D31" s="212">
        <f t="shared" si="35"/>
        <v>20945</v>
      </c>
      <c r="E31" s="207">
        <f t="shared" si="35"/>
        <v>16300</v>
      </c>
      <c r="F31" s="212">
        <f t="shared" si="35"/>
        <v>72725</v>
      </c>
      <c r="G31" s="212">
        <f t="shared" si="35"/>
        <v>15150</v>
      </c>
      <c r="H31" s="42">
        <f t="shared" si="35"/>
        <v>17090</v>
      </c>
      <c r="I31" s="42">
        <f t="shared" si="35"/>
        <v>19674</v>
      </c>
      <c r="J31" s="42">
        <f t="shared" si="35"/>
        <v>-2093</v>
      </c>
      <c r="K31" s="42">
        <f t="shared" si="35"/>
        <v>49821</v>
      </c>
      <c r="L31" s="42">
        <f>L13+L29</f>
        <v>16861</v>
      </c>
      <c r="M31" s="42">
        <f>M13+M29</f>
        <v>13856</v>
      </c>
      <c r="N31" s="42">
        <f t="shared" ref="N31:U31" si="36">N13+N29</f>
        <v>22422</v>
      </c>
      <c r="O31" s="42">
        <f t="shared" si="36"/>
        <v>23314</v>
      </c>
      <c r="P31" s="42">
        <f t="shared" si="36"/>
        <v>76453</v>
      </c>
      <c r="Q31" s="42">
        <f t="shared" si="36"/>
        <v>27487</v>
      </c>
      <c r="R31" s="42">
        <f>R13+R29</f>
        <v>9866</v>
      </c>
      <c r="S31" s="42">
        <f t="shared" si="36"/>
        <v>34406</v>
      </c>
      <c r="T31" s="42">
        <f t="shared" si="36"/>
        <v>38263</v>
      </c>
      <c r="U31" s="42">
        <f t="shared" si="36"/>
        <v>110022</v>
      </c>
      <c r="V31" s="42">
        <f t="shared" ref="V31:W31" si="37">V13+V29</f>
        <v>41555</v>
      </c>
      <c r="W31" s="42">
        <f t="shared" si="37"/>
        <v>35830</v>
      </c>
      <c r="X31" s="42">
        <f t="shared" ref="X31:AB31" si="38">X13+X29</f>
        <v>42438</v>
      </c>
      <c r="Y31" s="42">
        <f t="shared" si="38"/>
        <v>36058</v>
      </c>
      <c r="Z31" s="42">
        <f t="shared" si="38"/>
        <v>155881</v>
      </c>
      <c r="AA31" s="42">
        <f t="shared" si="38"/>
        <v>43975</v>
      </c>
      <c r="AB31" s="42">
        <f t="shared" si="38"/>
        <v>47081</v>
      </c>
      <c r="AC31" s="42">
        <f t="shared" ref="AC31" si="39">AC13+AC29</f>
        <v>50111</v>
      </c>
      <c r="AF31" s="383"/>
    </row>
    <row r="32" spans="1:57" s="27" customFormat="1" ht="12.75" x14ac:dyDescent="0.2">
      <c r="A32" s="59" t="s">
        <v>127</v>
      </c>
      <c r="B32" s="208">
        <v>0.21425044091710754</v>
      </c>
      <c r="C32" s="208">
        <v>6.1352544736230641E-2</v>
      </c>
      <c r="D32" s="208">
        <v>0.1465403985110576</v>
      </c>
      <c r="E32" s="208">
        <v>-0.22177130580090709</v>
      </c>
      <c r="F32" s="208">
        <v>8.6262998260498103E-2</v>
      </c>
      <c r="G32" s="208">
        <f>G31/E31-1</f>
        <v>-7.055214723926384E-2</v>
      </c>
      <c r="H32" s="34">
        <f>H31/G31-1</f>
        <v>0.12805280528052809</v>
      </c>
      <c r="I32" s="34">
        <f>I31/H31-1</f>
        <v>0.15119953188999413</v>
      </c>
      <c r="J32" s="34">
        <f>J31/I31-1</f>
        <v>-1.1063840601809494</v>
      </c>
      <c r="K32" s="34">
        <f>K31/F31-1</f>
        <v>-0.31493984187005841</v>
      </c>
      <c r="L32" s="34">
        <f>L31/J31-1</f>
        <v>-9.0559006211180133</v>
      </c>
      <c r="M32" s="34">
        <f>M31/L31-1</f>
        <v>-0.17822193226973493</v>
      </c>
      <c r="N32" s="34">
        <f>N31/M31-1</f>
        <v>0.61821593533487307</v>
      </c>
      <c r="O32" s="34">
        <f>O31/N31-1</f>
        <v>3.9782356614039838E-2</v>
      </c>
      <c r="P32" s="34">
        <f>P31/K31-1</f>
        <v>0.53455370225406962</v>
      </c>
      <c r="Q32" s="34">
        <f>Q31/O31-1</f>
        <v>0.17899116410740334</v>
      </c>
      <c r="R32" s="34">
        <f>R31/Q31-1</f>
        <v>-0.64106668606977846</v>
      </c>
      <c r="S32" s="34">
        <f>S31/R31-1</f>
        <v>2.4873302250152038</v>
      </c>
      <c r="T32" s="34">
        <f>T31/S31-1</f>
        <v>0.11210254025460675</v>
      </c>
      <c r="U32" s="34">
        <f>U31/P31-1</f>
        <v>0.43908021921965124</v>
      </c>
      <c r="V32" s="34">
        <f>V31/T31-1</f>
        <v>8.6036118443404863E-2</v>
      </c>
      <c r="W32" s="34">
        <f>W31/V31-1</f>
        <v>-0.13776922151365656</v>
      </c>
      <c r="X32" s="34">
        <f>X31/W31-1</f>
        <v>0.18442645827518844</v>
      </c>
      <c r="Y32" s="34">
        <f>Y31/X31-1</f>
        <v>-0.15033696215655779</v>
      </c>
      <c r="Z32" s="34">
        <f>Z31/U31-1</f>
        <v>0.41681663667266555</v>
      </c>
      <c r="AA32" s="34">
        <f>AA31/Y31-1</f>
        <v>0.21956292639636144</v>
      </c>
      <c r="AB32" s="34">
        <f>AB31/AA31-1</f>
        <v>7.0631040363843045E-2</v>
      </c>
      <c r="AC32" s="34">
        <f>AC31/AB31-1</f>
        <v>6.4357171682844383E-2</v>
      </c>
      <c r="AF32" s="396"/>
    </row>
    <row r="33" spans="1:57" x14ac:dyDescent="0.25">
      <c r="A33" s="59" t="s">
        <v>66</v>
      </c>
      <c r="B33" s="208">
        <v>9.4037687193019831E-2</v>
      </c>
      <c r="C33" s="208">
        <v>9.6626943197025236E-2</v>
      </c>
      <c r="D33" s="208">
        <v>0.10889287478229223</v>
      </c>
      <c r="E33" s="208">
        <v>8.237523689197726E-2</v>
      </c>
      <c r="F33" s="208">
        <v>9.5400821188230511E-2</v>
      </c>
      <c r="G33" s="208">
        <v>7.3197953356234871E-2</v>
      </c>
      <c r="H33" s="34">
        <f t="shared" ref="H33:U33" si="40">IF(H31/H8&lt;0, "NM",H31/H8)</f>
        <v>8.1337572342369782E-2</v>
      </c>
      <c r="I33" s="34">
        <f t="shared" si="40"/>
        <v>8.5123137363493195E-2</v>
      </c>
      <c r="J33" s="35" t="str">
        <f t="shared" si="40"/>
        <v>NM</v>
      </c>
      <c r="K33" s="34">
        <f t="shared" si="40"/>
        <v>5.6415267825598567E-2</v>
      </c>
      <c r="L33" s="34">
        <f t="shared" si="40"/>
        <v>7.0379383319489258E-2</v>
      </c>
      <c r="M33" s="34">
        <f t="shared" si="40"/>
        <v>5.6901387628383343E-2</v>
      </c>
      <c r="N33" s="34">
        <f t="shared" si="40"/>
        <v>8.9191382382892051E-2</v>
      </c>
      <c r="O33" s="34">
        <f t="shared" si="40"/>
        <v>9.0761157307919893E-2</v>
      </c>
      <c r="P33" s="34">
        <f t="shared" si="40"/>
        <v>7.7120399941090198E-2</v>
      </c>
      <c r="Q33" s="34">
        <f t="shared" si="40"/>
        <v>0.11174031464693687</v>
      </c>
      <c r="R33" s="34">
        <f t="shared" si="40"/>
        <v>4.4346954461889757E-2</v>
      </c>
      <c r="S33" s="34">
        <f t="shared" si="40"/>
        <v>0.14275282344057291</v>
      </c>
      <c r="T33" s="34">
        <f t="shared" si="40"/>
        <v>0.15369567749735893</v>
      </c>
      <c r="U33" s="34">
        <f t="shared" si="40"/>
        <v>0.11479350690814391</v>
      </c>
      <c r="V33" s="34">
        <f t="shared" ref="V33" si="41">IF(V31/V8&lt;0, "NM",V31/V8)</f>
        <v>0.15896180402807797</v>
      </c>
      <c r="W33" s="34">
        <f>IF(W31/W8&lt;0, "NM",W31/W8)</f>
        <v>0.13026059389814734</v>
      </c>
      <c r="X33" s="34">
        <f>IF(X31/X8&lt;0, "NM",X31/X8)</f>
        <v>0.14617411521570653</v>
      </c>
      <c r="Y33" s="34">
        <f t="shared" ref="Y33:AA33" si="42">IF(Y31/Y8&lt;0, "NM",Y31/Y8)</f>
        <v>0.12202823116934979</v>
      </c>
      <c r="Z33" s="34">
        <f t="shared" si="42"/>
        <v>0.13889510136835925</v>
      </c>
      <c r="AA33" s="34">
        <f t="shared" si="42"/>
        <v>0.13357816334961484</v>
      </c>
      <c r="AB33" s="34">
        <f>IF(AB31/AB8&lt;0, "NM",AB31/AB8)</f>
        <v>0.13576540881591317</v>
      </c>
      <c r="AC33" s="34">
        <f>IF(AC31/AC8&lt;0, "NM",AC31/AC8)</f>
        <v>0.13867679901259441</v>
      </c>
      <c r="AF33" s="396"/>
      <c r="AO33" s="27"/>
      <c r="AP33" s="27"/>
      <c r="AQ33" s="27"/>
      <c r="AR33" s="27"/>
      <c r="AS33" s="27"/>
      <c r="AT33" s="27"/>
      <c r="AU33" s="27"/>
      <c r="AV33" s="27"/>
      <c r="AW33" s="27"/>
      <c r="AX33" s="27"/>
      <c r="AY33" s="27"/>
      <c r="AZ33" s="27"/>
      <c r="BA33" s="27"/>
      <c r="BB33" s="27"/>
      <c r="BC33" s="27"/>
      <c r="BD33" s="27"/>
      <c r="BE33" s="27"/>
    </row>
    <row r="34" spans="1:57" s="31" customFormat="1" ht="12.75" x14ac:dyDescent="0.2">
      <c r="A34" s="63" t="s">
        <v>7</v>
      </c>
      <c r="B34" s="210"/>
      <c r="C34" s="206"/>
      <c r="D34" s="231"/>
      <c r="E34" s="231"/>
      <c r="F34" s="231"/>
      <c r="G34" s="231"/>
      <c r="AF34" s="383"/>
      <c r="AO34" s="27"/>
      <c r="AP34" s="27"/>
      <c r="AQ34" s="27"/>
      <c r="AR34" s="27"/>
      <c r="AS34" s="27"/>
      <c r="AT34" s="27"/>
      <c r="AU34" s="27"/>
      <c r="AV34" s="27"/>
      <c r="AW34" s="27"/>
      <c r="AX34" s="27"/>
      <c r="AY34" s="27"/>
      <c r="AZ34" s="27"/>
      <c r="BA34" s="27"/>
      <c r="BB34" s="27"/>
      <c r="BC34" s="27"/>
      <c r="BD34" s="27"/>
      <c r="BE34" s="27"/>
    </row>
    <row r="35" spans="1:57" x14ac:dyDescent="0.25">
      <c r="A35" s="60" t="s">
        <v>15</v>
      </c>
      <c r="B35" s="213">
        <v>382</v>
      </c>
      <c r="C35" s="213">
        <v>886</v>
      </c>
      <c r="D35" s="213">
        <v>637</v>
      </c>
      <c r="E35" s="213">
        <f>+F35-SUM(B35,C35,D35)</f>
        <v>934</v>
      </c>
      <c r="F35" s="213">
        <v>2839</v>
      </c>
      <c r="G35" s="213">
        <v>615</v>
      </c>
      <c r="H35" s="65">
        <v>1414</v>
      </c>
      <c r="I35" s="65">
        <v>1385</v>
      </c>
      <c r="J35" s="183">
        <f>+K35-SUM(G35:I35)</f>
        <v>1373</v>
      </c>
      <c r="K35" s="65">
        <v>4787</v>
      </c>
      <c r="L35" s="65">
        <v>1260</v>
      </c>
      <c r="M35" s="65">
        <v>1202</v>
      </c>
      <c r="N35" s="65">
        <v>1009</v>
      </c>
      <c r="O35" s="183">
        <f>+P35-SUM(L35:N35)</f>
        <v>281</v>
      </c>
      <c r="P35" s="65">
        <v>3752</v>
      </c>
      <c r="Q35" s="65">
        <v>1377</v>
      </c>
      <c r="R35" s="65">
        <v>1359</v>
      </c>
      <c r="S35" s="65">
        <v>716</v>
      </c>
      <c r="T35" s="65">
        <f>+U35-SUM(Q35:S35)</f>
        <v>980</v>
      </c>
      <c r="U35" s="65">
        <v>4432</v>
      </c>
      <c r="V35" s="65">
        <v>434</v>
      </c>
      <c r="W35" s="65">
        <v>1353</v>
      </c>
      <c r="X35" s="65">
        <v>1171</v>
      </c>
      <c r="Y35" s="65">
        <f>+Z35-SUM(V35:X35)</f>
        <v>1355</v>
      </c>
      <c r="Z35" s="65">
        <v>4313</v>
      </c>
      <c r="AA35" s="65">
        <v>1756</v>
      </c>
      <c r="AB35" s="65">
        <v>1423</v>
      </c>
      <c r="AC35" s="65">
        <v>1504</v>
      </c>
      <c r="AF35" s="383"/>
      <c r="AO35" s="27"/>
      <c r="AP35" s="27"/>
      <c r="AQ35" s="27"/>
      <c r="AR35" s="27"/>
      <c r="AS35" s="27"/>
      <c r="AT35" s="27"/>
      <c r="AU35" s="27"/>
      <c r="AV35" s="27"/>
      <c r="AW35" s="27"/>
      <c r="AX35" s="27"/>
      <c r="AY35" s="27"/>
      <c r="AZ35" s="27"/>
      <c r="BA35" s="27"/>
      <c r="BB35" s="27"/>
      <c r="BC35" s="27"/>
      <c r="BD35" s="27"/>
      <c r="BE35" s="27"/>
    </row>
    <row r="36" spans="1:57" x14ac:dyDescent="0.25">
      <c r="A36" s="60" t="s">
        <v>90</v>
      </c>
      <c r="B36" s="209">
        <v>2754</v>
      </c>
      <c r="C36" s="209">
        <v>2047</v>
      </c>
      <c r="D36" s="209">
        <v>2314</v>
      </c>
      <c r="E36" s="209">
        <f>+F36-SUM(B36,C36,D36)</f>
        <v>2355</v>
      </c>
      <c r="F36" s="209">
        <v>9470</v>
      </c>
      <c r="G36" s="209">
        <v>2996</v>
      </c>
      <c r="H36" s="28">
        <v>1526</v>
      </c>
      <c r="I36" s="28">
        <v>-9</v>
      </c>
      <c r="J36" s="183">
        <f>+K36-SUM(G36:I36)</f>
        <v>1249</v>
      </c>
      <c r="K36" s="28">
        <v>5762</v>
      </c>
      <c r="L36" s="28">
        <v>841</v>
      </c>
      <c r="M36" s="28">
        <v>238</v>
      </c>
      <c r="N36" s="28">
        <v>1383</v>
      </c>
      <c r="O36" s="183">
        <f>+P36-SUM(L36:N36)</f>
        <v>433</v>
      </c>
      <c r="P36" s="28">
        <v>2895</v>
      </c>
      <c r="Q36" s="28">
        <v>-543</v>
      </c>
      <c r="R36" s="28">
        <v>1342</v>
      </c>
      <c r="S36" s="28">
        <v>-143</v>
      </c>
      <c r="T36" s="28">
        <f>+U36-SUM(Q36:S36)</f>
        <v>219</v>
      </c>
      <c r="U36" s="28">
        <v>875</v>
      </c>
      <c r="V36" s="28">
        <v>-1064</v>
      </c>
      <c r="W36" s="28">
        <v>-305</v>
      </c>
      <c r="X36" s="28">
        <v>-89</v>
      </c>
      <c r="Y36" s="28">
        <f>+Z36-SUM(V36:X36)</f>
        <v>670</v>
      </c>
      <c r="Z36" s="28">
        <v>-788</v>
      </c>
      <c r="AA36" s="28">
        <v>1535</v>
      </c>
      <c r="AB36" s="28">
        <v>-1676</v>
      </c>
      <c r="AC36" s="28">
        <v>-181</v>
      </c>
      <c r="AF36" s="397"/>
      <c r="AO36" s="27"/>
      <c r="AP36" s="27"/>
      <c r="AQ36" s="27"/>
      <c r="AR36" s="27"/>
      <c r="AS36" s="27"/>
      <c r="AT36" s="27"/>
      <c r="AU36" s="27"/>
      <c r="AV36" s="27"/>
      <c r="AW36" s="27"/>
      <c r="AX36" s="27"/>
      <c r="AY36" s="27"/>
      <c r="AZ36" s="27"/>
      <c r="BA36" s="27"/>
      <c r="BB36" s="27"/>
      <c r="BC36" s="27"/>
      <c r="BD36" s="27"/>
      <c r="BE36" s="27"/>
    </row>
    <row r="37" spans="1:57" ht="12.75" customHeight="1" outlineLevel="1" x14ac:dyDescent="0.25">
      <c r="A37" s="60" t="s">
        <v>248</v>
      </c>
      <c r="B37" s="209">
        <v>0</v>
      </c>
      <c r="C37" s="209">
        <v>0</v>
      </c>
      <c r="D37" s="209">
        <v>0</v>
      </c>
      <c r="E37" s="209">
        <v>0</v>
      </c>
      <c r="F37" s="209">
        <v>0</v>
      </c>
      <c r="G37" s="209">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65">
        <v>-12845</v>
      </c>
      <c r="Y37" s="28">
        <f>+Z37-SUM(V37:X37)</f>
        <v>0</v>
      </c>
      <c r="Z37" s="28">
        <v>-12845</v>
      </c>
      <c r="AA37" s="28">
        <v>0</v>
      </c>
      <c r="AB37" s="28">
        <v>0</v>
      </c>
      <c r="AC37" s="33">
        <v>0</v>
      </c>
      <c r="AF37" s="397"/>
      <c r="AO37" s="27"/>
      <c r="AP37" s="27"/>
      <c r="AQ37" s="27"/>
      <c r="AR37" s="27"/>
      <c r="AS37" s="27"/>
      <c r="AT37" s="27"/>
      <c r="AU37" s="27"/>
      <c r="AV37" s="27"/>
      <c r="AW37" s="27"/>
      <c r="AX37" s="27"/>
      <c r="AY37" s="27"/>
      <c r="AZ37" s="27"/>
      <c r="BA37" s="27"/>
      <c r="BB37" s="27"/>
      <c r="BC37" s="27"/>
      <c r="BD37" s="27"/>
      <c r="BE37" s="27"/>
    </row>
    <row r="38" spans="1:57" ht="6" customHeight="1" x14ac:dyDescent="0.25">
      <c r="A38" s="60"/>
      <c r="B38" s="209"/>
      <c r="C38" s="206"/>
      <c r="D38" s="206"/>
      <c r="E38" s="257"/>
      <c r="F38" s="206"/>
      <c r="G38" s="206"/>
      <c r="AF38" s="383"/>
      <c r="AO38" s="27"/>
      <c r="AP38" s="27"/>
      <c r="AQ38" s="27"/>
      <c r="AR38" s="27"/>
      <c r="AS38" s="27"/>
      <c r="AT38" s="27"/>
      <c r="AU38" s="27"/>
      <c r="AV38" s="27"/>
      <c r="AW38" s="27"/>
      <c r="AX38" s="27"/>
      <c r="AY38" s="27"/>
      <c r="AZ38" s="27"/>
      <c r="BA38" s="27"/>
      <c r="BB38" s="27"/>
      <c r="BC38" s="27"/>
      <c r="BD38" s="27"/>
      <c r="BE38" s="27"/>
    </row>
    <row r="39" spans="1:57" x14ac:dyDescent="0.25">
      <c r="A39" s="64" t="s">
        <v>92</v>
      </c>
      <c r="B39" s="212">
        <f t="shared" ref="B39:M39" si="43">B31+B36+B35+B37</f>
        <v>20348</v>
      </c>
      <c r="C39" s="212">
        <f t="shared" si="43"/>
        <v>21201</v>
      </c>
      <c r="D39" s="212">
        <f t="shared" si="43"/>
        <v>23896</v>
      </c>
      <c r="E39" s="207">
        <f t="shared" si="43"/>
        <v>19589</v>
      </c>
      <c r="F39" s="212">
        <f t="shared" si="43"/>
        <v>85034</v>
      </c>
      <c r="G39" s="212">
        <f t="shared" si="43"/>
        <v>18761</v>
      </c>
      <c r="H39" s="42">
        <f t="shared" si="43"/>
        <v>20030</v>
      </c>
      <c r="I39" s="42">
        <f t="shared" si="43"/>
        <v>21050</v>
      </c>
      <c r="J39" s="42">
        <f t="shared" si="43"/>
        <v>529</v>
      </c>
      <c r="K39" s="42">
        <f t="shared" si="43"/>
        <v>60370</v>
      </c>
      <c r="L39" s="42">
        <f t="shared" si="43"/>
        <v>18962</v>
      </c>
      <c r="M39" s="42">
        <f t="shared" si="43"/>
        <v>15296</v>
      </c>
      <c r="N39" s="42">
        <f t="shared" ref="N39:U39" si="44">N31+N36+N35+N37</f>
        <v>24814</v>
      </c>
      <c r="O39" s="42">
        <f t="shared" si="44"/>
        <v>24028</v>
      </c>
      <c r="P39" s="42">
        <f t="shared" si="44"/>
        <v>83100</v>
      </c>
      <c r="Q39" s="42">
        <f t="shared" si="44"/>
        <v>28321</v>
      </c>
      <c r="R39" s="42">
        <f>R31+R36+R35+R37</f>
        <v>12567</v>
      </c>
      <c r="S39" s="42">
        <f t="shared" si="44"/>
        <v>34979</v>
      </c>
      <c r="T39" s="42">
        <f t="shared" si="44"/>
        <v>39462</v>
      </c>
      <c r="U39" s="42">
        <f t="shared" si="44"/>
        <v>115329</v>
      </c>
      <c r="V39" s="42">
        <f t="shared" ref="V39:W39" si="45">V31+V36+V35+V37</f>
        <v>40925</v>
      </c>
      <c r="W39" s="42">
        <f t="shared" si="45"/>
        <v>36878</v>
      </c>
      <c r="X39" s="42">
        <f t="shared" ref="X39:AC39" si="46">X31+X36+X35+X37</f>
        <v>30675</v>
      </c>
      <c r="Y39" s="42">
        <f t="shared" si="46"/>
        <v>38083</v>
      </c>
      <c r="Z39" s="42">
        <f t="shared" si="46"/>
        <v>146561</v>
      </c>
      <c r="AA39" s="42">
        <f t="shared" si="46"/>
        <v>47266</v>
      </c>
      <c r="AB39" s="42">
        <f t="shared" si="46"/>
        <v>46828</v>
      </c>
      <c r="AC39" s="42">
        <f t="shared" si="46"/>
        <v>51434</v>
      </c>
      <c r="AF39" s="383"/>
      <c r="AO39" s="27"/>
      <c r="AP39" s="27"/>
      <c r="AQ39" s="27"/>
      <c r="AR39" s="27"/>
      <c r="AS39" s="27"/>
      <c r="AT39" s="27"/>
      <c r="AU39" s="27"/>
      <c r="AV39" s="27"/>
      <c r="AW39" s="27"/>
      <c r="AX39" s="27"/>
      <c r="AY39" s="27"/>
      <c r="AZ39" s="27"/>
      <c r="BA39" s="27"/>
      <c r="BB39" s="27"/>
      <c r="BC39" s="27"/>
      <c r="BD39" s="27"/>
      <c r="BE39" s="27"/>
    </row>
    <row r="40" spans="1:57" ht="6" customHeight="1" x14ac:dyDescent="0.25">
      <c r="A40" s="63"/>
      <c r="B40" s="209"/>
      <c r="C40" s="206"/>
      <c r="D40" s="206"/>
      <c r="E40" s="206"/>
      <c r="F40" s="206"/>
      <c r="G40" s="206"/>
      <c r="AF40" s="383"/>
      <c r="AO40" s="27"/>
      <c r="AP40" s="27"/>
      <c r="AQ40" s="27"/>
      <c r="AR40" s="27"/>
      <c r="AS40" s="27"/>
      <c r="AT40" s="27"/>
      <c r="AU40" s="27"/>
      <c r="AV40" s="27"/>
      <c r="AW40" s="27"/>
      <c r="AX40" s="27"/>
      <c r="AY40" s="27"/>
      <c r="AZ40" s="27"/>
      <c r="BA40" s="27"/>
      <c r="BB40" s="27"/>
      <c r="BC40" s="27"/>
      <c r="BD40" s="27"/>
      <c r="BE40" s="27"/>
    </row>
    <row r="41" spans="1:57" x14ac:dyDescent="0.25">
      <c r="A41" s="60" t="s">
        <v>59</v>
      </c>
      <c r="B41" s="213">
        <v>-3560</v>
      </c>
      <c r="C41" s="213">
        <v>-823</v>
      </c>
      <c r="D41" s="213">
        <v>-2819</v>
      </c>
      <c r="E41" s="209">
        <f>+F41-SUM(B41,C41,D41)</f>
        <v>-28944</v>
      </c>
      <c r="F41" s="213">
        <v>-36146</v>
      </c>
      <c r="G41" s="213">
        <v>4453</v>
      </c>
      <c r="H41" s="29">
        <v>-5510</v>
      </c>
      <c r="I41" s="29">
        <v>-5739</v>
      </c>
      <c r="J41" s="183">
        <f>+K41-SUM(G41:I41)</f>
        <v>3399</v>
      </c>
      <c r="K41" s="29">
        <v>-3397</v>
      </c>
      <c r="L41" s="29">
        <v>-4200</v>
      </c>
      <c r="M41" s="29">
        <v>-2670</v>
      </c>
      <c r="N41" s="29">
        <v>-5701</v>
      </c>
      <c r="O41" s="183">
        <f>+P41-SUM(L41:N41)</f>
        <v>-2601</v>
      </c>
      <c r="P41" s="29">
        <v>-15172</v>
      </c>
      <c r="Q41" s="29">
        <v>-5855</v>
      </c>
      <c r="R41" s="29">
        <v>-4072</v>
      </c>
      <c r="S41" s="29">
        <v>-8490</v>
      </c>
      <c r="T41" s="29">
        <f>+U41-SUM(Q41:S41)</f>
        <v>-7209</v>
      </c>
      <c r="U41" s="29">
        <v>-25626</v>
      </c>
      <c r="V41" s="29">
        <v>-8958</v>
      </c>
      <c r="W41" s="29">
        <v>-8865</v>
      </c>
      <c r="X41" s="29">
        <v>-4196</v>
      </c>
      <c r="Y41" s="29">
        <f>+Z41-SUM(V41:X41)</f>
        <v>-9831</v>
      </c>
      <c r="Z41" s="29">
        <v>-31850</v>
      </c>
      <c r="AA41" s="29">
        <v>-11202</v>
      </c>
      <c r="AB41" s="29">
        <v>-11125</v>
      </c>
      <c r="AC41" s="29">
        <v>-12447</v>
      </c>
      <c r="AF41" s="383"/>
      <c r="AO41" s="27"/>
      <c r="AP41" s="27"/>
      <c r="AQ41" s="27"/>
      <c r="AR41" s="27"/>
      <c r="AS41" s="27"/>
      <c r="AT41" s="27"/>
      <c r="AU41" s="27"/>
      <c r="AV41" s="27"/>
      <c r="AW41" s="27"/>
      <c r="AX41" s="27"/>
      <c r="AY41" s="27"/>
      <c r="AZ41" s="27"/>
      <c r="BA41" s="27"/>
      <c r="BB41" s="27"/>
      <c r="BC41" s="27"/>
      <c r="BD41" s="27"/>
      <c r="BE41" s="27"/>
    </row>
    <row r="42" spans="1:57" outlineLevel="1" x14ac:dyDescent="0.25">
      <c r="A42" s="60" t="s">
        <v>253</v>
      </c>
      <c r="B42" s="214">
        <v>0</v>
      </c>
      <c r="C42" s="214">
        <v>0</v>
      </c>
      <c r="D42" s="214">
        <v>0</v>
      </c>
      <c r="E42" s="214">
        <f>+F42-SUM(B42,C42,D42)</f>
        <v>0</v>
      </c>
      <c r="F42" s="214">
        <v>0</v>
      </c>
      <c r="G42" s="214">
        <v>-56</v>
      </c>
      <c r="H42" s="28">
        <v>-58</v>
      </c>
      <c r="I42" s="28">
        <v>-62</v>
      </c>
      <c r="J42" s="183">
        <f>+K42-SUM(G42:I42)</f>
        <v>-71</v>
      </c>
      <c r="K42" s="57">
        <v>-247</v>
      </c>
      <c r="L42" s="57">
        <v>-67</v>
      </c>
      <c r="M42" s="57">
        <v>-62</v>
      </c>
      <c r="N42" s="57">
        <v>-69</v>
      </c>
      <c r="O42" s="183">
        <f>+P42-SUM(L42:N42)</f>
        <v>-71</v>
      </c>
      <c r="P42" s="57">
        <v>-269</v>
      </c>
      <c r="Q42" s="57">
        <v>-55</v>
      </c>
      <c r="R42" s="57">
        <v>-66</v>
      </c>
      <c r="S42" s="57">
        <v>-71</v>
      </c>
      <c r="T42" s="57">
        <f>+U42-SUM(Q42:S42)</f>
        <v>-35</v>
      </c>
      <c r="U42" s="57">
        <v>-227</v>
      </c>
      <c r="V42" s="57">
        <v>-36</v>
      </c>
      <c r="W42" s="57">
        <v>8</v>
      </c>
      <c r="X42" s="57">
        <v>28</v>
      </c>
      <c r="Y42" s="57">
        <f>+Z42-SUM(V42:X42)</f>
        <v>47</v>
      </c>
      <c r="Z42" s="57">
        <v>47</v>
      </c>
      <c r="AA42" s="57">
        <v>114</v>
      </c>
      <c r="AB42" s="57">
        <v>143</v>
      </c>
      <c r="AC42" s="57">
        <v>108</v>
      </c>
      <c r="AF42" s="383"/>
      <c r="AO42" s="27"/>
      <c r="AP42" s="27"/>
      <c r="AQ42" s="27"/>
      <c r="AR42" s="27"/>
      <c r="AS42" s="27"/>
      <c r="AT42" s="27"/>
      <c r="AU42" s="27"/>
      <c r="AV42" s="27"/>
      <c r="AW42" s="27"/>
      <c r="AX42" s="27"/>
      <c r="AY42" s="27"/>
      <c r="AZ42" s="27"/>
      <c r="BA42" s="27"/>
      <c r="BB42" s="27"/>
      <c r="BC42" s="27"/>
      <c r="BD42" s="27"/>
      <c r="BE42" s="27"/>
    </row>
    <row r="43" spans="1:57" x14ac:dyDescent="0.25">
      <c r="A43" s="63" t="s">
        <v>91</v>
      </c>
      <c r="B43" s="214">
        <f>B39+B41+B42</f>
        <v>16788</v>
      </c>
      <c r="C43" s="214">
        <f>C39+C41+C42</f>
        <v>20378</v>
      </c>
      <c r="D43" s="214">
        <f>D39+D41+D42</f>
        <v>21077</v>
      </c>
      <c r="E43" s="209">
        <f>+F43-SUM(B43,C43,D43)</f>
        <v>-9355</v>
      </c>
      <c r="F43" s="214">
        <f t="shared" ref="F43:U43" si="47">F39+F41+F42</f>
        <v>48888</v>
      </c>
      <c r="G43" s="214">
        <f t="shared" si="47"/>
        <v>23158</v>
      </c>
      <c r="H43" s="57">
        <f t="shared" si="47"/>
        <v>14462</v>
      </c>
      <c r="I43" s="57">
        <f t="shared" si="47"/>
        <v>15249</v>
      </c>
      <c r="J43" s="57">
        <f t="shared" si="47"/>
        <v>3857</v>
      </c>
      <c r="K43" s="57">
        <f t="shared" si="47"/>
        <v>56726</v>
      </c>
      <c r="L43" s="57">
        <f t="shared" si="47"/>
        <v>14695</v>
      </c>
      <c r="M43" s="57">
        <f t="shared" si="47"/>
        <v>12564</v>
      </c>
      <c r="N43" s="57">
        <f t="shared" si="47"/>
        <v>19044</v>
      </c>
      <c r="O43" s="57">
        <f t="shared" si="47"/>
        <v>21356</v>
      </c>
      <c r="P43" s="57">
        <f t="shared" si="47"/>
        <v>67659</v>
      </c>
      <c r="Q43" s="57">
        <f t="shared" si="47"/>
        <v>22411</v>
      </c>
      <c r="R43" s="57">
        <f t="shared" si="47"/>
        <v>8429</v>
      </c>
      <c r="S43" s="57">
        <f t="shared" si="47"/>
        <v>26418</v>
      </c>
      <c r="T43" s="57">
        <f t="shared" si="47"/>
        <v>32218</v>
      </c>
      <c r="U43" s="57">
        <f t="shared" si="47"/>
        <v>89476</v>
      </c>
      <c r="V43" s="57">
        <f t="shared" ref="V43:W43" si="48">V39+V41+V42</f>
        <v>31931</v>
      </c>
      <c r="W43" s="57">
        <f t="shared" si="48"/>
        <v>28021</v>
      </c>
      <c r="X43" s="57">
        <f t="shared" ref="X43:AA43" si="49">X39+X41+X42</f>
        <v>26507</v>
      </c>
      <c r="Y43" s="57">
        <f t="shared" si="49"/>
        <v>28299</v>
      </c>
      <c r="Z43" s="57">
        <f t="shared" si="49"/>
        <v>114758</v>
      </c>
      <c r="AA43" s="57">
        <f t="shared" si="49"/>
        <v>36178</v>
      </c>
      <c r="AB43" s="57">
        <f t="shared" ref="AB43:AC43" si="50">AB39+AB41+AB42</f>
        <v>35846</v>
      </c>
      <c r="AC43" s="57">
        <f t="shared" si="50"/>
        <v>39095</v>
      </c>
      <c r="AF43" s="383"/>
      <c r="AO43" s="27"/>
      <c r="AP43" s="27"/>
      <c r="AQ43" s="27"/>
      <c r="AR43" s="27"/>
      <c r="AS43" s="27"/>
      <c r="AT43" s="27"/>
      <c r="AU43" s="27"/>
      <c r="AV43" s="27"/>
      <c r="AW43" s="27"/>
      <c r="AX43" s="27"/>
      <c r="AY43" s="27"/>
      <c r="AZ43" s="27"/>
      <c r="BA43" s="27"/>
      <c r="BB43" s="27"/>
      <c r="BC43" s="27"/>
      <c r="BD43" s="27"/>
      <c r="BE43" s="27"/>
    </row>
    <row r="44" spans="1:57" x14ac:dyDescent="0.25">
      <c r="A44" s="63" t="s">
        <v>93</v>
      </c>
      <c r="B44" s="214">
        <v>0</v>
      </c>
      <c r="C44" s="214">
        <v>0</v>
      </c>
      <c r="D44" s="214">
        <v>0</v>
      </c>
      <c r="E44" s="214">
        <f>+F44-SUM(B44,C44,D44)</f>
        <v>0</v>
      </c>
      <c r="F44" s="214">
        <v>0</v>
      </c>
      <c r="G44" s="214">
        <v>0</v>
      </c>
      <c r="H44" s="24">
        <v>0</v>
      </c>
      <c r="I44" s="24">
        <v>0</v>
      </c>
      <c r="J44" s="57">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F44" s="383"/>
      <c r="AO44" s="27"/>
      <c r="AP44" s="27"/>
      <c r="AQ44" s="27"/>
      <c r="AR44" s="27"/>
      <c r="AS44" s="27"/>
      <c r="AT44" s="27"/>
      <c r="AU44" s="27"/>
      <c r="AV44" s="27"/>
      <c r="AW44" s="27"/>
      <c r="AX44" s="27"/>
      <c r="AY44" s="27"/>
      <c r="AZ44" s="27"/>
      <c r="BA44" s="27"/>
      <c r="BB44" s="27"/>
      <c r="BC44" s="27"/>
      <c r="BD44" s="27"/>
      <c r="BE44" s="27"/>
    </row>
    <row r="45" spans="1:57" ht="6" customHeight="1" x14ac:dyDescent="0.25">
      <c r="A45" s="63"/>
      <c r="B45" s="209"/>
      <c r="C45" s="206"/>
      <c r="D45" s="206"/>
      <c r="E45" s="206"/>
      <c r="F45" s="206"/>
      <c r="G45" s="206"/>
      <c r="AF45" s="383"/>
      <c r="AO45" s="27"/>
      <c r="AP45" s="27"/>
      <c r="AQ45" s="27"/>
      <c r="AR45" s="27"/>
      <c r="AS45" s="27"/>
      <c r="AT45" s="27"/>
      <c r="AU45" s="27"/>
      <c r="AV45" s="27"/>
      <c r="AW45" s="27"/>
      <c r="AX45" s="27"/>
      <c r="AY45" s="27"/>
      <c r="AZ45" s="27"/>
      <c r="BA45" s="27"/>
      <c r="BB45" s="27"/>
      <c r="BC45" s="27"/>
      <c r="BD45" s="27"/>
      <c r="BE45" s="27"/>
    </row>
    <row r="46" spans="1:57" x14ac:dyDescent="0.25">
      <c r="A46" s="64" t="s">
        <v>94</v>
      </c>
      <c r="B46" s="212">
        <f t="shared" ref="B46:O46" si="51">B43+B44</f>
        <v>16788</v>
      </c>
      <c r="C46" s="212">
        <f t="shared" si="51"/>
        <v>20378</v>
      </c>
      <c r="D46" s="212">
        <f t="shared" si="51"/>
        <v>21077</v>
      </c>
      <c r="E46" s="207">
        <f t="shared" si="51"/>
        <v>-9355</v>
      </c>
      <c r="F46" s="212">
        <f t="shared" si="51"/>
        <v>48888</v>
      </c>
      <c r="G46" s="212">
        <f t="shared" si="51"/>
        <v>23158</v>
      </c>
      <c r="H46" s="42">
        <f t="shared" si="51"/>
        <v>14462</v>
      </c>
      <c r="I46" s="42">
        <f t="shared" si="51"/>
        <v>15249</v>
      </c>
      <c r="J46" s="42">
        <f t="shared" si="51"/>
        <v>3857</v>
      </c>
      <c r="K46" s="42">
        <f t="shared" si="51"/>
        <v>56726</v>
      </c>
      <c r="L46" s="42">
        <f t="shared" si="51"/>
        <v>14695</v>
      </c>
      <c r="M46" s="42">
        <f t="shared" si="51"/>
        <v>12564</v>
      </c>
      <c r="N46" s="42">
        <f t="shared" si="51"/>
        <v>19044</v>
      </c>
      <c r="O46" s="42">
        <f t="shared" si="51"/>
        <v>21356</v>
      </c>
      <c r="P46" s="42">
        <f t="shared" ref="P46:U46" si="52">P43+P44</f>
        <v>67659</v>
      </c>
      <c r="Q46" s="42">
        <f t="shared" si="52"/>
        <v>22411</v>
      </c>
      <c r="R46" s="42">
        <f t="shared" si="52"/>
        <v>8429</v>
      </c>
      <c r="S46" s="42">
        <f t="shared" si="52"/>
        <v>26418</v>
      </c>
      <c r="T46" s="42">
        <f t="shared" si="52"/>
        <v>32218</v>
      </c>
      <c r="U46" s="42">
        <f t="shared" si="52"/>
        <v>89476</v>
      </c>
      <c r="V46" s="42">
        <f t="shared" ref="V46:W46" si="53">V43+V44</f>
        <v>31931</v>
      </c>
      <c r="W46" s="42">
        <f t="shared" si="53"/>
        <v>28021</v>
      </c>
      <c r="X46" s="42">
        <f t="shared" ref="X46:AB46" si="54">X43+X44</f>
        <v>26507</v>
      </c>
      <c r="Y46" s="42">
        <f t="shared" si="54"/>
        <v>28299</v>
      </c>
      <c r="Z46" s="42">
        <f t="shared" si="54"/>
        <v>114758</v>
      </c>
      <c r="AA46" s="42">
        <f t="shared" si="54"/>
        <v>36178</v>
      </c>
      <c r="AB46" s="42">
        <f t="shared" si="54"/>
        <v>35846</v>
      </c>
      <c r="AC46" s="42">
        <f t="shared" ref="AC46" si="55">AC43+AC44</f>
        <v>39095</v>
      </c>
      <c r="AF46" s="383"/>
      <c r="AO46" s="27"/>
      <c r="AP46" s="27"/>
      <c r="AQ46" s="27"/>
      <c r="AR46" s="27"/>
      <c r="AS46" s="27"/>
      <c r="AT46" s="27"/>
      <c r="AU46" s="27"/>
      <c r="AV46" s="27"/>
      <c r="AW46" s="27"/>
      <c r="AX46" s="27"/>
      <c r="AY46" s="27"/>
      <c r="AZ46" s="27"/>
      <c r="BA46" s="27"/>
      <c r="BB46" s="27"/>
      <c r="BC46" s="27"/>
      <c r="BD46" s="27"/>
      <c r="BE46" s="27"/>
    </row>
    <row r="47" spans="1:57" s="27" customFormat="1" ht="12.75" x14ac:dyDescent="0.2">
      <c r="A47" s="59" t="s">
        <v>129</v>
      </c>
      <c r="B47" s="215">
        <f t="shared" ref="B47:K47" si="56">B46/B8</f>
        <v>9.1721165035813221E-2</v>
      </c>
      <c r="C47" s="215">
        <f t="shared" si="56"/>
        <v>0.10778759844914497</v>
      </c>
      <c r="D47" s="215">
        <f t="shared" si="56"/>
        <v>0.10957914164652058</v>
      </c>
      <c r="E47" s="215">
        <f t="shared" si="56"/>
        <v>-4.7277321541377135E-2</v>
      </c>
      <c r="F47" s="215">
        <f t="shared" si="56"/>
        <v>6.4131390116881584E-2</v>
      </c>
      <c r="G47" s="215">
        <f t="shared" si="56"/>
        <v>0.11188899035139849</v>
      </c>
      <c r="H47" s="35">
        <f t="shared" si="56"/>
        <v>6.8829957356076762E-2</v>
      </c>
      <c r="I47" s="35">
        <f t="shared" si="56"/>
        <v>6.5977570481646222E-2</v>
      </c>
      <c r="J47" s="35">
        <f t="shared" si="56"/>
        <v>1.6419543385993367E-2</v>
      </c>
      <c r="K47" s="35">
        <f t="shared" si="56"/>
        <v>6.4234208118562536E-2</v>
      </c>
      <c r="L47" s="35">
        <f>L46/L8</f>
        <v>6.1338297721362588E-2</v>
      </c>
      <c r="M47" s="35">
        <f>M46/M8</f>
        <v>5.1595628908993094E-2</v>
      </c>
      <c r="N47" s="35">
        <f t="shared" ref="N47:U47" si="57">N46/N8</f>
        <v>7.5754200610997968E-2</v>
      </c>
      <c r="O47" s="35">
        <f t="shared" si="57"/>
        <v>8.3138683858108325E-2</v>
      </c>
      <c r="P47" s="35">
        <f t="shared" si="57"/>
        <v>6.8249632318080664E-2</v>
      </c>
      <c r="Q47" s="35">
        <f t="shared" si="57"/>
        <v>9.1105329484938408E-2</v>
      </c>
      <c r="R47" s="35">
        <f>R46/R8</f>
        <v>3.7887743681255706E-2</v>
      </c>
      <c r="S47" s="35">
        <f t="shared" si="57"/>
        <v>0.10961007061713234</v>
      </c>
      <c r="T47" s="35">
        <f t="shared" si="57"/>
        <v>0.12941398577241486</v>
      </c>
      <c r="U47" s="35">
        <f t="shared" si="57"/>
        <v>9.3356454382878734E-2</v>
      </c>
      <c r="V47" s="35">
        <f t="shared" ref="V47:W47" si="58">V46/V8</f>
        <v>0.12214677811143201</v>
      </c>
      <c r="W47" s="35">
        <f t="shared" si="58"/>
        <v>0.10187083733240264</v>
      </c>
      <c r="X47" s="35">
        <f t="shared" ref="X47:AB47" si="59">X46/X8</f>
        <v>9.1301128046155172E-2</v>
      </c>
      <c r="Y47" s="35">
        <f t="shared" si="59"/>
        <v>9.5770062506556924E-2</v>
      </c>
      <c r="Z47" s="35">
        <f t="shared" si="59"/>
        <v>0.10225315492478346</v>
      </c>
      <c r="AA47" s="35">
        <f t="shared" si="59"/>
        <v>0.10989404874729654</v>
      </c>
      <c r="AB47" s="35">
        <f t="shared" si="59"/>
        <v>0.10336753349366461</v>
      </c>
      <c r="AC47" s="35">
        <f t="shared" ref="AC47" si="60">AC46/AC8</f>
        <v>0.10819120467357224</v>
      </c>
      <c r="AF47" s="396"/>
    </row>
    <row r="48" spans="1:57" s="27" customFormat="1" ht="12.75" x14ac:dyDescent="0.2">
      <c r="A48" s="59" t="s">
        <v>127</v>
      </c>
      <c r="B48" s="208">
        <v>8.3935950413223104E-2</v>
      </c>
      <c r="C48" s="208">
        <v>0.21384322134858236</v>
      </c>
      <c r="D48" s="208">
        <v>3.430169790951032E-2</v>
      </c>
      <c r="E48" s="208">
        <v>-1.4438487450775728</v>
      </c>
      <c r="F48" s="215" t="s">
        <v>80</v>
      </c>
      <c r="G48" s="208">
        <f>G46/E46-1</f>
        <v>-3.4754676643506146</v>
      </c>
      <c r="H48" s="35">
        <f>H46/G46-1</f>
        <v>-0.37550738405734518</v>
      </c>
      <c r="I48" s="35">
        <f>I46/H46-1</f>
        <v>5.4418476006084848E-2</v>
      </c>
      <c r="J48" s="35">
        <f>J46/I46-1</f>
        <v>-0.74706538133648115</v>
      </c>
      <c r="K48" s="35" t="s">
        <v>80</v>
      </c>
      <c r="L48" s="35">
        <f>L46/J46-1</f>
        <v>2.8099559242934924</v>
      </c>
      <c r="M48" s="35">
        <f>M46/L46-1</f>
        <v>-0.14501531133038448</v>
      </c>
      <c r="N48" s="35">
        <f>N46/M46-1</f>
        <v>0.51575931232091698</v>
      </c>
      <c r="O48" s="35">
        <f>O46/N46-1</f>
        <v>0.12140306658265065</v>
      </c>
      <c r="P48" s="35" t="s">
        <v>80</v>
      </c>
      <c r="Q48" s="35">
        <f>Q46/O46-1</f>
        <v>4.9400636823375255E-2</v>
      </c>
      <c r="R48" s="35">
        <f>R46/Q46-1</f>
        <v>-0.62389005399134356</v>
      </c>
      <c r="S48" s="35">
        <f>S46/R46-1</f>
        <v>2.1341796179855264</v>
      </c>
      <c r="T48" s="35">
        <f>T46/S46-1</f>
        <v>0.21954727837080767</v>
      </c>
      <c r="U48" s="35" t="s">
        <v>80</v>
      </c>
      <c r="V48" s="35">
        <f>V46/T46-1</f>
        <v>-8.908063815258549E-3</v>
      </c>
      <c r="W48" s="35">
        <f>W46/V46-1</f>
        <v>-0.122451536124769</v>
      </c>
      <c r="X48" s="35">
        <f>X46/W46-1</f>
        <v>-5.403090539238431E-2</v>
      </c>
      <c r="Y48" s="35">
        <f>Y46/X46-1</f>
        <v>6.7604783642056798E-2</v>
      </c>
      <c r="Z48" s="35" t="s">
        <v>80</v>
      </c>
      <c r="AA48" s="35">
        <f>AA46/Y46-1</f>
        <v>0.27841973214601223</v>
      </c>
      <c r="AB48" s="35">
        <f>AB46/AA46-1</f>
        <v>-9.1768478080601623E-3</v>
      </c>
      <c r="AC48" s="35">
        <f>AC46/AB46-1</f>
        <v>9.0637728058918787E-2</v>
      </c>
      <c r="AF48" s="396"/>
    </row>
    <row r="49" spans="1:57" s="27" customFormat="1" ht="13.5" thickBot="1" x14ac:dyDescent="0.25">
      <c r="A49" s="108" t="s">
        <v>128</v>
      </c>
      <c r="B49" s="216">
        <v>0.21476121562952244</v>
      </c>
      <c r="C49" s="216">
        <v>0.24445801526717559</v>
      </c>
      <c r="D49" s="216">
        <v>0.31320872274143308</v>
      </c>
      <c r="E49" s="216">
        <v>-1.6040123827832975</v>
      </c>
      <c r="F49" s="216">
        <v>-0.20807480966286707</v>
      </c>
      <c r="G49" s="216">
        <f t="shared" ref="G49:O49" si="61">G46/B46-1</f>
        <v>0.37943769359066004</v>
      </c>
      <c r="H49" s="78">
        <f t="shared" si="61"/>
        <v>-0.2903130827362842</v>
      </c>
      <c r="I49" s="78">
        <f t="shared" si="61"/>
        <v>-0.27650993974474547</v>
      </c>
      <c r="J49" s="78">
        <f t="shared" si="61"/>
        <v>-1.4122928915018707</v>
      </c>
      <c r="K49" s="78">
        <f t="shared" si="61"/>
        <v>0.16032564228440527</v>
      </c>
      <c r="L49" s="78">
        <f t="shared" si="61"/>
        <v>-0.3654460661542448</v>
      </c>
      <c r="M49" s="78">
        <f t="shared" si="61"/>
        <v>-0.13124049232471302</v>
      </c>
      <c r="N49" s="78">
        <f t="shared" si="61"/>
        <v>0.24886877828054299</v>
      </c>
      <c r="O49" s="78">
        <f t="shared" si="61"/>
        <v>4.5369458128078817</v>
      </c>
      <c r="P49" s="78">
        <f t="shared" ref="P49:V49" si="62">P46/K46-1</f>
        <v>0.19273349081549918</v>
      </c>
      <c r="Q49" s="78">
        <f t="shared" si="62"/>
        <v>0.52507655665192243</v>
      </c>
      <c r="R49" s="78">
        <f t="shared" si="62"/>
        <v>-0.32911493155046168</v>
      </c>
      <c r="S49" s="78">
        <f t="shared" si="62"/>
        <v>0.38720856962822947</v>
      </c>
      <c r="T49" s="78">
        <f t="shared" si="62"/>
        <v>0.50861584566398199</v>
      </c>
      <c r="U49" s="78">
        <f t="shared" si="62"/>
        <v>0.32245525355089488</v>
      </c>
      <c r="V49" s="78">
        <f t="shared" si="62"/>
        <v>0.42479139708179026</v>
      </c>
      <c r="W49" s="78">
        <f>W46/R46-1</f>
        <v>2.3243563886582037</v>
      </c>
      <c r="X49" s="78">
        <f>X46/S46-1</f>
        <v>3.36891513362092E-3</v>
      </c>
      <c r="Y49" s="78">
        <f t="shared" ref="Y49:AA49" si="63">Y46/T46-1</f>
        <v>-0.12164007697560375</v>
      </c>
      <c r="Z49" s="78">
        <f t="shared" si="63"/>
        <v>0.2825562161920514</v>
      </c>
      <c r="AA49" s="78">
        <f t="shared" si="63"/>
        <v>0.13300554320253055</v>
      </c>
      <c r="AB49" s="78">
        <f>AB46/W46-1</f>
        <v>0.27925484458085004</v>
      </c>
      <c r="AC49" s="78">
        <f>AC46/X46-1</f>
        <v>0.47489342437846616</v>
      </c>
      <c r="AF49" s="396"/>
    </row>
    <row r="50" spans="1:57" s="27" customFormat="1" ht="14.25" x14ac:dyDescent="0.2">
      <c r="A50" s="60" t="s">
        <v>241</v>
      </c>
      <c r="B50" s="208"/>
      <c r="C50" s="229"/>
      <c r="D50" s="229"/>
      <c r="E50" s="229"/>
      <c r="F50" s="229"/>
      <c r="G50" s="229"/>
      <c r="AF50" s="383"/>
    </row>
    <row r="51" spans="1:57" s="27" customFormat="1" ht="12.75" x14ac:dyDescent="0.2">
      <c r="A51" s="88" t="s">
        <v>98</v>
      </c>
      <c r="B51" s="208"/>
      <c r="C51" s="229"/>
      <c r="D51" s="229"/>
      <c r="E51" s="229"/>
      <c r="F51" s="229"/>
      <c r="G51" s="229"/>
      <c r="AF51" s="383"/>
    </row>
    <row r="52" spans="1:57" x14ac:dyDescent="0.25">
      <c r="A52" s="89" t="s">
        <v>96</v>
      </c>
      <c r="B52" s="217">
        <f t="shared" ref="B52:T52" si="64">B43/B60</f>
        <v>0.49602750662922263</v>
      </c>
      <c r="C52" s="217">
        <f t="shared" si="64"/>
        <v>0.60255499452548877</v>
      </c>
      <c r="D52" s="217">
        <f t="shared" si="64"/>
        <v>0.6228727188115103</v>
      </c>
      <c r="E52" s="217">
        <f t="shared" si="64"/>
        <v>-0.2744471334388337</v>
      </c>
      <c r="F52" s="217">
        <f t="shared" si="64"/>
        <v>1.4422125448102174</v>
      </c>
      <c r="G52" s="217">
        <f t="shared" si="64"/>
        <v>0.67229867038262792</v>
      </c>
      <c r="H52" s="32">
        <f t="shared" si="64"/>
        <v>0.41904265183124711</v>
      </c>
      <c r="I52" s="32">
        <f t="shared" si="64"/>
        <v>0.44252590034533795</v>
      </c>
      <c r="J52" s="32">
        <f t="shared" si="64"/>
        <v>0.11216121902989415</v>
      </c>
      <c r="K52" s="32">
        <f t="shared" si="64"/>
        <v>1.6465704914226003</v>
      </c>
      <c r="L52" s="32">
        <f t="shared" si="64"/>
        <v>0.42749090909090909</v>
      </c>
      <c r="M52" s="32">
        <f t="shared" si="64"/>
        <v>0.36468129571577845</v>
      </c>
      <c r="N52" s="32">
        <f t="shared" si="64"/>
        <v>0.55486277023483477</v>
      </c>
      <c r="O52" s="32">
        <f t="shared" si="64"/>
        <v>0.62347823548302339</v>
      </c>
      <c r="P52" s="32">
        <f t="shared" si="64"/>
        <v>1.9696943231441049</v>
      </c>
      <c r="Q52" s="32">
        <f t="shared" si="64"/>
        <v>0.65144468344863671</v>
      </c>
      <c r="R52" s="32">
        <f t="shared" si="64"/>
        <v>0.24441802470567767</v>
      </c>
      <c r="S52" s="32">
        <f t="shared" si="64"/>
        <v>0.76959827541002712</v>
      </c>
      <c r="T52" s="32">
        <f t="shared" si="64"/>
        <v>0.95088837730948583</v>
      </c>
      <c r="U52" s="32">
        <f>U43/U60</f>
        <v>2.6106847956117059</v>
      </c>
      <c r="V52" s="32">
        <f t="shared" ref="V52:W53" si="65">V43/V60</f>
        <v>0.94655243967510527</v>
      </c>
      <c r="W52" s="32">
        <f t="shared" si="65"/>
        <v>0.83467874057966696</v>
      </c>
      <c r="X52" s="32">
        <f t="shared" ref="X52:Y52" si="66">X43/X60</f>
        <v>0.79246016323357948</v>
      </c>
      <c r="Y52" s="32">
        <f t="shared" si="66"/>
        <v>0.84608485065925199</v>
      </c>
      <c r="Z52" s="32">
        <f>Z43/Z60</f>
        <v>3.4206086619571372</v>
      </c>
      <c r="AA52" s="32">
        <f t="shared" ref="AA52:AB52" si="67">AA43/AA60</f>
        <v>1.0818132886789067</v>
      </c>
      <c r="AB52" s="32">
        <f t="shared" si="67"/>
        <v>1.073137143370356</v>
      </c>
      <c r="AC52" s="32">
        <f t="shared" ref="AC52" si="68">AC43/AC60</f>
        <v>1.176213971959805</v>
      </c>
      <c r="AF52" s="383"/>
      <c r="AO52" s="27"/>
      <c r="AP52" s="27"/>
      <c r="AQ52" s="27"/>
      <c r="AR52" s="27"/>
      <c r="AS52" s="27"/>
      <c r="AT52" s="27"/>
      <c r="AU52" s="27"/>
      <c r="AV52" s="27"/>
      <c r="AW52" s="27"/>
      <c r="AX52" s="27"/>
      <c r="AY52" s="27"/>
      <c r="AZ52" s="27"/>
      <c r="BA52" s="27"/>
      <c r="BB52" s="27"/>
      <c r="BC52" s="27"/>
      <c r="BD52" s="27"/>
      <c r="BE52" s="27"/>
    </row>
    <row r="53" spans="1:57" x14ac:dyDescent="0.25">
      <c r="A53" s="89" t="s">
        <v>97</v>
      </c>
      <c r="B53" s="218">
        <f t="shared" ref="B53:M53" si="69">B44/B60</f>
        <v>0</v>
      </c>
      <c r="C53" s="218">
        <f t="shared" si="69"/>
        <v>0</v>
      </c>
      <c r="D53" s="218">
        <f t="shared" si="69"/>
        <v>0</v>
      </c>
      <c r="E53" s="218">
        <f t="shared" si="69"/>
        <v>0</v>
      </c>
      <c r="F53" s="218">
        <f t="shared" si="69"/>
        <v>0</v>
      </c>
      <c r="G53" s="218">
        <f t="shared" si="69"/>
        <v>0</v>
      </c>
      <c r="H53" s="77">
        <f t="shared" si="69"/>
        <v>0</v>
      </c>
      <c r="I53" s="77">
        <f t="shared" si="69"/>
        <v>0</v>
      </c>
      <c r="J53" s="77">
        <f t="shared" si="69"/>
        <v>0</v>
      </c>
      <c r="K53" s="77">
        <f t="shared" si="69"/>
        <v>0</v>
      </c>
      <c r="L53" s="77">
        <f t="shared" si="69"/>
        <v>0</v>
      </c>
      <c r="M53" s="77">
        <f t="shared" si="69"/>
        <v>0</v>
      </c>
      <c r="N53" s="77">
        <f t="shared" ref="N53:T53" si="70">N44/N60</f>
        <v>0</v>
      </c>
      <c r="O53" s="77">
        <f t="shared" si="70"/>
        <v>0</v>
      </c>
      <c r="P53" s="77">
        <f t="shared" si="70"/>
        <v>0</v>
      </c>
      <c r="Q53" s="77">
        <f t="shared" si="70"/>
        <v>0</v>
      </c>
      <c r="R53" s="77">
        <f>R44/R60</f>
        <v>0</v>
      </c>
      <c r="S53" s="77">
        <f t="shared" si="70"/>
        <v>0</v>
      </c>
      <c r="T53" s="77">
        <f t="shared" si="70"/>
        <v>0</v>
      </c>
      <c r="U53" s="77">
        <f>U44/U60</f>
        <v>0</v>
      </c>
      <c r="V53" s="32">
        <f t="shared" si="65"/>
        <v>0</v>
      </c>
      <c r="W53" s="32">
        <f t="shared" si="65"/>
        <v>0</v>
      </c>
      <c r="X53" s="32">
        <f t="shared" ref="X53" si="71">X44/X61</f>
        <v>0</v>
      </c>
      <c r="Y53" s="77">
        <f t="shared" ref="Y53" si="72">Y44/Y60</f>
        <v>0</v>
      </c>
      <c r="Z53" s="77">
        <f>Z44/Z60</f>
        <v>0</v>
      </c>
      <c r="AA53" s="32">
        <f t="shared" ref="AA53:AB53" si="73">AA44/AA61</f>
        <v>0</v>
      </c>
      <c r="AB53" s="32">
        <f t="shared" si="73"/>
        <v>0</v>
      </c>
      <c r="AC53" s="32">
        <f t="shared" ref="AC53" si="74">AC44/AC61</f>
        <v>0</v>
      </c>
      <c r="AF53" s="383"/>
      <c r="AO53" s="27"/>
      <c r="AP53" s="27"/>
      <c r="AQ53" s="27"/>
      <c r="AR53" s="27"/>
      <c r="AS53" s="27"/>
      <c r="AT53" s="27"/>
      <c r="AU53" s="27"/>
      <c r="AV53" s="27"/>
      <c r="AW53" s="27"/>
      <c r="AX53" s="27"/>
      <c r="AY53" s="27"/>
      <c r="AZ53" s="27"/>
      <c r="BA53" s="27"/>
      <c r="BB53" s="27"/>
      <c r="BC53" s="27"/>
      <c r="BD53" s="27"/>
      <c r="BE53" s="27"/>
    </row>
    <row r="54" spans="1:57" x14ac:dyDescent="0.25">
      <c r="A54" s="91" t="s">
        <v>99</v>
      </c>
      <c r="B54" s="219">
        <f t="shared" ref="B54:M54" si="75">SUM(B52:B53)</f>
        <v>0.49602750662922263</v>
      </c>
      <c r="C54" s="219">
        <f t="shared" si="75"/>
        <v>0.60255499452548877</v>
      </c>
      <c r="D54" s="219">
        <f t="shared" si="75"/>
        <v>0.6228727188115103</v>
      </c>
      <c r="E54" s="219">
        <f t="shared" si="75"/>
        <v>-0.2744471334388337</v>
      </c>
      <c r="F54" s="219">
        <f t="shared" si="75"/>
        <v>1.4422125448102174</v>
      </c>
      <c r="G54" s="219">
        <f t="shared" si="75"/>
        <v>0.67229867038262792</v>
      </c>
      <c r="H54" s="141">
        <f t="shared" si="75"/>
        <v>0.41904265183124711</v>
      </c>
      <c r="I54" s="141">
        <f t="shared" si="75"/>
        <v>0.44252590034533795</v>
      </c>
      <c r="J54" s="141">
        <f t="shared" si="75"/>
        <v>0.11216121902989415</v>
      </c>
      <c r="K54" s="141">
        <f t="shared" si="75"/>
        <v>1.6465704914226003</v>
      </c>
      <c r="L54" s="141">
        <f t="shared" si="75"/>
        <v>0.42749090909090909</v>
      </c>
      <c r="M54" s="141">
        <f t="shared" si="75"/>
        <v>0.36468129571577845</v>
      </c>
      <c r="N54" s="141">
        <f t="shared" ref="N54:U54" si="76">SUM(N52:N53)</f>
        <v>0.55486277023483477</v>
      </c>
      <c r="O54" s="141">
        <f t="shared" si="76"/>
        <v>0.62347823548302339</v>
      </c>
      <c r="P54" s="141">
        <f t="shared" si="76"/>
        <v>1.9696943231441049</v>
      </c>
      <c r="Q54" s="141">
        <f t="shared" si="76"/>
        <v>0.65144468344863671</v>
      </c>
      <c r="R54" s="141">
        <f>SUM(R52:R53)</f>
        <v>0.24441802470567767</v>
      </c>
      <c r="S54" s="141">
        <f t="shared" si="76"/>
        <v>0.76959827541002712</v>
      </c>
      <c r="T54" s="141">
        <f t="shared" si="76"/>
        <v>0.95088837730948583</v>
      </c>
      <c r="U54" s="141">
        <f t="shared" si="76"/>
        <v>2.6106847956117059</v>
      </c>
      <c r="V54" s="141">
        <f t="shared" ref="V54:W54" si="77">SUM(V52:V53)</f>
        <v>0.94655243967510527</v>
      </c>
      <c r="W54" s="141">
        <f t="shared" si="77"/>
        <v>0.83467874057966696</v>
      </c>
      <c r="X54" s="141">
        <f t="shared" ref="X54:AB54" si="78">SUM(X52:X53)</f>
        <v>0.79246016323357948</v>
      </c>
      <c r="Y54" s="141">
        <f t="shared" si="78"/>
        <v>0.84608485065925199</v>
      </c>
      <c r="Z54" s="141">
        <f t="shared" si="78"/>
        <v>3.4206086619571372</v>
      </c>
      <c r="AA54" s="141">
        <f t="shared" si="78"/>
        <v>1.0818132886789067</v>
      </c>
      <c r="AB54" s="141">
        <f t="shared" si="78"/>
        <v>1.073137143370356</v>
      </c>
      <c r="AC54" s="141">
        <f t="shared" ref="AC54" si="79">SUM(AC52:AC53)</f>
        <v>1.176213971959805</v>
      </c>
      <c r="AF54" s="383"/>
      <c r="AO54" s="27"/>
      <c r="AP54" s="27"/>
      <c r="AQ54" s="27"/>
      <c r="AR54" s="27"/>
      <c r="AS54" s="27"/>
      <c r="AT54" s="27"/>
      <c r="AU54" s="27"/>
      <c r="AV54" s="27"/>
      <c r="AW54" s="27"/>
      <c r="AX54" s="27"/>
      <c r="AY54" s="27"/>
      <c r="AZ54" s="27"/>
      <c r="BA54" s="27"/>
      <c r="BB54" s="27"/>
      <c r="BC54" s="27"/>
      <c r="BD54" s="27"/>
      <c r="BE54" s="27"/>
    </row>
    <row r="55" spans="1:57" x14ac:dyDescent="0.25">
      <c r="A55" s="88" t="s">
        <v>95</v>
      </c>
      <c r="B55" s="218"/>
      <c r="C55" s="206"/>
      <c r="D55" s="206"/>
      <c r="E55" s="206"/>
      <c r="F55" s="206"/>
      <c r="G55" s="206"/>
      <c r="AF55" s="383"/>
      <c r="AO55" s="27"/>
      <c r="AP55" s="27"/>
      <c r="AQ55" s="27"/>
      <c r="AR55" s="27"/>
      <c r="AS55" s="27"/>
      <c r="AT55" s="27"/>
      <c r="AU55" s="27"/>
      <c r="AV55" s="27"/>
      <c r="AW55" s="27"/>
      <c r="AX55" s="27"/>
      <c r="AY55" s="27"/>
      <c r="AZ55" s="27"/>
      <c r="BA55" s="27"/>
      <c r="BB55" s="27"/>
      <c r="BC55" s="27"/>
      <c r="BD55" s="27"/>
      <c r="BE55" s="27"/>
    </row>
    <row r="56" spans="1:57" x14ac:dyDescent="0.25">
      <c r="A56" s="89" t="s">
        <v>96</v>
      </c>
      <c r="B56" s="217">
        <f t="shared" ref="B56:U56" si="80">B43/B61</f>
        <v>0.47816959822303656</v>
      </c>
      <c r="C56" s="217">
        <f t="shared" si="80"/>
        <v>0.58234128152395892</v>
      </c>
      <c r="D56" s="217">
        <f t="shared" si="80"/>
        <v>0.60144411941537002</v>
      </c>
      <c r="E56" s="217">
        <f t="shared" si="80"/>
        <v>-0.2744471334388337</v>
      </c>
      <c r="F56" s="217">
        <f t="shared" si="80"/>
        <v>1.3924154699406848</v>
      </c>
      <c r="G56" s="217">
        <f t="shared" si="80"/>
        <v>0.65597824547488881</v>
      </c>
      <c r="H56" s="32">
        <f t="shared" si="80"/>
        <v>0.41153036252916736</v>
      </c>
      <c r="I56" s="32">
        <f t="shared" si="80"/>
        <v>0.43311179277436945</v>
      </c>
      <c r="J56" s="32">
        <f t="shared" si="80"/>
        <v>0.11044929984822886</v>
      </c>
      <c r="K56" s="32">
        <f t="shared" si="80"/>
        <v>1.6193086123718992</v>
      </c>
      <c r="L56" s="32">
        <f t="shared" si="80"/>
        <v>0.42187006574225588</v>
      </c>
      <c r="M56" s="32">
        <f t="shared" si="80"/>
        <v>0.3620436273521021</v>
      </c>
      <c r="N56" s="32">
        <f t="shared" si="80"/>
        <v>0.54883426035332428</v>
      </c>
      <c r="O56" s="32">
        <f t="shared" si="80"/>
        <v>0.61549989912672565</v>
      </c>
      <c r="P56" s="32">
        <f t="shared" si="80"/>
        <v>1.9479745487000835</v>
      </c>
      <c r="Q56" s="32">
        <f t="shared" si="80"/>
        <v>0.64545952017511021</v>
      </c>
      <c r="R56" s="32">
        <f t="shared" si="80"/>
        <v>0.2436267992369501</v>
      </c>
      <c r="S56" s="32">
        <f t="shared" si="80"/>
        <v>0.76494093120222373</v>
      </c>
      <c r="T56" s="32">
        <f t="shared" si="80"/>
        <v>0.9373872563281932</v>
      </c>
      <c r="U56" s="32">
        <f t="shared" si="80"/>
        <v>2.5893792504702646</v>
      </c>
      <c r="V56" s="32">
        <f t="shared" ref="V56:W56" si="81">V43/V61</f>
        <v>0.93044466460749464</v>
      </c>
      <c r="W56" s="32">
        <f t="shared" si="81"/>
        <v>0.81480081419017159</v>
      </c>
      <c r="X56" s="32">
        <f t="shared" ref="X56:AB56" si="82">X43/X61</f>
        <v>0.77266367399288749</v>
      </c>
      <c r="Y56" s="32">
        <f t="shared" si="82"/>
        <v>0.83310763071125771</v>
      </c>
      <c r="Z56" s="32">
        <f t="shared" si="82"/>
        <v>3.3511856091578087</v>
      </c>
      <c r="AA56" s="32">
        <f t="shared" si="82"/>
        <v>1.0673550671190442</v>
      </c>
      <c r="AB56" s="32">
        <f t="shared" si="82"/>
        <v>1.0595607578847803</v>
      </c>
      <c r="AC56" s="32">
        <f t="shared" ref="AC56" si="83">AC43/AC61</f>
        <v>1.1574101486174433</v>
      </c>
      <c r="AF56" s="383"/>
      <c r="AO56" s="27"/>
      <c r="AP56" s="27"/>
      <c r="AQ56" s="27"/>
      <c r="AR56" s="27"/>
      <c r="AS56" s="27"/>
      <c r="AT56" s="27"/>
      <c r="AU56" s="27"/>
      <c r="AV56" s="27"/>
      <c r="AW56" s="27"/>
      <c r="AX56" s="27"/>
      <c r="AY56" s="27"/>
      <c r="AZ56" s="27"/>
      <c r="BA56" s="27"/>
      <c r="BB56" s="27"/>
      <c r="BC56" s="27"/>
      <c r="BD56" s="27"/>
      <c r="BE56" s="27"/>
    </row>
    <row r="57" spans="1:57" x14ac:dyDescent="0.25">
      <c r="A57" s="89" t="s">
        <v>97</v>
      </c>
      <c r="B57" s="218">
        <f t="shared" ref="B57:U57" si="84">B44/B61</f>
        <v>0</v>
      </c>
      <c r="C57" s="218">
        <f t="shared" si="84"/>
        <v>0</v>
      </c>
      <c r="D57" s="218">
        <f t="shared" si="84"/>
        <v>0</v>
      </c>
      <c r="E57" s="218">
        <f t="shared" si="84"/>
        <v>0</v>
      </c>
      <c r="F57" s="218">
        <f t="shared" si="84"/>
        <v>0</v>
      </c>
      <c r="G57" s="218">
        <f t="shared" si="84"/>
        <v>0</v>
      </c>
      <c r="H57" s="77">
        <f t="shared" si="84"/>
        <v>0</v>
      </c>
      <c r="I57" s="77">
        <f t="shared" si="84"/>
        <v>0</v>
      </c>
      <c r="J57" s="77">
        <f t="shared" si="84"/>
        <v>0</v>
      </c>
      <c r="K57" s="77">
        <f t="shared" si="84"/>
        <v>0</v>
      </c>
      <c r="L57" s="77">
        <f t="shared" si="84"/>
        <v>0</v>
      </c>
      <c r="M57" s="77">
        <f t="shared" si="84"/>
        <v>0</v>
      </c>
      <c r="N57" s="77">
        <f t="shared" si="84"/>
        <v>0</v>
      </c>
      <c r="O57" s="77">
        <f t="shared" si="84"/>
        <v>0</v>
      </c>
      <c r="P57" s="77">
        <f t="shared" si="84"/>
        <v>0</v>
      </c>
      <c r="Q57" s="77">
        <f t="shared" si="84"/>
        <v>0</v>
      </c>
      <c r="R57" s="77">
        <f t="shared" si="84"/>
        <v>0</v>
      </c>
      <c r="S57" s="77">
        <f t="shared" si="84"/>
        <v>0</v>
      </c>
      <c r="T57" s="77">
        <f t="shared" si="84"/>
        <v>0</v>
      </c>
      <c r="U57" s="77">
        <f t="shared" si="84"/>
        <v>0</v>
      </c>
      <c r="V57" s="77">
        <f t="shared" ref="V57:W57" si="85">V44/V61</f>
        <v>0</v>
      </c>
      <c r="W57" s="77">
        <f t="shared" si="85"/>
        <v>0</v>
      </c>
      <c r="X57" s="77">
        <f t="shared" ref="X57:AB57" si="86">X44/X61</f>
        <v>0</v>
      </c>
      <c r="Y57" s="77">
        <f t="shared" si="86"/>
        <v>0</v>
      </c>
      <c r="Z57" s="77">
        <f t="shared" si="86"/>
        <v>0</v>
      </c>
      <c r="AA57" s="77">
        <f t="shared" si="86"/>
        <v>0</v>
      </c>
      <c r="AB57" s="77">
        <f t="shared" si="86"/>
        <v>0</v>
      </c>
      <c r="AC57" s="77">
        <f t="shared" ref="AC57" si="87">AC44/AC61</f>
        <v>0</v>
      </c>
      <c r="AF57" s="383"/>
      <c r="AO57" s="27"/>
      <c r="AP57" s="27"/>
      <c r="AQ57" s="27"/>
      <c r="AR57" s="27"/>
      <c r="AS57" s="27"/>
      <c r="AT57" s="27"/>
      <c r="AU57" s="27"/>
      <c r="AV57" s="27"/>
      <c r="AW57" s="27"/>
      <c r="AX57" s="27"/>
      <c r="AY57" s="27"/>
      <c r="AZ57" s="27"/>
      <c r="BA57" s="27"/>
      <c r="BB57" s="27"/>
      <c r="BC57" s="27"/>
      <c r="BD57" s="27"/>
      <c r="BE57" s="27"/>
    </row>
    <row r="58" spans="1:57" x14ac:dyDescent="0.25">
      <c r="A58" s="91" t="s">
        <v>99</v>
      </c>
      <c r="B58" s="219">
        <f t="shared" ref="B58:U58" si="88">SUM(B56:B57)</f>
        <v>0.47816959822303656</v>
      </c>
      <c r="C58" s="219">
        <f t="shared" si="88"/>
        <v>0.58234128152395892</v>
      </c>
      <c r="D58" s="219">
        <f t="shared" si="88"/>
        <v>0.60144411941537002</v>
      </c>
      <c r="E58" s="219">
        <f t="shared" si="88"/>
        <v>-0.2744471334388337</v>
      </c>
      <c r="F58" s="219">
        <f t="shared" si="88"/>
        <v>1.3924154699406848</v>
      </c>
      <c r="G58" s="219">
        <f t="shared" si="88"/>
        <v>0.65597824547488881</v>
      </c>
      <c r="H58" s="141">
        <f t="shared" si="88"/>
        <v>0.41153036252916736</v>
      </c>
      <c r="I58" s="141">
        <f t="shared" si="88"/>
        <v>0.43311179277436945</v>
      </c>
      <c r="J58" s="141">
        <f t="shared" si="88"/>
        <v>0.11044929984822886</v>
      </c>
      <c r="K58" s="141">
        <f t="shared" si="88"/>
        <v>1.6193086123718992</v>
      </c>
      <c r="L58" s="141">
        <f t="shared" si="88"/>
        <v>0.42187006574225588</v>
      </c>
      <c r="M58" s="141">
        <f t="shared" si="88"/>
        <v>0.3620436273521021</v>
      </c>
      <c r="N58" s="141">
        <f t="shared" si="88"/>
        <v>0.54883426035332428</v>
      </c>
      <c r="O58" s="141">
        <f t="shared" si="88"/>
        <v>0.61549989912672565</v>
      </c>
      <c r="P58" s="141">
        <f t="shared" si="88"/>
        <v>1.9479745487000835</v>
      </c>
      <c r="Q58" s="141">
        <f t="shared" si="88"/>
        <v>0.64545952017511021</v>
      </c>
      <c r="R58" s="141">
        <f t="shared" si="88"/>
        <v>0.2436267992369501</v>
      </c>
      <c r="S58" s="141">
        <f t="shared" si="88"/>
        <v>0.76494093120222373</v>
      </c>
      <c r="T58" s="141">
        <f t="shared" si="88"/>
        <v>0.9373872563281932</v>
      </c>
      <c r="U58" s="141">
        <f t="shared" si="88"/>
        <v>2.5893792504702646</v>
      </c>
      <c r="V58" s="141">
        <f t="shared" ref="V58:W58" si="89">SUM(V56:V57)</f>
        <v>0.93044466460749464</v>
      </c>
      <c r="W58" s="141">
        <f t="shared" si="89"/>
        <v>0.81480081419017159</v>
      </c>
      <c r="X58" s="141">
        <f t="shared" ref="X58:AB58" si="90">SUM(X56:X57)</f>
        <v>0.77266367399288749</v>
      </c>
      <c r="Y58" s="141">
        <f t="shared" si="90"/>
        <v>0.83310763071125771</v>
      </c>
      <c r="Z58" s="141">
        <f t="shared" si="90"/>
        <v>3.3511856091578087</v>
      </c>
      <c r="AA58" s="141">
        <f t="shared" si="90"/>
        <v>1.0673550671190442</v>
      </c>
      <c r="AB58" s="141">
        <f t="shared" si="90"/>
        <v>1.0595607578847803</v>
      </c>
      <c r="AC58" s="141">
        <f t="shared" ref="AC58" si="91">SUM(AC56:AC57)</f>
        <v>1.1574101486174433</v>
      </c>
      <c r="AF58" s="383"/>
      <c r="AO58" s="27"/>
      <c r="AP58" s="27"/>
      <c r="AQ58" s="27"/>
      <c r="AR58" s="27"/>
      <c r="AS58" s="27"/>
      <c r="AT58" s="27"/>
      <c r="AU58" s="27"/>
      <c r="AV58" s="27"/>
      <c r="AW58" s="27"/>
      <c r="AX58" s="27"/>
      <c r="AY58" s="27"/>
      <c r="AZ58" s="27"/>
      <c r="BA58" s="27"/>
      <c r="BB58" s="27"/>
      <c r="BC58" s="27"/>
      <c r="BD58" s="27"/>
      <c r="BE58" s="27"/>
    </row>
    <row r="59" spans="1:57" x14ac:dyDescent="0.25">
      <c r="A59" s="63" t="s">
        <v>100</v>
      </c>
      <c r="B59" s="220"/>
      <c r="C59" s="206"/>
      <c r="D59" s="206"/>
      <c r="E59" s="206"/>
      <c r="F59" s="206"/>
      <c r="G59" s="206"/>
      <c r="AF59" s="383"/>
      <c r="AO59" s="27"/>
      <c r="AP59" s="27"/>
      <c r="AQ59" s="27"/>
      <c r="AR59" s="27"/>
      <c r="AS59" s="27"/>
      <c r="AT59" s="27"/>
      <c r="AU59" s="27"/>
      <c r="AV59" s="27"/>
      <c r="AW59" s="27"/>
      <c r="AX59" s="27"/>
      <c r="AY59" s="27"/>
      <c r="AZ59" s="27"/>
      <c r="BA59" s="27"/>
      <c r="BB59" s="27"/>
      <c r="BC59" s="27"/>
      <c r="BD59" s="27"/>
      <c r="BE59" s="27"/>
    </row>
    <row r="60" spans="1:57" x14ac:dyDescent="0.25">
      <c r="A60" s="60" t="s">
        <v>98</v>
      </c>
      <c r="B60" s="209">
        <v>33844.897259999983</v>
      </c>
      <c r="C60" s="209">
        <v>33819.319705494512</v>
      </c>
      <c r="D60" s="209">
        <v>33838.373978260854</v>
      </c>
      <c r="E60" s="209">
        <v>34086.710554347832</v>
      </c>
      <c r="F60" s="209">
        <v>33897.916209315204</v>
      </c>
      <c r="G60" s="209">
        <v>34446</v>
      </c>
      <c r="H60" s="28">
        <v>34512</v>
      </c>
      <c r="I60" s="28">
        <v>34459</v>
      </c>
      <c r="J60" s="28">
        <v>34388</v>
      </c>
      <c r="K60" s="28">
        <v>34451</v>
      </c>
      <c r="L60" s="28">
        <v>34375</v>
      </c>
      <c r="M60" s="28">
        <v>34452</v>
      </c>
      <c r="N60" s="28">
        <v>34322</v>
      </c>
      <c r="O60" s="28">
        <v>34253</v>
      </c>
      <c r="P60" s="28">
        <v>34350</v>
      </c>
      <c r="Q60" s="28">
        <v>34402</v>
      </c>
      <c r="R60" s="28">
        <v>34486</v>
      </c>
      <c r="S60" s="28">
        <v>34327</v>
      </c>
      <c r="T60" s="28">
        <v>33882</v>
      </c>
      <c r="U60" s="28">
        <v>34273</v>
      </c>
      <c r="V60" s="28">
        <v>33734</v>
      </c>
      <c r="W60" s="28">
        <v>33571</v>
      </c>
      <c r="X60" s="28">
        <v>33449</v>
      </c>
      <c r="Y60" s="28">
        <v>33447</v>
      </c>
      <c r="Z60" s="28">
        <v>33549</v>
      </c>
      <c r="AA60" s="28">
        <v>33442</v>
      </c>
      <c r="AB60" s="28">
        <v>33403</v>
      </c>
      <c r="AC60" s="28">
        <v>33238</v>
      </c>
      <c r="AF60" s="397"/>
      <c r="AO60" s="27"/>
      <c r="AP60" s="27"/>
      <c r="AQ60" s="27"/>
      <c r="AR60" s="27"/>
      <c r="AS60" s="27"/>
      <c r="AT60" s="27"/>
      <c r="AU60" s="27"/>
      <c r="AV60" s="27"/>
      <c r="AW60" s="27"/>
      <c r="AX60" s="27"/>
      <c r="AY60" s="27"/>
      <c r="AZ60" s="27"/>
      <c r="BA60" s="27"/>
      <c r="BB60" s="27"/>
      <c r="BC60" s="27"/>
      <c r="BD60" s="27"/>
      <c r="BE60" s="27"/>
    </row>
    <row r="61" spans="1:57" ht="15.75" thickBot="1" x14ac:dyDescent="0.3">
      <c r="A61" s="90" t="s">
        <v>95</v>
      </c>
      <c r="B61" s="221">
        <v>35108.881999999998</v>
      </c>
      <c r="C61" s="221">
        <v>34993.225873789612</v>
      </c>
      <c r="D61" s="221">
        <v>35043.987162910104</v>
      </c>
      <c r="E61" s="221">
        <v>34086.710554347832</v>
      </c>
      <c r="F61" s="221">
        <v>35110.210318248312</v>
      </c>
      <c r="G61" s="221">
        <v>35303</v>
      </c>
      <c r="H61" s="75">
        <v>35142</v>
      </c>
      <c r="I61" s="75">
        <v>35208</v>
      </c>
      <c r="J61" s="75">
        <v>34921</v>
      </c>
      <c r="K61" s="75">
        <v>35031</v>
      </c>
      <c r="L61" s="75">
        <v>34833</v>
      </c>
      <c r="M61" s="75">
        <v>34703</v>
      </c>
      <c r="N61" s="75">
        <v>34699</v>
      </c>
      <c r="O61" s="75">
        <v>34697</v>
      </c>
      <c r="P61" s="75">
        <v>34733</v>
      </c>
      <c r="Q61" s="75">
        <v>34721</v>
      </c>
      <c r="R61" s="75">
        <v>34598</v>
      </c>
      <c r="S61" s="75">
        <v>34536</v>
      </c>
      <c r="T61" s="75">
        <v>34370</v>
      </c>
      <c r="U61" s="75">
        <v>34555</v>
      </c>
      <c r="V61" s="75">
        <v>34318</v>
      </c>
      <c r="W61" s="75">
        <v>34390</v>
      </c>
      <c r="X61" s="75">
        <v>34306</v>
      </c>
      <c r="Y61" s="75">
        <v>33968</v>
      </c>
      <c r="Z61" s="75">
        <v>34244</v>
      </c>
      <c r="AA61" s="75">
        <v>33895</v>
      </c>
      <c r="AB61" s="75">
        <v>33831</v>
      </c>
      <c r="AC61" s="75">
        <v>33778</v>
      </c>
      <c r="AF61" s="397"/>
      <c r="AO61" s="27"/>
      <c r="AP61" s="27"/>
      <c r="AQ61" s="27"/>
      <c r="AR61" s="27"/>
      <c r="AS61" s="27"/>
      <c r="AT61" s="27"/>
      <c r="AU61" s="27"/>
      <c r="AV61" s="27"/>
      <c r="AW61" s="27"/>
      <c r="AX61" s="27"/>
      <c r="AY61" s="27"/>
      <c r="AZ61" s="27"/>
      <c r="BA61" s="27"/>
      <c r="BB61" s="27"/>
      <c r="BC61" s="27"/>
      <c r="BD61" s="27"/>
      <c r="BE61" s="27"/>
    </row>
    <row r="62" spans="1:57" ht="6" customHeight="1" x14ac:dyDescent="0.25">
      <c r="A62" s="63"/>
      <c r="B62" s="209"/>
      <c r="C62" s="206"/>
      <c r="D62" s="206"/>
      <c r="E62" s="206"/>
      <c r="F62" s="206"/>
      <c r="G62" s="206"/>
      <c r="AF62" s="383"/>
      <c r="AO62" s="27"/>
      <c r="AP62" s="27"/>
      <c r="AQ62" s="27"/>
      <c r="AR62" s="27"/>
      <c r="AS62" s="27"/>
      <c r="AT62" s="27"/>
      <c r="AU62" s="27"/>
      <c r="AV62" s="27"/>
      <c r="AW62" s="27"/>
      <c r="AX62" s="27"/>
      <c r="AY62" s="27"/>
      <c r="AZ62" s="27"/>
      <c r="BA62" s="27"/>
      <c r="BB62" s="27"/>
      <c r="BC62" s="27"/>
      <c r="BD62" s="27"/>
      <c r="BE62" s="27"/>
    </row>
    <row r="63" spans="1:57" x14ac:dyDescent="0.25">
      <c r="A63" s="61" t="s">
        <v>88</v>
      </c>
      <c r="B63" s="209"/>
      <c r="C63" s="206"/>
      <c r="D63" s="206"/>
      <c r="E63" s="206"/>
      <c r="F63" s="206"/>
      <c r="G63" s="206"/>
      <c r="O63" s="24" t="s">
        <v>237</v>
      </c>
      <c r="AF63" s="383"/>
      <c r="AO63" s="27"/>
      <c r="AP63" s="27"/>
      <c r="AQ63" s="27"/>
      <c r="AR63" s="27"/>
      <c r="AS63" s="27"/>
      <c r="AT63" s="27"/>
      <c r="AU63" s="27"/>
      <c r="AV63" s="27"/>
      <c r="AW63" s="27"/>
      <c r="AX63" s="27"/>
      <c r="AY63" s="27"/>
      <c r="AZ63" s="27"/>
      <c r="BA63" s="27"/>
      <c r="BB63" s="27"/>
      <c r="BC63" s="27"/>
      <c r="BD63" s="27"/>
      <c r="BE63" s="27"/>
    </row>
    <row r="64" spans="1:57" x14ac:dyDescent="0.25">
      <c r="A64" s="58" t="s">
        <v>1</v>
      </c>
      <c r="B64" s="212">
        <f t="shared" ref="B64:K64" si="92">B8</f>
        <v>183033</v>
      </c>
      <c r="C64" s="212">
        <f t="shared" si="92"/>
        <v>189057</v>
      </c>
      <c r="D64" s="212">
        <f t="shared" si="92"/>
        <v>192345</v>
      </c>
      <c r="E64" s="207">
        <f t="shared" si="92"/>
        <v>197875</v>
      </c>
      <c r="F64" s="212">
        <f t="shared" si="92"/>
        <v>762310</v>
      </c>
      <c r="G64" s="212">
        <f t="shared" si="92"/>
        <v>206973</v>
      </c>
      <c r="H64" s="42">
        <f t="shared" si="92"/>
        <v>210112</v>
      </c>
      <c r="I64" s="42">
        <f t="shared" si="92"/>
        <v>231124</v>
      </c>
      <c r="J64" s="42">
        <f t="shared" si="92"/>
        <v>234903</v>
      </c>
      <c r="K64" s="42">
        <f t="shared" si="92"/>
        <v>883112</v>
      </c>
      <c r="L64" s="42">
        <f>L8</f>
        <v>239573</v>
      </c>
      <c r="M64" s="42">
        <f>M8</f>
        <v>243509</v>
      </c>
      <c r="N64" s="42">
        <f t="shared" ref="N64:U64" si="93">N8</f>
        <v>251392</v>
      </c>
      <c r="O64" s="42">
        <f t="shared" si="93"/>
        <v>256872</v>
      </c>
      <c r="P64" s="42">
        <f t="shared" si="93"/>
        <v>991346</v>
      </c>
      <c r="Q64" s="42">
        <f t="shared" si="93"/>
        <v>245990</v>
      </c>
      <c r="R64" s="42">
        <f>R8</f>
        <v>222473</v>
      </c>
      <c r="S64" s="42">
        <f t="shared" si="93"/>
        <v>241018</v>
      </c>
      <c r="T64" s="42">
        <f t="shared" si="93"/>
        <v>248953</v>
      </c>
      <c r="U64" s="42">
        <f t="shared" si="93"/>
        <v>958434</v>
      </c>
      <c r="V64" s="42">
        <f t="shared" ref="V64:W64" si="94">V8</f>
        <v>261415</v>
      </c>
      <c r="W64" s="42">
        <f t="shared" si="94"/>
        <v>275064</v>
      </c>
      <c r="X64" s="42">
        <f t="shared" ref="X64:AC64" si="95">X8</f>
        <v>290325</v>
      </c>
      <c r="Y64" s="42">
        <f t="shared" si="95"/>
        <v>295489</v>
      </c>
      <c r="Z64" s="42">
        <f t="shared" si="95"/>
        <v>1122293</v>
      </c>
      <c r="AA64" s="42">
        <f t="shared" si="95"/>
        <v>329208</v>
      </c>
      <c r="AB64" s="42">
        <f t="shared" si="95"/>
        <v>346782</v>
      </c>
      <c r="AC64" s="42">
        <f t="shared" si="95"/>
        <v>361351</v>
      </c>
      <c r="AF64" s="383"/>
      <c r="AO64" s="27"/>
      <c r="AP64" s="27"/>
      <c r="AQ64" s="27"/>
      <c r="AR64" s="27"/>
      <c r="AS64" s="27"/>
      <c r="AT64" s="27"/>
      <c r="AU64" s="27"/>
      <c r="AV64" s="27"/>
      <c r="AW64" s="27"/>
      <c r="AX64" s="27"/>
      <c r="AY64" s="27"/>
      <c r="AZ64" s="27"/>
      <c r="BA64" s="27"/>
      <c r="BB64" s="27"/>
      <c r="BC64" s="27"/>
      <c r="BD64" s="27"/>
      <c r="BE64" s="27"/>
    </row>
    <row r="65" spans="1:57" x14ac:dyDescent="0.25">
      <c r="A65" s="62" t="s">
        <v>149</v>
      </c>
      <c r="B65" s="209">
        <v>0</v>
      </c>
      <c r="C65" s="209"/>
      <c r="D65" s="209">
        <v>0</v>
      </c>
      <c r="E65" s="209">
        <v>0</v>
      </c>
      <c r="F65" s="209">
        <v>0</v>
      </c>
      <c r="G65" s="209">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8"/>
      <c r="AC65" s="28"/>
      <c r="AF65" s="397"/>
      <c r="AO65" s="27"/>
      <c r="AP65" s="27"/>
      <c r="AQ65" s="27"/>
      <c r="AR65" s="27"/>
      <c r="AS65" s="27"/>
      <c r="AT65" s="27"/>
      <c r="AU65" s="27"/>
      <c r="AV65" s="27"/>
      <c r="AW65" s="27"/>
      <c r="AX65" s="27"/>
      <c r="AY65" s="27"/>
      <c r="AZ65" s="27"/>
      <c r="BA65" s="27"/>
      <c r="BB65" s="27"/>
      <c r="BC65" s="27"/>
      <c r="BD65" s="27"/>
      <c r="BE65" s="27"/>
    </row>
    <row r="66" spans="1:57" ht="13.5" customHeight="1" x14ac:dyDescent="0.25">
      <c r="A66" s="58" t="s">
        <v>150</v>
      </c>
      <c r="B66" s="212">
        <f t="shared" ref="B66:M66" si="96">B64+B65</f>
        <v>183033</v>
      </c>
      <c r="C66" s="212">
        <f t="shared" si="96"/>
        <v>189057</v>
      </c>
      <c r="D66" s="212">
        <f t="shared" si="96"/>
        <v>192345</v>
      </c>
      <c r="E66" s="207">
        <f t="shared" si="96"/>
        <v>197875</v>
      </c>
      <c r="F66" s="212">
        <f t="shared" si="96"/>
        <v>762310</v>
      </c>
      <c r="G66" s="212">
        <f t="shared" si="96"/>
        <v>206973</v>
      </c>
      <c r="H66" s="42">
        <f t="shared" si="96"/>
        <v>210112</v>
      </c>
      <c r="I66" s="42">
        <f t="shared" si="96"/>
        <v>231124</v>
      </c>
      <c r="J66" s="42">
        <f t="shared" si="96"/>
        <v>234903</v>
      </c>
      <c r="K66" s="42">
        <f t="shared" si="96"/>
        <v>883112</v>
      </c>
      <c r="L66" s="42">
        <f t="shared" si="96"/>
        <v>239573</v>
      </c>
      <c r="M66" s="42">
        <f t="shared" si="96"/>
        <v>243509</v>
      </c>
      <c r="N66" s="42">
        <f t="shared" ref="N66:U66" si="97">N64+N65</f>
        <v>251392</v>
      </c>
      <c r="O66" s="42">
        <f t="shared" si="97"/>
        <v>256872</v>
      </c>
      <c r="P66" s="42">
        <f t="shared" si="97"/>
        <v>991346</v>
      </c>
      <c r="Q66" s="42">
        <f t="shared" si="97"/>
        <v>245990</v>
      </c>
      <c r="R66" s="42">
        <f>R64+R65</f>
        <v>222473</v>
      </c>
      <c r="S66" s="42">
        <f t="shared" si="97"/>
        <v>241018</v>
      </c>
      <c r="T66" s="42">
        <f t="shared" si="97"/>
        <v>248953</v>
      </c>
      <c r="U66" s="42">
        <f t="shared" si="97"/>
        <v>958434</v>
      </c>
      <c r="V66" s="42">
        <f t="shared" ref="V66:W66" si="98">V64+V65</f>
        <v>261415</v>
      </c>
      <c r="W66" s="42">
        <f t="shared" si="98"/>
        <v>275064</v>
      </c>
      <c r="X66" s="42">
        <f t="shared" ref="X66:AC66" si="99">X64+X65</f>
        <v>290325</v>
      </c>
      <c r="Y66" s="42">
        <f t="shared" si="99"/>
        <v>295489</v>
      </c>
      <c r="Z66" s="42">
        <f t="shared" si="99"/>
        <v>1122293</v>
      </c>
      <c r="AA66" s="42">
        <f t="shared" si="99"/>
        <v>329208</v>
      </c>
      <c r="AB66" s="42">
        <f t="shared" si="99"/>
        <v>346782</v>
      </c>
      <c r="AC66" s="42">
        <f t="shared" si="99"/>
        <v>361351</v>
      </c>
      <c r="AF66" s="383"/>
      <c r="AO66" s="27"/>
      <c r="AP66" s="27"/>
      <c r="AQ66" s="27"/>
      <c r="AR66" s="27"/>
      <c r="AS66" s="27"/>
      <c r="AT66" s="27"/>
      <c r="AU66" s="27"/>
      <c r="AV66" s="27"/>
      <c r="AW66" s="27"/>
      <c r="AX66" s="27"/>
      <c r="AY66" s="27"/>
      <c r="AZ66" s="27"/>
      <c r="BA66" s="27"/>
      <c r="BB66" s="27"/>
      <c r="BC66" s="27"/>
      <c r="BD66" s="27"/>
      <c r="BE66" s="27"/>
    </row>
    <row r="67" spans="1:57" ht="6.75" customHeight="1" x14ac:dyDescent="0.25">
      <c r="A67" s="61"/>
      <c r="B67" s="209"/>
      <c r="C67" s="206"/>
      <c r="D67" s="206"/>
      <c r="E67" s="206"/>
      <c r="F67" s="206"/>
      <c r="G67" s="206"/>
      <c r="AF67" s="383"/>
      <c r="AO67" s="27"/>
      <c r="AP67" s="27"/>
      <c r="AQ67" s="27"/>
      <c r="AR67" s="27"/>
      <c r="AS67" s="27"/>
      <c r="AT67" s="27"/>
      <c r="AU67" s="27"/>
      <c r="AV67" s="27"/>
      <c r="AW67" s="27"/>
      <c r="AX67" s="27"/>
      <c r="AY67" s="27"/>
      <c r="AZ67" s="27"/>
      <c r="BA67" s="27"/>
      <c r="BB67" s="27"/>
      <c r="BC67" s="27"/>
      <c r="BD67" s="27"/>
      <c r="BE67" s="27"/>
    </row>
    <row r="68" spans="1:57" s="27" customFormat="1" ht="12.75" x14ac:dyDescent="0.2">
      <c r="A68" s="58" t="s">
        <v>68</v>
      </c>
      <c r="B68" s="207">
        <f t="shared" ref="B68:M68" si="100">B31</f>
        <v>17212</v>
      </c>
      <c r="C68" s="212">
        <f t="shared" si="100"/>
        <v>18268</v>
      </c>
      <c r="D68" s="212">
        <f t="shared" si="100"/>
        <v>20945</v>
      </c>
      <c r="E68" s="207">
        <f t="shared" si="100"/>
        <v>16300</v>
      </c>
      <c r="F68" s="212">
        <f t="shared" si="100"/>
        <v>72725</v>
      </c>
      <c r="G68" s="212">
        <f t="shared" si="100"/>
        <v>15150</v>
      </c>
      <c r="H68" s="42">
        <f t="shared" si="100"/>
        <v>17090</v>
      </c>
      <c r="I68" s="42">
        <f t="shared" si="100"/>
        <v>19674</v>
      </c>
      <c r="J68" s="42">
        <f t="shared" si="100"/>
        <v>-2093</v>
      </c>
      <c r="K68" s="42">
        <f t="shared" si="100"/>
        <v>49821</v>
      </c>
      <c r="L68" s="42">
        <f t="shared" si="100"/>
        <v>16861</v>
      </c>
      <c r="M68" s="42">
        <f t="shared" si="100"/>
        <v>13856</v>
      </c>
      <c r="N68" s="42">
        <f t="shared" ref="N68:U68" si="101">N31</f>
        <v>22422</v>
      </c>
      <c r="O68" s="42">
        <f t="shared" si="101"/>
        <v>23314</v>
      </c>
      <c r="P68" s="42">
        <f t="shared" si="101"/>
        <v>76453</v>
      </c>
      <c r="Q68" s="42">
        <f t="shared" si="101"/>
        <v>27487</v>
      </c>
      <c r="R68" s="42">
        <f>R31</f>
        <v>9866</v>
      </c>
      <c r="S68" s="42">
        <f t="shared" si="101"/>
        <v>34406</v>
      </c>
      <c r="T68" s="42">
        <f t="shared" si="101"/>
        <v>38263</v>
      </c>
      <c r="U68" s="42">
        <f t="shared" si="101"/>
        <v>110022</v>
      </c>
      <c r="V68" s="42">
        <f t="shared" ref="V68:W68" si="102">V31</f>
        <v>41555</v>
      </c>
      <c r="W68" s="42">
        <f t="shared" si="102"/>
        <v>35830</v>
      </c>
      <c r="X68" s="42">
        <f t="shared" ref="X68:AC68" si="103">X31</f>
        <v>42438</v>
      </c>
      <c r="Y68" s="42">
        <f t="shared" si="103"/>
        <v>36058</v>
      </c>
      <c r="Z68" s="42">
        <f t="shared" si="103"/>
        <v>155881</v>
      </c>
      <c r="AA68" s="42">
        <f t="shared" si="103"/>
        <v>43975</v>
      </c>
      <c r="AB68" s="42">
        <f t="shared" si="103"/>
        <v>47081</v>
      </c>
      <c r="AC68" s="42">
        <f t="shared" si="103"/>
        <v>50111</v>
      </c>
      <c r="AF68" s="383"/>
    </row>
    <row r="69" spans="1:57" x14ac:dyDescent="0.25">
      <c r="A69" s="62" t="s">
        <v>181</v>
      </c>
      <c r="B69" s="214">
        <v>3498</v>
      </c>
      <c r="C69" s="214">
        <v>3507</v>
      </c>
      <c r="D69" s="214">
        <v>3487</v>
      </c>
      <c r="E69" s="209">
        <f>+F69-SUM(B69,C69,D69)</f>
        <v>3483</v>
      </c>
      <c r="F69" s="214">
        <v>13975</v>
      </c>
      <c r="G69" s="214">
        <v>3947</v>
      </c>
      <c r="H69" s="57">
        <v>3761</v>
      </c>
      <c r="I69" s="28">
        <v>6718</v>
      </c>
      <c r="J69" s="183">
        <f>+K69-SUM(G69:I69)</f>
        <v>5951</v>
      </c>
      <c r="K69" s="57">
        <v>20377</v>
      </c>
      <c r="L69" s="57">
        <v>5528</v>
      </c>
      <c r="M69" s="57">
        <v>5554</v>
      </c>
      <c r="N69" s="57">
        <v>5502</v>
      </c>
      <c r="O69" s="183">
        <f>+P69-SUM(L69:N69)</f>
        <v>4974</v>
      </c>
      <c r="P69" s="57">
        <v>21558</v>
      </c>
      <c r="Q69" s="57">
        <v>4154</v>
      </c>
      <c r="R69" s="347">
        <v>3430</v>
      </c>
      <c r="S69" s="347">
        <v>3413</v>
      </c>
      <c r="T69" s="347">
        <f>+U69-SUM(Q69:S69)</f>
        <v>3415</v>
      </c>
      <c r="U69" s="347">
        <v>14412</v>
      </c>
      <c r="V69" s="57">
        <v>3361</v>
      </c>
      <c r="W69" s="347">
        <v>3397</v>
      </c>
      <c r="X69" s="347">
        <v>3022</v>
      </c>
      <c r="Y69" s="347">
        <f>+Z69-SUM(V69:X69)</f>
        <v>2998</v>
      </c>
      <c r="Z69" s="347">
        <v>12778</v>
      </c>
      <c r="AA69" s="347">
        <v>4486</v>
      </c>
      <c r="AB69" s="347">
        <v>4146</v>
      </c>
      <c r="AC69" s="347">
        <v>4243</v>
      </c>
      <c r="AF69" s="383"/>
      <c r="AO69" s="27"/>
      <c r="AP69" s="27"/>
      <c r="AQ69" s="27"/>
      <c r="AR69" s="27"/>
      <c r="AS69" s="27"/>
      <c r="AT69" s="27"/>
      <c r="AU69" s="27"/>
      <c r="AV69" s="27"/>
      <c r="AW69" s="27"/>
      <c r="AX69" s="27"/>
      <c r="AY69" s="27"/>
      <c r="AZ69" s="27"/>
      <c r="BA69" s="27"/>
      <c r="BB69" s="27"/>
      <c r="BC69" s="27"/>
      <c r="BD69" s="27"/>
      <c r="BE69" s="27"/>
    </row>
    <row r="70" spans="1:57" x14ac:dyDescent="0.25">
      <c r="A70" s="62" t="s">
        <v>182</v>
      </c>
      <c r="B70" s="214">
        <v>5956</v>
      </c>
      <c r="C70" s="214">
        <v>5107</v>
      </c>
      <c r="D70" s="214">
        <v>5708</v>
      </c>
      <c r="E70" s="209">
        <f>+F70-SUM(B70,C70,D70)</f>
        <v>6270</v>
      </c>
      <c r="F70" s="214">
        <v>23041</v>
      </c>
      <c r="G70" s="214">
        <v>5074</v>
      </c>
      <c r="H70" s="57">
        <v>6893</v>
      </c>
      <c r="I70" s="28">
        <v>5344</v>
      </c>
      <c r="J70" s="183">
        <f>+K70-SUM(G70:I70)</f>
        <v>6590</v>
      </c>
      <c r="K70" s="57">
        <v>23901</v>
      </c>
      <c r="L70" s="57">
        <v>6956</v>
      </c>
      <c r="M70" s="57">
        <v>7155</v>
      </c>
      <c r="N70" s="57">
        <v>7427</v>
      </c>
      <c r="O70" s="183">
        <f>+P70-SUM(L70:N70)</f>
        <v>4532</v>
      </c>
      <c r="P70" s="57">
        <v>26070</v>
      </c>
      <c r="Q70" s="57">
        <v>4778</v>
      </c>
      <c r="R70" s="347">
        <v>7726</v>
      </c>
      <c r="S70" s="347">
        <v>8346</v>
      </c>
      <c r="T70" s="347">
        <f>+U70-SUM(Q70:S70)</f>
        <v>7385</v>
      </c>
      <c r="U70" s="347">
        <v>28235</v>
      </c>
      <c r="V70" s="57">
        <v>7832</v>
      </c>
      <c r="W70" s="347">
        <v>10070</v>
      </c>
      <c r="X70" s="347">
        <v>10894</v>
      </c>
      <c r="Y70" s="347">
        <f>+Z70-SUM(V70:X70)</f>
        <v>9825</v>
      </c>
      <c r="Z70" s="347">
        <v>38621</v>
      </c>
      <c r="AA70" s="347">
        <v>11224</v>
      </c>
      <c r="AB70" s="347">
        <v>13340</v>
      </c>
      <c r="AC70" s="347">
        <v>12186</v>
      </c>
      <c r="AF70" s="383"/>
      <c r="AO70" s="27"/>
      <c r="AP70" s="27"/>
      <c r="AQ70" s="27"/>
      <c r="AR70" s="27"/>
      <c r="AS70" s="27"/>
      <c r="AT70" s="27"/>
      <c r="AU70" s="27"/>
      <c r="AV70" s="27"/>
      <c r="AW70" s="27"/>
      <c r="AX70" s="27"/>
      <c r="AY70" s="27"/>
      <c r="AZ70" s="27"/>
      <c r="BA70" s="27"/>
      <c r="BB70" s="27"/>
      <c r="BC70" s="27"/>
      <c r="BD70" s="27"/>
      <c r="BE70" s="27"/>
    </row>
    <row r="71" spans="1:57" x14ac:dyDescent="0.25">
      <c r="A71" s="62" t="s">
        <v>271</v>
      </c>
      <c r="B71" s="222">
        <v>0</v>
      </c>
      <c r="C71" s="222">
        <v>0</v>
      </c>
      <c r="D71" s="222">
        <v>0</v>
      </c>
      <c r="E71" s="222">
        <v>0</v>
      </c>
      <c r="F71" s="222">
        <v>0</v>
      </c>
      <c r="G71" s="222">
        <v>2400</v>
      </c>
      <c r="H71" s="277">
        <v>0</v>
      </c>
      <c r="I71" s="277">
        <v>0</v>
      </c>
      <c r="J71" s="277">
        <v>0</v>
      </c>
      <c r="K71" s="102">
        <f>SUM(G71:J71)</f>
        <v>2400</v>
      </c>
      <c r="L71" s="102">
        <v>0</v>
      </c>
      <c r="M71" s="102">
        <v>0</v>
      </c>
      <c r="N71" s="102">
        <v>0</v>
      </c>
      <c r="O71" s="102">
        <v>0</v>
      </c>
      <c r="P71" s="102">
        <f>SUM(L71:O71)</f>
        <v>0</v>
      </c>
      <c r="Q71" s="102">
        <v>0</v>
      </c>
      <c r="R71" s="277">
        <v>0</v>
      </c>
      <c r="S71" s="277">
        <v>0</v>
      </c>
      <c r="T71" s="277">
        <v>0</v>
      </c>
      <c r="U71" s="277">
        <f>SUM(Q71:T71)</f>
        <v>0</v>
      </c>
      <c r="V71" s="102">
        <v>0</v>
      </c>
      <c r="W71" s="277">
        <v>0</v>
      </c>
      <c r="X71" s="277">
        <v>0</v>
      </c>
      <c r="Y71" s="277">
        <f>+Z71-SUM(V71:X71)</f>
        <v>0</v>
      </c>
      <c r="Z71" s="277">
        <v>0</v>
      </c>
      <c r="AA71" s="277">
        <v>0</v>
      </c>
      <c r="AB71" s="277">
        <v>217</v>
      </c>
      <c r="AC71" s="277">
        <v>169</v>
      </c>
      <c r="AF71" s="397"/>
      <c r="AO71" s="27"/>
      <c r="AP71" s="27"/>
      <c r="AQ71" s="27"/>
      <c r="AR71" s="27"/>
      <c r="AS71" s="27"/>
      <c r="AT71" s="27"/>
      <c r="AU71" s="27"/>
      <c r="AV71" s="27"/>
      <c r="AW71" s="27"/>
      <c r="AX71" s="27"/>
      <c r="AY71" s="27"/>
      <c r="AZ71" s="27"/>
      <c r="BA71" s="27"/>
      <c r="BB71" s="27"/>
      <c r="BC71" s="27"/>
      <c r="BD71" s="27"/>
      <c r="BE71" s="27"/>
    </row>
    <row r="72" spans="1:57" x14ac:dyDescent="0.25">
      <c r="A72" s="62" t="s">
        <v>191</v>
      </c>
      <c r="B72" s="222">
        <v>0</v>
      </c>
      <c r="C72" s="222">
        <v>48</v>
      </c>
      <c r="D72" s="222">
        <v>457</v>
      </c>
      <c r="E72" s="222">
        <v>321</v>
      </c>
      <c r="F72" s="222">
        <v>826</v>
      </c>
      <c r="G72" s="222">
        <v>363</v>
      </c>
      <c r="H72" s="277">
        <v>841</v>
      </c>
      <c r="I72" s="277">
        <v>855</v>
      </c>
      <c r="J72" s="183">
        <f>+K72-SUM(G72:I72)</f>
        <v>236</v>
      </c>
      <c r="K72" s="277">
        <v>2295</v>
      </c>
      <c r="L72" s="277">
        <v>0</v>
      </c>
      <c r="M72" s="277">
        <v>0</v>
      </c>
      <c r="N72" s="277">
        <v>0</v>
      </c>
      <c r="O72" s="183">
        <f>+P72-SUM(L72:N72)</f>
        <v>0</v>
      </c>
      <c r="P72" s="277">
        <v>0</v>
      </c>
      <c r="Q72" s="277">
        <v>0</v>
      </c>
      <c r="R72" s="277">
        <v>0</v>
      </c>
      <c r="S72" s="277">
        <v>0</v>
      </c>
      <c r="T72" s="277">
        <v>0</v>
      </c>
      <c r="U72" s="277">
        <v>0</v>
      </c>
      <c r="V72" s="277">
        <v>0</v>
      </c>
      <c r="W72" s="277">
        <v>0</v>
      </c>
      <c r="X72" s="277">
        <v>0</v>
      </c>
      <c r="Y72" s="277">
        <f>+Z72-SUM(V72:X72)</f>
        <v>761</v>
      </c>
      <c r="Z72" s="277">
        <v>761</v>
      </c>
      <c r="AA72" s="277">
        <v>133.56</v>
      </c>
      <c r="AB72" s="277">
        <v>0</v>
      </c>
      <c r="AC72" s="277">
        <v>0</v>
      </c>
      <c r="AF72" s="397"/>
      <c r="AO72" s="27"/>
      <c r="AP72" s="27"/>
      <c r="AQ72" s="27"/>
      <c r="AR72" s="27"/>
      <c r="AS72" s="27"/>
      <c r="AT72" s="27"/>
      <c r="AU72" s="27"/>
      <c r="AV72" s="27"/>
      <c r="AW72" s="27"/>
      <c r="AX72" s="27"/>
      <c r="AY72" s="27"/>
      <c r="AZ72" s="27"/>
      <c r="BA72" s="27"/>
      <c r="BB72" s="27"/>
      <c r="BC72" s="27"/>
      <c r="BD72" s="27"/>
      <c r="BE72" s="27"/>
    </row>
    <row r="73" spans="1:57" x14ac:dyDescent="0.25">
      <c r="A73" s="62" t="s">
        <v>254</v>
      </c>
      <c r="B73" s="222"/>
      <c r="C73" s="222"/>
      <c r="D73" s="222"/>
      <c r="E73" s="222"/>
      <c r="F73" s="222">
        <v>0</v>
      </c>
      <c r="G73" s="222"/>
      <c r="H73" s="277"/>
      <c r="I73" s="277"/>
      <c r="J73" s="183"/>
      <c r="K73" s="277">
        <v>0</v>
      </c>
      <c r="L73" s="277">
        <v>0</v>
      </c>
      <c r="M73" s="277">
        <v>0</v>
      </c>
      <c r="N73" s="277">
        <v>0</v>
      </c>
      <c r="O73" s="183">
        <v>0</v>
      </c>
      <c r="P73" s="277">
        <v>0</v>
      </c>
      <c r="Q73" s="277">
        <v>0</v>
      </c>
      <c r="R73" s="277">
        <v>0</v>
      </c>
      <c r="S73" s="277">
        <v>0</v>
      </c>
      <c r="T73" s="277">
        <v>0</v>
      </c>
      <c r="U73" s="277">
        <v>0</v>
      </c>
      <c r="V73" s="277">
        <v>0</v>
      </c>
      <c r="W73" s="277">
        <v>0</v>
      </c>
      <c r="X73" s="277">
        <v>0</v>
      </c>
      <c r="Y73" s="277">
        <f>+Z73-SUM(V73:X73)</f>
        <v>551</v>
      </c>
      <c r="Z73" s="277">
        <v>551</v>
      </c>
      <c r="AA73" s="277">
        <v>0</v>
      </c>
      <c r="AB73" s="277">
        <v>0</v>
      </c>
      <c r="AC73" s="277">
        <v>0</v>
      </c>
      <c r="AF73" s="397"/>
      <c r="AO73" s="27"/>
      <c r="AP73" s="27"/>
      <c r="AQ73" s="27"/>
      <c r="AR73" s="27"/>
      <c r="AS73" s="27"/>
      <c r="AT73" s="27"/>
      <c r="AU73" s="27"/>
      <c r="AV73" s="27"/>
      <c r="AW73" s="27"/>
      <c r="AX73" s="27"/>
      <c r="AY73" s="27"/>
      <c r="AZ73" s="27"/>
      <c r="BA73" s="27"/>
      <c r="BB73" s="27"/>
      <c r="BC73" s="27"/>
      <c r="BD73" s="27"/>
      <c r="BE73" s="27"/>
    </row>
    <row r="74" spans="1:57" ht="26.25" x14ac:dyDescent="0.25">
      <c r="A74" s="303" t="s">
        <v>204</v>
      </c>
      <c r="B74" s="305">
        <v>0</v>
      </c>
      <c r="C74" s="305">
        <v>0</v>
      </c>
      <c r="D74" s="305">
        <v>0</v>
      </c>
      <c r="E74" s="305">
        <v>0</v>
      </c>
      <c r="F74" s="305">
        <v>0</v>
      </c>
      <c r="G74" s="305">
        <v>0</v>
      </c>
      <c r="H74" s="307">
        <v>0</v>
      </c>
      <c r="I74" s="307">
        <v>0</v>
      </c>
      <c r="J74" s="309">
        <f>+K74-SUM(G74:I74)</f>
        <v>20056</v>
      </c>
      <c r="K74" s="307">
        <v>20056</v>
      </c>
      <c r="L74" s="307">
        <f>-L26</f>
        <v>1227</v>
      </c>
      <c r="M74" s="307">
        <f>-M26</f>
        <v>5580</v>
      </c>
      <c r="N74" s="307">
        <f>-N26</f>
        <v>489</v>
      </c>
      <c r="O74" s="309">
        <f>+P74-SUM(L74:N74)</f>
        <v>1375</v>
      </c>
      <c r="P74" s="307">
        <f t="shared" ref="P74:AB74" si="104">-P26</f>
        <v>8671</v>
      </c>
      <c r="Q74" s="307">
        <f t="shared" si="104"/>
        <v>0</v>
      </c>
      <c r="R74" s="307">
        <f t="shared" si="104"/>
        <v>0</v>
      </c>
      <c r="S74" s="307">
        <f t="shared" si="104"/>
        <v>0</v>
      </c>
      <c r="T74" s="307">
        <f t="shared" si="104"/>
        <v>0</v>
      </c>
      <c r="U74" s="307">
        <f t="shared" si="104"/>
        <v>0</v>
      </c>
      <c r="V74" s="307">
        <f t="shared" si="104"/>
        <v>0</v>
      </c>
      <c r="W74" s="307">
        <f t="shared" si="104"/>
        <v>0</v>
      </c>
      <c r="X74" s="307">
        <f t="shared" si="104"/>
        <v>0</v>
      </c>
      <c r="Y74" s="307">
        <f t="shared" si="104"/>
        <v>0</v>
      </c>
      <c r="Z74" s="307">
        <f t="shared" si="104"/>
        <v>0</v>
      </c>
      <c r="AA74" s="307">
        <f t="shared" si="104"/>
        <v>0</v>
      </c>
      <c r="AB74" s="307">
        <f t="shared" si="104"/>
        <v>0</v>
      </c>
      <c r="AC74" s="307">
        <f t="shared" ref="AC74" si="105">-AC26</f>
        <v>0</v>
      </c>
      <c r="AF74" s="397"/>
      <c r="AO74" s="27"/>
      <c r="AP74" s="27"/>
      <c r="AQ74" s="27"/>
      <c r="AR74" s="27"/>
      <c r="AS74" s="27"/>
      <c r="AT74" s="27"/>
      <c r="AU74" s="27"/>
      <c r="AV74" s="27"/>
      <c r="AW74" s="27"/>
      <c r="AX74" s="27"/>
      <c r="AY74" s="27"/>
      <c r="AZ74" s="27"/>
      <c r="BA74" s="27"/>
      <c r="BB74" s="27"/>
      <c r="BC74" s="27"/>
      <c r="BD74" s="27"/>
      <c r="BE74" s="27"/>
    </row>
    <row r="75" spans="1:57" s="27" customFormat="1" ht="12.75" x14ac:dyDescent="0.2">
      <c r="A75" s="58" t="s">
        <v>69</v>
      </c>
      <c r="B75" s="212">
        <f t="shared" ref="B75:AC75" si="106">SUM(B68:B74)</f>
        <v>26666</v>
      </c>
      <c r="C75" s="212">
        <f t="shared" si="106"/>
        <v>26930</v>
      </c>
      <c r="D75" s="212">
        <f t="shared" si="106"/>
        <v>30597</v>
      </c>
      <c r="E75" s="212">
        <f t="shared" si="106"/>
        <v>26374</v>
      </c>
      <c r="F75" s="212">
        <f t="shared" si="106"/>
        <v>110567</v>
      </c>
      <c r="G75" s="212">
        <f t="shared" si="106"/>
        <v>26934</v>
      </c>
      <c r="H75" s="42">
        <f t="shared" si="106"/>
        <v>28585</v>
      </c>
      <c r="I75" s="42">
        <f t="shared" si="106"/>
        <v>32591</v>
      </c>
      <c r="J75" s="42">
        <f t="shared" si="106"/>
        <v>30740</v>
      </c>
      <c r="K75" s="42">
        <f t="shared" si="106"/>
        <v>118850</v>
      </c>
      <c r="L75" s="42">
        <f t="shared" si="106"/>
        <v>30572</v>
      </c>
      <c r="M75" s="42">
        <f t="shared" si="106"/>
        <v>32145</v>
      </c>
      <c r="N75" s="42">
        <f t="shared" si="106"/>
        <v>35840</v>
      </c>
      <c r="O75" s="42">
        <f t="shared" si="106"/>
        <v>34195</v>
      </c>
      <c r="P75" s="42">
        <f t="shared" si="106"/>
        <v>132752</v>
      </c>
      <c r="Q75" s="42">
        <f t="shared" si="106"/>
        <v>36419</v>
      </c>
      <c r="R75" s="42">
        <f t="shared" si="106"/>
        <v>21022</v>
      </c>
      <c r="S75" s="42">
        <f t="shared" si="106"/>
        <v>46165</v>
      </c>
      <c r="T75" s="42">
        <f t="shared" si="106"/>
        <v>49063</v>
      </c>
      <c r="U75" s="42">
        <f t="shared" si="106"/>
        <v>152669</v>
      </c>
      <c r="V75" s="42">
        <f t="shared" si="106"/>
        <v>52748</v>
      </c>
      <c r="W75" s="42">
        <f t="shared" si="106"/>
        <v>49297</v>
      </c>
      <c r="X75" s="42">
        <f t="shared" si="106"/>
        <v>56354</v>
      </c>
      <c r="Y75" s="42">
        <f t="shared" si="106"/>
        <v>50193</v>
      </c>
      <c r="Z75" s="42">
        <f t="shared" si="106"/>
        <v>208592</v>
      </c>
      <c r="AA75" s="42">
        <f t="shared" si="106"/>
        <v>59818.559999999998</v>
      </c>
      <c r="AB75" s="42">
        <f t="shared" si="106"/>
        <v>64784</v>
      </c>
      <c r="AC75" s="42">
        <f t="shared" si="106"/>
        <v>66709</v>
      </c>
      <c r="AF75" s="383"/>
    </row>
    <row r="76" spans="1:57" x14ac:dyDescent="0.25">
      <c r="A76" s="348" t="s">
        <v>60</v>
      </c>
      <c r="B76" s="223">
        <v>0.14568957510394301</v>
      </c>
      <c r="C76" s="223">
        <v>0.14244381324150918</v>
      </c>
      <c r="D76" s="223">
        <v>0.15907353973329175</v>
      </c>
      <c r="E76" s="223">
        <v>0.13328616550852812</v>
      </c>
      <c r="F76" s="223">
        <v>0.14504204326323936</v>
      </c>
      <c r="G76" s="223">
        <f t="shared" ref="G76:AB76" si="107">IF(G75/G66&lt;0, "NM",G75/G66)</f>
        <v>0.13013291588757953</v>
      </c>
      <c r="H76" s="104">
        <f t="shared" si="107"/>
        <v>0.13604648949131892</v>
      </c>
      <c r="I76" s="104">
        <f t="shared" si="107"/>
        <v>0.14101088593136152</v>
      </c>
      <c r="J76" s="104">
        <f t="shared" si="107"/>
        <v>0.13086252623423286</v>
      </c>
      <c r="K76" s="104">
        <f t="shared" si="107"/>
        <v>0.13458089121198671</v>
      </c>
      <c r="L76" s="104">
        <f t="shared" si="107"/>
        <v>0.12761037345610732</v>
      </c>
      <c r="M76" s="104">
        <f t="shared" si="107"/>
        <v>0.13200744120340521</v>
      </c>
      <c r="N76" s="315">
        <f t="shared" si="107"/>
        <v>0.1425661914460285</v>
      </c>
      <c r="O76" s="315">
        <f t="shared" si="107"/>
        <v>0.13312077610638762</v>
      </c>
      <c r="P76" s="104">
        <f t="shared" si="107"/>
        <v>0.13391086462244262</v>
      </c>
      <c r="Q76" s="104">
        <f t="shared" si="107"/>
        <v>0.14805073376966543</v>
      </c>
      <c r="R76" s="104">
        <f t="shared" si="107"/>
        <v>9.4492365365684824E-2</v>
      </c>
      <c r="S76" s="104">
        <f t="shared" si="107"/>
        <v>0.1915417105776332</v>
      </c>
      <c r="T76" s="104">
        <f t="shared" si="107"/>
        <v>0.19707735998361137</v>
      </c>
      <c r="U76" s="104">
        <f t="shared" si="107"/>
        <v>0.15929005022776738</v>
      </c>
      <c r="V76" s="104">
        <f t="shared" si="107"/>
        <v>0.20177878086567336</v>
      </c>
      <c r="W76" s="104">
        <f t="shared" si="107"/>
        <v>0.17922010877468517</v>
      </c>
      <c r="X76" s="104">
        <f t="shared" si="107"/>
        <v>0.19410660466718332</v>
      </c>
      <c r="Y76" s="104">
        <f t="shared" si="107"/>
        <v>0.16986419122200827</v>
      </c>
      <c r="Z76" s="104">
        <f t="shared" si="107"/>
        <v>0.18586233719714906</v>
      </c>
      <c r="AA76" s="104">
        <f t="shared" si="107"/>
        <v>0.18170445432674781</v>
      </c>
      <c r="AB76" s="104">
        <f t="shared" si="107"/>
        <v>0.18681477123956838</v>
      </c>
      <c r="AC76" s="104">
        <f>IF(AC75/AC66&lt;0, "NM",AC75/AC66)</f>
        <v>0.1846099775564479</v>
      </c>
      <c r="AF76" s="396"/>
      <c r="AO76" s="27"/>
      <c r="AP76" s="27"/>
      <c r="AQ76" s="27"/>
      <c r="AR76" s="27"/>
      <c r="AS76" s="27"/>
      <c r="AT76" s="27"/>
      <c r="AU76" s="27"/>
      <c r="AV76" s="27"/>
      <c r="AW76" s="27"/>
      <c r="AX76" s="27"/>
      <c r="AY76" s="27"/>
      <c r="AZ76" s="27"/>
      <c r="BA76" s="27"/>
      <c r="BB76" s="27"/>
      <c r="BC76" s="27"/>
      <c r="BD76" s="27"/>
      <c r="BE76" s="27"/>
    </row>
    <row r="77" spans="1:57" s="27" customFormat="1" ht="12.75" x14ac:dyDescent="0.2">
      <c r="A77" s="59" t="s">
        <v>127</v>
      </c>
      <c r="B77" s="208">
        <v>0.16985268461194436</v>
      </c>
      <c r="C77" s="208">
        <v>9.900247506187565E-3</v>
      </c>
      <c r="D77" s="208">
        <v>0.13616784255477166</v>
      </c>
      <c r="E77" s="208">
        <v>-0.13802006732686212</v>
      </c>
      <c r="F77" s="215" t="s">
        <v>80</v>
      </c>
      <c r="G77" s="208">
        <f>G75/E75-1</f>
        <v>2.123303253203912E-2</v>
      </c>
      <c r="H77" s="35">
        <f>H75/G75-1</f>
        <v>6.1297987673572418E-2</v>
      </c>
      <c r="I77" s="35">
        <f>I75/H75-1</f>
        <v>0.14014343186986178</v>
      </c>
      <c r="J77" s="35">
        <f>J75/I75-1</f>
        <v>-5.6794820656009382E-2</v>
      </c>
      <c r="K77" s="35" t="s">
        <v>80</v>
      </c>
      <c r="L77" s="143">
        <f>L75/J75-1</f>
        <v>-5.4651919323357445E-3</v>
      </c>
      <c r="M77" s="143">
        <f>M75/L75-1</f>
        <v>5.1452309302629784E-2</v>
      </c>
      <c r="N77" s="143">
        <f>N75/M75-1</f>
        <v>0.1149478923627314</v>
      </c>
      <c r="O77" s="143">
        <f>O75/N75-1</f>
        <v>-4.58984375E-2</v>
      </c>
      <c r="P77" s="35" t="s">
        <v>80</v>
      </c>
      <c r="Q77" s="143">
        <f>Q75/O75-1</f>
        <v>6.5038748355022769E-2</v>
      </c>
      <c r="R77" s="143">
        <f>R75/Q75-1</f>
        <v>-0.42277382684862297</v>
      </c>
      <c r="S77" s="143">
        <f>S75/R75-1</f>
        <v>1.1960327276186851</v>
      </c>
      <c r="T77" s="143">
        <f>T75/S75-1</f>
        <v>6.2774829416224476E-2</v>
      </c>
      <c r="U77" s="352" t="s">
        <v>80</v>
      </c>
      <c r="V77" s="143">
        <f>V75/T75-1</f>
        <v>7.5107514827874367E-2</v>
      </c>
      <c r="W77" s="143">
        <f>W75/V75-1</f>
        <v>-6.5424281489345537E-2</v>
      </c>
      <c r="X77" s="143">
        <f>X75/W75-1</f>
        <v>0.14315272734649165</v>
      </c>
      <c r="Y77" s="143">
        <f>Y75/X75-1</f>
        <v>-0.1093267558647123</v>
      </c>
      <c r="Z77" s="352" t="s">
        <v>80</v>
      </c>
      <c r="AA77" s="143">
        <f>AA75/Y75-1</f>
        <v>0.19177096407865624</v>
      </c>
      <c r="AB77" s="143">
        <f>AB75/AA75-1</f>
        <v>8.3008350585503932E-2</v>
      </c>
      <c r="AC77" s="143">
        <f>AC75/AB75-1</f>
        <v>2.971412694492459E-2</v>
      </c>
      <c r="AF77" s="396"/>
    </row>
    <row r="78" spans="1:57" ht="15.75" thickBot="1" x14ac:dyDescent="0.3">
      <c r="A78" s="108" t="s">
        <v>128</v>
      </c>
      <c r="B78" s="216">
        <v>6.767149662874905E-2</v>
      </c>
      <c r="C78" s="216">
        <v>0.15065800717826017</v>
      </c>
      <c r="D78" s="216">
        <v>0.23919646834879105</v>
      </c>
      <c r="E78" s="216">
        <v>0.1098067803816003</v>
      </c>
      <c r="F78" s="216">
        <v>0.12145007207428482</v>
      </c>
      <c r="G78" s="216">
        <f t="shared" ref="G78:X78" si="108">G75/B75-1</f>
        <v>1.0050251256281451E-2</v>
      </c>
      <c r="H78" s="78">
        <f t="shared" si="108"/>
        <v>6.1455625696249516E-2</v>
      </c>
      <c r="I78" s="78">
        <f t="shared" si="108"/>
        <v>6.5169787887701336E-2</v>
      </c>
      <c r="J78" s="78">
        <f t="shared" si="108"/>
        <v>0.16554182149086216</v>
      </c>
      <c r="K78" s="78">
        <f t="shared" si="108"/>
        <v>7.4913853138820707E-2</v>
      </c>
      <c r="L78" s="78">
        <f t="shared" si="108"/>
        <v>0.13507091408628491</v>
      </c>
      <c r="M78" s="78">
        <f t="shared" si="108"/>
        <v>0.12454084309952762</v>
      </c>
      <c r="N78" s="78">
        <f t="shared" si="108"/>
        <v>9.9690098493449009E-2</v>
      </c>
      <c r="O78" s="78">
        <f t="shared" si="108"/>
        <v>0.11239427456083284</v>
      </c>
      <c r="P78" s="78">
        <f t="shared" si="108"/>
        <v>0.11697097181320992</v>
      </c>
      <c r="Q78" s="78">
        <f t="shared" si="108"/>
        <v>0.19125343451524279</v>
      </c>
      <c r="R78" s="78">
        <f t="shared" si="108"/>
        <v>-0.34602582050085551</v>
      </c>
      <c r="S78" s="78">
        <f t="shared" si="108"/>
        <v>0.2880859375</v>
      </c>
      <c r="T78" s="78">
        <f t="shared" si="108"/>
        <v>0.43480040941658138</v>
      </c>
      <c r="U78" s="78">
        <f t="shared" si="108"/>
        <v>0.1500316379414246</v>
      </c>
      <c r="V78" s="78">
        <f t="shared" si="108"/>
        <v>0.44836486449380808</v>
      </c>
      <c r="W78" s="78">
        <f t="shared" si="108"/>
        <v>1.3450195033774142</v>
      </c>
      <c r="X78" s="78">
        <f t="shared" si="108"/>
        <v>0.22070832882053493</v>
      </c>
      <c r="Y78" s="78">
        <f t="shared" ref="Y78" si="109">Y75/T75-1</f>
        <v>2.3031612416688718E-2</v>
      </c>
      <c r="Z78" s="78">
        <f t="shared" ref="Z78:AC78" si="110">Z75/U75-1</f>
        <v>0.3663022617558247</v>
      </c>
      <c r="AA78" s="78">
        <f t="shared" si="110"/>
        <v>0.13404413437476292</v>
      </c>
      <c r="AB78" s="78">
        <f t="shared" si="110"/>
        <v>0.31415704809623302</v>
      </c>
      <c r="AC78" s="78">
        <f t="shared" si="110"/>
        <v>0.18374915711395823</v>
      </c>
      <c r="AF78" s="396"/>
      <c r="AO78" s="27"/>
      <c r="AP78" s="27"/>
      <c r="AQ78" s="27"/>
      <c r="AR78" s="27"/>
      <c r="AS78" s="27"/>
      <c r="AT78" s="27"/>
      <c r="AU78" s="27"/>
      <c r="AV78" s="27"/>
      <c r="AW78" s="27"/>
      <c r="AX78" s="27"/>
      <c r="AY78" s="27"/>
      <c r="AZ78" s="27"/>
      <c r="BA78" s="27"/>
      <c r="BB78" s="27"/>
      <c r="BC78" s="27"/>
      <c r="BD78" s="27"/>
      <c r="BE78" s="27"/>
    </row>
    <row r="79" spans="1:57" ht="6" customHeight="1" x14ac:dyDescent="0.25">
      <c r="A79" s="109"/>
      <c r="B79" s="208"/>
      <c r="C79" s="206"/>
      <c r="D79" s="206"/>
      <c r="E79" s="206"/>
      <c r="F79" s="206"/>
      <c r="G79" s="206"/>
      <c r="AF79" s="383"/>
      <c r="AO79" s="27"/>
      <c r="AP79" s="27"/>
      <c r="AQ79" s="27"/>
      <c r="AR79" s="27"/>
      <c r="AS79" s="27"/>
      <c r="AT79" s="27"/>
      <c r="AU79" s="27"/>
      <c r="AV79" s="27"/>
      <c r="AW79" s="27"/>
      <c r="AX79" s="27"/>
      <c r="AY79" s="27"/>
      <c r="AZ79" s="27"/>
      <c r="BA79" s="27"/>
      <c r="BB79" s="27"/>
      <c r="BC79" s="27"/>
      <c r="BD79" s="27"/>
      <c r="BE79" s="27"/>
    </row>
    <row r="80" spans="1:57" x14ac:dyDescent="0.25">
      <c r="A80" s="58" t="s">
        <v>68</v>
      </c>
      <c r="B80" s="212">
        <f t="shared" ref="B80:AC80" si="111">B68</f>
        <v>17212</v>
      </c>
      <c r="C80" s="212">
        <f t="shared" si="111"/>
        <v>18268</v>
      </c>
      <c r="D80" s="212">
        <f t="shared" si="111"/>
        <v>20945</v>
      </c>
      <c r="E80" s="207">
        <f t="shared" si="111"/>
        <v>16300</v>
      </c>
      <c r="F80" s="212">
        <f t="shared" si="111"/>
        <v>72725</v>
      </c>
      <c r="G80" s="212">
        <f t="shared" si="111"/>
        <v>15150</v>
      </c>
      <c r="H80" s="42">
        <f t="shared" si="111"/>
        <v>17090</v>
      </c>
      <c r="I80" s="42">
        <f t="shared" si="111"/>
        <v>19674</v>
      </c>
      <c r="J80" s="42">
        <f t="shared" si="111"/>
        <v>-2093</v>
      </c>
      <c r="K80" s="42">
        <f t="shared" si="111"/>
        <v>49821</v>
      </c>
      <c r="L80" s="42">
        <f t="shared" si="111"/>
        <v>16861</v>
      </c>
      <c r="M80" s="42">
        <f t="shared" si="111"/>
        <v>13856</v>
      </c>
      <c r="N80" s="42">
        <f t="shared" si="111"/>
        <v>22422</v>
      </c>
      <c r="O80" s="42">
        <f t="shared" si="111"/>
        <v>23314</v>
      </c>
      <c r="P80" s="42">
        <f t="shared" si="111"/>
        <v>76453</v>
      </c>
      <c r="Q80" s="42">
        <f t="shared" si="111"/>
        <v>27487</v>
      </c>
      <c r="R80" s="42">
        <f t="shared" si="111"/>
        <v>9866</v>
      </c>
      <c r="S80" s="42">
        <f t="shared" si="111"/>
        <v>34406</v>
      </c>
      <c r="T80" s="42">
        <f t="shared" si="111"/>
        <v>38263</v>
      </c>
      <c r="U80" s="42">
        <f t="shared" si="111"/>
        <v>110022</v>
      </c>
      <c r="V80" s="42">
        <f t="shared" si="111"/>
        <v>41555</v>
      </c>
      <c r="W80" s="42">
        <f t="shared" si="111"/>
        <v>35830</v>
      </c>
      <c r="X80" s="42">
        <f t="shared" si="111"/>
        <v>42438</v>
      </c>
      <c r="Y80" s="42">
        <f t="shared" si="111"/>
        <v>36058</v>
      </c>
      <c r="Z80" s="42">
        <f t="shared" si="111"/>
        <v>155881</v>
      </c>
      <c r="AA80" s="42">
        <f t="shared" si="111"/>
        <v>43975</v>
      </c>
      <c r="AB80" s="42">
        <f t="shared" si="111"/>
        <v>47081</v>
      </c>
      <c r="AC80" s="42">
        <f t="shared" si="111"/>
        <v>50111</v>
      </c>
      <c r="AF80" s="383"/>
      <c r="AO80" s="27"/>
      <c r="AP80" s="27"/>
      <c r="AQ80" s="27"/>
      <c r="AR80" s="27"/>
      <c r="AS80" s="27"/>
      <c r="AT80" s="27"/>
      <c r="AU80" s="27"/>
      <c r="AV80" s="27"/>
      <c r="AW80" s="27"/>
      <c r="AX80" s="27"/>
      <c r="AY80" s="27"/>
      <c r="AZ80" s="27"/>
      <c r="BA80" s="27"/>
      <c r="BB80" s="27"/>
      <c r="BC80" s="27"/>
      <c r="BD80" s="27"/>
      <c r="BE80" s="27"/>
    </row>
    <row r="81" spans="1:57" x14ac:dyDescent="0.25">
      <c r="A81" s="62" t="s">
        <v>124</v>
      </c>
      <c r="B81" s="224">
        <f t="shared" ref="B81:AB81" si="112">-B23-B69</f>
        <v>5874</v>
      </c>
      <c r="C81" s="224">
        <f t="shared" si="112"/>
        <v>6028</v>
      </c>
      <c r="D81" s="224">
        <f t="shared" si="112"/>
        <v>6095</v>
      </c>
      <c r="E81" s="209">
        <f t="shared" si="112"/>
        <v>6577</v>
      </c>
      <c r="F81" s="224">
        <f t="shared" si="112"/>
        <v>24574</v>
      </c>
      <c r="G81" s="224">
        <f t="shared" si="112"/>
        <v>6557</v>
      </c>
      <c r="H81" s="85">
        <f t="shared" si="112"/>
        <v>6821</v>
      </c>
      <c r="I81" s="28">
        <f t="shared" si="112"/>
        <v>7381</v>
      </c>
      <c r="J81" s="28">
        <f t="shared" si="112"/>
        <v>7430</v>
      </c>
      <c r="K81" s="85">
        <f t="shared" si="112"/>
        <v>28189</v>
      </c>
      <c r="L81" s="85">
        <f t="shared" si="112"/>
        <v>8139</v>
      </c>
      <c r="M81" s="85">
        <f t="shared" si="112"/>
        <v>7198</v>
      </c>
      <c r="N81" s="85">
        <f t="shared" si="112"/>
        <v>7545</v>
      </c>
      <c r="O81" s="85">
        <f t="shared" si="112"/>
        <v>7541</v>
      </c>
      <c r="P81" s="85">
        <f t="shared" si="112"/>
        <v>30423</v>
      </c>
      <c r="Q81" s="85">
        <f t="shared" si="112"/>
        <v>8296</v>
      </c>
      <c r="R81" s="85">
        <f t="shared" si="112"/>
        <v>8975</v>
      </c>
      <c r="S81" s="85">
        <f t="shared" si="112"/>
        <v>9012</v>
      </c>
      <c r="T81" s="85">
        <f t="shared" si="112"/>
        <v>9767</v>
      </c>
      <c r="U81" s="85">
        <f t="shared" si="112"/>
        <v>36050</v>
      </c>
      <c r="V81" s="85">
        <f t="shared" si="112"/>
        <v>8740</v>
      </c>
      <c r="W81" s="85">
        <f t="shared" si="112"/>
        <v>8913</v>
      </c>
      <c r="X81" s="85">
        <f t="shared" si="112"/>
        <v>9283</v>
      </c>
      <c r="Y81" s="85">
        <f t="shared" si="112"/>
        <v>9418</v>
      </c>
      <c r="Z81" s="85">
        <f t="shared" si="112"/>
        <v>36354</v>
      </c>
      <c r="AA81" s="85">
        <f t="shared" si="112"/>
        <v>9116</v>
      </c>
      <c r="AB81" s="85">
        <f t="shared" si="112"/>
        <v>9929</v>
      </c>
      <c r="AC81" s="85">
        <f t="shared" ref="AC81" si="113">-AC23-AC69</f>
        <v>10137</v>
      </c>
      <c r="AF81" s="383"/>
      <c r="AO81" s="27"/>
      <c r="AP81" s="27"/>
      <c r="AQ81" s="27"/>
      <c r="AR81" s="27"/>
      <c r="AS81" s="27"/>
      <c r="AT81" s="27"/>
      <c r="AU81" s="27"/>
      <c r="AV81" s="27"/>
      <c r="AW81" s="27"/>
      <c r="AX81" s="27"/>
      <c r="AY81" s="27"/>
      <c r="AZ81" s="27"/>
      <c r="BA81" s="27"/>
      <c r="BB81" s="27"/>
      <c r="BC81" s="27"/>
      <c r="BD81" s="27"/>
      <c r="BE81" s="27"/>
    </row>
    <row r="82" spans="1:57" x14ac:dyDescent="0.25">
      <c r="A82" s="62" t="s">
        <v>181</v>
      </c>
      <c r="B82" s="224">
        <f t="shared" ref="B82:S82" si="114">B69</f>
        <v>3498</v>
      </c>
      <c r="C82" s="224">
        <f t="shared" si="114"/>
        <v>3507</v>
      </c>
      <c r="D82" s="224">
        <f t="shared" si="114"/>
        <v>3487</v>
      </c>
      <c r="E82" s="209">
        <f t="shared" si="114"/>
        <v>3483</v>
      </c>
      <c r="F82" s="224">
        <f t="shared" si="114"/>
        <v>13975</v>
      </c>
      <c r="G82" s="224">
        <f t="shared" si="114"/>
        <v>3947</v>
      </c>
      <c r="H82" s="85">
        <f t="shared" si="114"/>
        <v>3761</v>
      </c>
      <c r="I82" s="28">
        <f t="shared" si="114"/>
        <v>6718</v>
      </c>
      <c r="J82" s="28">
        <f t="shared" si="114"/>
        <v>5951</v>
      </c>
      <c r="K82" s="85">
        <f t="shared" si="114"/>
        <v>20377</v>
      </c>
      <c r="L82" s="85">
        <f t="shared" si="114"/>
        <v>5528</v>
      </c>
      <c r="M82" s="85">
        <f t="shared" si="114"/>
        <v>5554</v>
      </c>
      <c r="N82" s="85">
        <f t="shared" si="114"/>
        <v>5502</v>
      </c>
      <c r="O82" s="85">
        <f t="shared" si="114"/>
        <v>4974</v>
      </c>
      <c r="P82" s="85">
        <f t="shared" si="114"/>
        <v>21558</v>
      </c>
      <c r="Q82" s="85">
        <f t="shared" si="114"/>
        <v>4154</v>
      </c>
      <c r="R82" s="85">
        <f t="shared" si="114"/>
        <v>3430</v>
      </c>
      <c r="S82" s="85">
        <f t="shared" si="114"/>
        <v>3413</v>
      </c>
      <c r="T82" s="85">
        <f t="shared" ref="T82:AA84" si="115">T69</f>
        <v>3415</v>
      </c>
      <c r="U82" s="85">
        <f t="shared" si="115"/>
        <v>14412</v>
      </c>
      <c r="V82" s="85">
        <f t="shared" si="115"/>
        <v>3361</v>
      </c>
      <c r="W82" s="85">
        <f t="shared" si="115"/>
        <v>3397</v>
      </c>
      <c r="X82" s="85">
        <f t="shared" si="115"/>
        <v>3022</v>
      </c>
      <c r="Y82" s="85">
        <f t="shared" si="115"/>
        <v>2998</v>
      </c>
      <c r="Z82" s="85">
        <f t="shared" si="115"/>
        <v>12778</v>
      </c>
      <c r="AA82" s="85">
        <f t="shared" si="115"/>
        <v>4486</v>
      </c>
      <c r="AB82" s="85">
        <f t="shared" ref="AB82:AC84" si="116">AB69</f>
        <v>4146</v>
      </c>
      <c r="AC82" s="85">
        <f t="shared" si="116"/>
        <v>4243</v>
      </c>
      <c r="AF82" s="383"/>
      <c r="AO82" s="27"/>
      <c r="AP82" s="27"/>
      <c r="AQ82" s="27"/>
      <c r="AR82" s="27"/>
      <c r="AS82" s="27"/>
      <c r="AT82" s="27"/>
      <c r="AU82" s="27"/>
      <c r="AV82" s="27"/>
      <c r="AW82" s="27"/>
      <c r="AX82" s="27"/>
      <c r="AY82" s="27"/>
      <c r="AZ82" s="27"/>
      <c r="BA82" s="27"/>
      <c r="BB82" s="27"/>
      <c r="BC82" s="27"/>
      <c r="BD82" s="27"/>
      <c r="BE82" s="27"/>
    </row>
    <row r="83" spans="1:57" x14ac:dyDescent="0.25">
      <c r="A83" s="62" t="s">
        <v>182</v>
      </c>
      <c r="B83" s="224">
        <f t="shared" ref="B83:S83" si="117">B70</f>
        <v>5956</v>
      </c>
      <c r="C83" s="224">
        <f t="shared" si="117"/>
        <v>5107</v>
      </c>
      <c r="D83" s="224">
        <f t="shared" si="117"/>
        <v>5708</v>
      </c>
      <c r="E83" s="209">
        <f t="shared" si="117"/>
        <v>6270</v>
      </c>
      <c r="F83" s="224">
        <f t="shared" si="117"/>
        <v>23041</v>
      </c>
      <c r="G83" s="224">
        <f t="shared" si="117"/>
        <v>5074</v>
      </c>
      <c r="H83" s="85">
        <f t="shared" si="117"/>
        <v>6893</v>
      </c>
      <c r="I83" s="28">
        <f t="shared" si="117"/>
        <v>5344</v>
      </c>
      <c r="J83" s="28">
        <f t="shared" si="117"/>
        <v>6590</v>
      </c>
      <c r="K83" s="85">
        <f t="shared" si="117"/>
        <v>23901</v>
      </c>
      <c r="L83" s="85">
        <f t="shared" si="117"/>
        <v>6956</v>
      </c>
      <c r="M83" s="85">
        <f t="shared" si="117"/>
        <v>7155</v>
      </c>
      <c r="N83" s="85">
        <f t="shared" si="117"/>
        <v>7427</v>
      </c>
      <c r="O83" s="85">
        <f t="shared" si="117"/>
        <v>4532</v>
      </c>
      <c r="P83" s="85">
        <f t="shared" si="117"/>
        <v>26070</v>
      </c>
      <c r="Q83" s="85">
        <f t="shared" si="117"/>
        <v>4778</v>
      </c>
      <c r="R83" s="85">
        <f t="shared" si="117"/>
        <v>7726</v>
      </c>
      <c r="S83" s="85">
        <f t="shared" si="117"/>
        <v>8346</v>
      </c>
      <c r="T83" s="85">
        <f t="shared" si="115"/>
        <v>7385</v>
      </c>
      <c r="U83" s="85">
        <f t="shared" si="115"/>
        <v>28235</v>
      </c>
      <c r="V83" s="85">
        <f t="shared" si="115"/>
        <v>7832</v>
      </c>
      <c r="W83" s="85">
        <f t="shared" si="115"/>
        <v>10070</v>
      </c>
      <c r="X83" s="85">
        <f t="shared" si="115"/>
        <v>10894</v>
      </c>
      <c r="Y83" s="85">
        <f t="shared" si="115"/>
        <v>9825</v>
      </c>
      <c r="Z83" s="85">
        <f t="shared" si="115"/>
        <v>38621</v>
      </c>
      <c r="AA83" s="85">
        <f t="shared" si="115"/>
        <v>11224</v>
      </c>
      <c r="AB83" s="85">
        <f t="shared" si="116"/>
        <v>13340</v>
      </c>
      <c r="AC83" s="85">
        <f t="shared" si="116"/>
        <v>12186</v>
      </c>
      <c r="AF83" s="383"/>
      <c r="AO83" s="27"/>
      <c r="AP83" s="27"/>
      <c r="AQ83" s="27"/>
      <c r="AR83" s="27"/>
      <c r="AS83" s="27"/>
      <c r="AT83" s="27"/>
      <c r="AU83" s="27"/>
      <c r="AV83" s="27"/>
      <c r="AW83" s="27"/>
      <c r="AX83" s="27"/>
      <c r="AY83" s="27"/>
      <c r="AZ83" s="27"/>
      <c r="BA83" s="27"/>
      <c r="BB83" s="27"/>
      <c r="BC83" s="27"/>
      <c r="BD83" s="27"/>
      <c r="BE83" s="27"/>
    </row>
    <row r="84" spans="1:57" x14ac:dyDescent="0.25">
      <c r="A84" s="62" t="s">
        <v>271</v>
      </c>
      <c r="B84" s="220">
        <v>0</v>
      </c>
      <c r="C84" s="220">
        <v>0</v>
      </c>
      <c r="D84" s="220">
        <v>0</v>
      </c>
      <c r="E84" s="209">
        <v>0</v>
      </c>
      <c r="F84" s="220">
        <v>0</v>
      </c>
      <c r="G84" s="209">
        <f t="shared" ref="G84:S84" si="118">G71</f>
        <v>2400</v>
      </c>
      <c r="H84" s="28">
        <f t="shared" si="118"/>
        <v>0</v>
      </c>
      <c r="I84" s="28">
        <f t="shared" si="118"/>
        <v>0</v>
      </c>
      <c r="J84" s="28">
        <f t="shared" si="118"/>
        <v>0</v>
      </c>
      <c r="K84" s="28">
        <f t="shared" si="118"/>
        <v>2400</v>
      </c>
      <c r="L84" s="28">
        <f t="shared" si="118"/>
        <v>0</v>
      </c>
      <c r="M84" s="28">
        <f t="shared" si="118"/>
        <v>0</v>
      </c>
      <c r="N84" s="28">
        <f t="shared" si="118"/>
        <v>0</v>
      </c>
      <c r="O84" s="28">
        <f t="shared" si="118"/>
        <v>0</v>
      </c>
      <c r="P84" s="28">
        <f t="shared" si="118"/>
        <v>0</v>
      </c>
      <c r="Q84" s="28">
        <f t="shared" si="118"/>
        <v>0</v>
      </c>
      <c r="R84" s="28">
        <f t="shared" si="118"/>
        <v>0</v>
      </c>
      <c r="S84" s="28">
        <f t="shared" si="118"/>
        <v>0</v>
      </c>
      <c r="T84" s="28">
        <f t="shared" si="115"/>
        <v>0</v>
      </c>
      <c r="U84" s="28">
        <f t="shared" si="115"/>
        <v>0</v>
      </c>
      <c r="V84" s="28">
        <f t="shared" si="115"/>
        <v>0</v>
      </c>
      <c r="W84" s="28">
        <f t="shared" si="115"/>
        <v>0</v>
      </c>
      <c r="X84" s="28">
        <f t="shared" si="115"/>
        <v>0</v>
      </c>
      <c r="Y84" s="28">
        <f t="shared" si="115"/>
        <v>0</v>
      </c>
      <c r="Z84" s="28">
        <f t="shared" si="115"/>
        <v>0</v>
      </c>
      <c r="AA84" s="28">
        <f t="shared" si="115"/>
        <v>0</v>
      </c>
      <c r="AB84" s="85">
        <f t="shared" si="116"/>
        <v>217</v>
      </c>
      <c r="AC84" s="85">
        <f t="shared" si="116"/>
        <v>169</v>
      </c>
      <c r="AF84" s="397"/>
      <c r="AO84" s="27"/>
      <c r="AP84" s="27"/>
      <c r="AQ84" s="27"/>
      <c r="AR84" s="27"/>
      <c r="AS84" s="27"/>
      <c r="AT84" s="27"/>
      <c r="AU84" s="27"/>
      <c r="AV84" s="27"/>
      <c r="AW84" s="27"/>
      <c r="AX84" s="27"/>
      <c r="AY84" s="27"/>
      <c r="AZ84" s="27"/>
      <c r="BA84" s="27"/>
      <c r="BB84" s="27"/>
      <c r="BC84" s="27"/>
      <c r="BD84" s="27"/>
      <c r="BE84" s="27"/>
    </row>
    <row r="85" spans="1:57" x14ac:dyDescent="0.25">
      <c r="A85" s="62" t="s">
        <v>191</v>
      </c>
      <c r="B85" s="222">
        <v>0</v>
      </c>
      <c r="C85" s="209">
        <f>C72</f>
        <v>48</v>
      </c>
      <c r="D85" s="222">
        <f>D72</f>
        <v>457</v>
      </c>
      <c r="E85" s="222">
        <f>E72</f>
        <v>321</v>
      </c>
      <c r="F85" s="222">
        <f>F72</f>
        <v>826</v>
      </c>
      <c r="G85" s="222">
        <f t="shared" ref="G85:S85" si="119">G72</f>
        <v>363</v>
      </c>
      <c r="H85" s="277">
        <f t="shared" si="119"/>
        <v>841</v>
      </c>
      <c r="I85" s="277">
        <f t="shared" si="119"/>
        <v>855</v>
      </c>
      <c r="J85" s="277">
        <f t="shared" si="119"/>
        <v>236</v>
      </c>
      <c r="K85" s="28">
        <f t="shared" si="119"/>
        <v>2295</v>
      </c>
      <c r="L85" s="28">
        <f t="shared" si="119"/>
        <v>0</v>
      </c>
      <c r="M85" s="28">
        <f t="shared" si="119"/>
        <v>0</v>
      </c>
      <c r="N85" s="28">
        <f t="shared" si="119"/>
        <v>0</v>
      </c>
      <c r="O85" s="28">
        <f t="shared" si="119"/>
        <v>0</v>
      </c>
      <c r="P85" s="28">
        <f t="shared" si="119"/>
        <v>0</v>
      </c>
      <c r="Q85" s="28">
        <f t="shared" si="119"/>
        <v>0</v>
      </c>
      <c r="R85" s="28">
        <f t="shared" si="119"/>
        <v>0</v>
      </c>
      <c r="S85" s="28">
        <f t="shared" si="119"/>
        <v>0</v>
      </c>
      <c r="T85" s="28">
        <f t="shared" ref="T85:AB85" si="120">T72</f>
        <v>0</v>
      </c>
      <c r="U85" s="28">
        <f t="shared" si="120"/>
        <v>0</v>
      </c>
      <c r="V85" s="28">
        <f t="shared" si="120"/>
        <v>0</v>
      </c>
      <c r="W85" s="28">
        <f t="shared" si="120"/>
        <v>0</v>
      </c>
      <c r="X85" s="28">
        <f t="shared" si="120"/>
        <v>0</v>
      </c>
      <c r="Y85" s="28">
        <f t="shared" si="120"/>
        <v>761</v>
      </c>
      <c r="Z85" s="28">
        <f t="shared" si="120"/>
        <v>761</v>
      </c>
      <c r="AA85" s="28">
        <f t="shared" si="120"/>
        <v>133.56</v>
      </c>
      <c r="AB85" s="28">
        <f t="shared" si="120"/>
        <v>0</v>
      </c>
      <c r="AC85" s="28">
        <f t="shared" ref="AC85" si="121">AC72</f>
        <v>0</v>
      </c>
      <c r="AF85" s="397"/>
      <c r="AO85" s="27"/>
      <c r="AP85" s="27"/>
      <c r="AQ85" s="27"/>
      <c r="AR85" s="27"/>
      <c r="AS85" s="27"/>
      <c r="AT85" s="27"/>
      <c r="AU85" s="27"/>
      <c r="AV85" s="27"/>
      <c r="AW85" s="27"/>
      <c r="AX85" s="27"/>
      <c r="AY85" s="27"/>
      <c r="AZ85" s="27"/>
      <c r="BA85" s="27"/>
      <c r="BB85" s="27"/>
      <c r="BC85" s="27"/>
      <c r="BD85" s="27"/>
      <c r="BE85" s="27"/>
    </row>
    <row r="86" spans="1:57" x14ac:dyDescent="0.25">
      <c r="A86" s="62" t="s">
        <v>254</v>
      </c>
      <c r="B86" s="222"/>
      <c r="C86" s="209"/>
      <c r="D86" s="222"/>
      <c r="E86" s="222"/>
      <c r="F86" s="222">
        <f>F73</f>
        <v>0</v>
      </c>
      <c r="G86" s="222"/>
      <c r="H86" s="277"/>
      <c r="I86" s="277"/>
      <c r="J86" s="277"/>
      <c r="K86" s="28">
        <f t="shared" ref="K86:S86" si="122">K73</f>
        <v>0</v>
      </c>
      <c r="L86" s="28">
        <f t="shared" si="122"/>
        <v>0</v>
      </c>
      <c r="M86" s="28">
        <f t="shared" si="122"/>
        <v>0</v>
      </c>
      <c r="N86" s="28">
        <f t="shared" si="122"/>
        <v>0</v>
      </c>
      <c r="O86" s="28">
        <f t="shared" si="122"/>
        <v>0</v>
      </c>
      <c r="P86" s="28">
        <f t="shared" si="122"/>
        <v>0</v>
      </c>
      <c r="Q86" s="28">
        <f t="shared" si="122"/>
        <v>0</v>
      </c>
      <c r="R86" s="28">
        <f t="shared" si="122"/>
        <v>0</v>
      </c>
      <c r="S86" s="28">
        <f t="shared" si="122"/>
        <v>0</v>
      </c>
      <c r="T86" s="28">
        <f t="shared" ref="T86:AB86" si="123">T73</f>
        <v>0</v>
      </c>
      <c r="U86" s="28">
        <f t="shared" si="123"/>
        <v>0</v>
      </c>
      <c r="V86" s="28">
        <f t="shared" si="123"/>
        <v>0</v>
      </c>
      <c r="W86" s="28">
        <f t="shared" si="123"/>
        <v>0</v>
      </c>
      <c r="X86" s="28">
        <f t="shared" si="123"/>
        <v>0</v>
      </c>
      <c r="Y86" s="28">
        <f t="shared" si="123"/>
        <v>551</v>
      </c>
      <c r="Z86" s="28">
        <f t="shared" si="123"/>
        <v>551</v>
      </c>
      <c r="AA86" s="28">
        <f t="shared" si="123"/>
        <v>0</v>
      </c>
      <c r="AB86" s="28">
        <f t="shared" si="123"/>
        <v>0</v>
      </c>
      <c r="AC86" s="28">
        <f t="shared" ref="AC86" si="124">AC73</f>
        <v>0</v>
      </c>
      <c r="AF86" s="397"/>
      <c r="AO86" s="27"/>
      <c r="AP86" s="27"/>
      <c r="AQ86" s="27"/>
      <c r="AR86" s="27"/>
      <c r="AS86" s="27"/>
      <c r="AT86" s="27"/>
      <c r="AU86" s="27"/>
      <c r="AV86" s="27"/>
      <c r="AW86" s="27"/>
      <c r="AX86" s="27"/>
      <c r="AY86" s="27"/>
      <c r="AZ86" s="27"/>
      <c r="BA86" s="27"/>
      <c r="BB86" s="27"/>
      <c r="BC86" s="27"/>
      <c r="BD86" s="27"/>
      <c r="BE86" s="27"/>
    </row>
    <row r="87" spans="1:57" ht="26.25" x14ac:dyDescent="0.25">
      <c r="A87" s="303" t="s">
        <v>201</v>
      </c>
      <c r="B87" s="305">
        <v>0</v>
      </c>
      <c r="C87" s="306">
        <v>0</v>
      </c>
      <c r="D87" s="305">
        <v>0</v>
      </c>
      <c r="E87" s="305">
        <v>0</v>
      </c>
      <c r="F87" s="305">
        <v>0</v>
      </c>
      <c r="G87" s="305">
        <v>0</v>
      </c>
      <c r="H87" s="307">
        <v>0</v>
      </c>
      <c r="I87" s="307">
        <v>0</v>
      </c>
      <c r="J87" s="307">
        <f>J74</f>
        <v>20056</v>
      </c>
      <c r="K87" s="308">
        <f t="shared" ref="K87:S87" si="125">K74</f>
        <v>20056</v>
      </c>
      <c r="L87" s="308">
        <f t="shared" si="125"/>
        <v>1227</v>
      </c>
      <c r="M87" s="308">
        <f t="shared" si="125"/>
        <v>5580</v>
      </c>
      <c r="N87" s="308">
        <f t="shared" si="125"/>
        <v>489</v>
      </c>
      <c r="O87" s="308">
        <f t="shared" si="125"/>
        <v>1375</v>
      </c>
      <c r="P87" s="308">
        <f t="shared" si="125"/>
        <v>8671</v>
      </c>
      <c r="Q87" s="308">
        <f t="shared" si="125"/>
        <v>0</v>
      </c>
      <c r="R87" s="308">
        <f t="shared" si="125"/>
        <v>0</v>
      </c>
      <c r="S87" s="308">
        <f t="shared" si="125"/>
        <v>0</v>
      </c>
      <c r="T87" s="308">
        <f t="shared" ref="T87:AB87" si="126">T74</f>
        <v>0</v>
      </c>
      <c r="U87" s="308">
        <f t="shared" si="126"/>
        <v>0</v>
      </c>
      <c r="V87" s="308">
        <f t="shared" si="126"/>
        <v>0</v>
      </c>
      <c r="W87" s="308">
        <f t="shared" si="126"/>
        <v>0</v>
      </c>
      <c r="X87" s="308">
        <f t="shared" si="126"/>
        <v>0</v>
      </c>
      <c r="Y87" s="308">
        <f t="shared" si="126"/>
        <v>0</v>
      </c>
      <c r="Z87" s="308">
        <f t="shared" si="126"/>
        <v>0</v>
      </c>
      <c r="AA87" s="308">
        <f t="shared" si="126"/>
        <v>0</v>
      </c>
      <c r="AB87" s="308">
        <f t="shared" si="126"/>
        <v>0</v>
      </c>
      <c r="AC87" s="308">
        <f t="shared" ref="AC87" si="127">AC74</f>
        <v>0</v>
      </c>
      <c r="AF87" s="397"/>
      <c r="AO87" s="27"/>
      <c r="AP87" s="27"/>
      <c r="AQ87" s="27"/>
      <c r="AR87" s="27"/>
      <c r="AS87" s="27"/>
      <c r="AT87" s="27"/>
      <c r="AU87" s="27"/>
      <c r="AV87" s="27"/>
      <c r="AW87" s="27"/>
      <c r="AX87" s="27"/>
      <c r="AY87" s="27"/>
      <c r="AZ87" s="27"/>
      <c r="BA87" s="27"/>
      <c r="BB87" s="27"/>
      <c r="BC87" s="27"/>
      <c r="BD87" s="27"/>
      <c r="BE87" s="27"/>
    </row>
    <row r="88" spans="1:57" x14ac:dyDescent="0.25">
      <c r="A88" s="58" t="s">
        <v>121</v>
      </c>
      <c r="B88" s="212">
        <f t="shared" ref="B88:AB88" si="128">SUM(B80:B87)</f>
        <v>32540</v>
      </c>
      <c r="C88" s="212">
        <f t="shared" si="128"/>
        <v>32958</v>
      </c>
      <c r="D88" s="212">
        <f t="shared" si="128"/>
        <v>36692</v>
      </c>
      <c r="E88" s="212">
        <f t="shared" si="128"/>
        <v>32951</v>
      </c>
      <c r="F88" s="212">
        <f t="shared" si="128"/>
        <v>135141</v>
      </c>
      <c r="G88" s="212">
        <f t="shared" si="128"/>
        <v>33491</v>
      </c>
      <c r="H88" s="42">
        <f t="shared" si="128"/>
        <v>35406</v>
      </c>
      <c r="I88" s="42">
        <f t="shared" si="128"/>
        <v>39972</v>
      </c>
      <c r="J88" s="42">
        <f t="shared" si="128"/>
        <v>38170</v>
      </c>
      <c r="K88" s="42">
        <f t="shared" si="128"/>
        <v>147039</v>
      </c>
      <c r="L88" s="42">
        <f t="shared" si="128"/>
        <v>38711</v>
      </c>
      <c r="M88" s="42">
        <f t="shared" si="128"/>
        <v>39343</v>
      </c>
      <c r="N88" s="42">
        <f t="shared" si="128"/>
        <v>43385</v>
      </c>
      <c r="O88" s="42">
        <f t="shared" si="128"/>
        <v>41736</v>
      </c>
      <c r="P88" s="42">
        <f t="shared" si="128"/>
        <v>163175</v>
      </c>
      <c r="Q88" s="42">
        <f t="shared" si="128"/>
        <v>44715</v>
      </c>
      <c r="R88" s="42">
        <f t="shared" si="128"/>
        <v>29997</v>
      </c>
      <c r="S88" s="42">
        <f t="shared" si="128"/>
        <v>55177</v>
      </c>
      <c r="T88" s="42">
        <f t="shared" si="128"/>
        <v>58830</v>
      </c>
      <c r="U88" s="42">
        <f t="shared" si="128"/>
        <v>188719</v>
      </c>
      <c r="V88" s="42">
        <f t="shared" si="128"/>
        <v>61488</v>
      </c>
      <c r="W88" s="42">
        <f t="shared" si="128"/>
        <v>58210</v>
      </c>
      <c r="X88" s="42">
        <f t="shared" si="128"/>
        <v>65637</v>
      </c>
      <c r="Y88" s="42">
        <f t="shared" si="128"/>
        <v>59611</v>
      </c>
      <c r="Z88" s="42">
        <f t="shared" si="128"/>
        <v>244946</v>
      </c>
      <c r="AA88" s="42">
        <f t="shared" si="128"/>
        <v>68934.559999999998</v>
      </c>
      <c r="AB88" s="42">
        <f t="shared" si="128"/>
        <v>74713</v>
      </c>
      <c r="AC88" s="42">
        <f t="shared" ref="AC88" si="129">SUM(AC80:AC87)</f>
        <v>76846</v>
      </c>
      <c r="AF88" s="383"/>
      <c r="AO88" s="27"/>
      <c r="AP88" s="27"/>
      <c r="AQ88" s="27"/>
      <c r="AR88" s="27"/>
      <c r="AS88" s="27"/>
      <c r="AT88" s="27"/>
      <c r="AU88" s="27"/>
      <c r="AV88" s="27"/>
      <c r="AW88" s="27"/>
      <c r="AX88" s="27"/>
      <c r="AY88" s="27"/>
      <c r="AZ88" s="27"/>
      <c r="BA88" s="27"/>
      <c r="BB88" s="27"/>
      <c r="BC88" s="27"/>
      <c r="BD88" s="27"/>
      <c r="BE88" s="27"/>
    </row>
    <row r="89" spans="1:57" x14ac:dyDescent="0.25">
      <c r="A89" s="106" t="s">
        <v>122</v>
      </c>
      <c r="B89" s="225">
        <v>0.1777821485743008</v>
      </c>
      <c r="C89" s="225">
        <v>0.17432837715609578</v>
      </c>
      <c r="D89" s="225">
        <v>0.19076139228989575</v>
      </c>
      <c r="E89" s="225">
        <v>0.16652432090966518</v>
      </c>
      <c r="F89" s="225">
        <v>0.1772782726187509</v>
      </c>
      <c r="G89" s="225">
        <f t="shared" ref="G89:AB89" si="130">IF(G88/G66&lt;0, "NM",G88/G66)</f>
        <v>0.16181337662400411</v>
      </c>
      <c r="H89" s="101">
        <f t="shared" si="130"/>
        <v>0.16851012793176973</v>
      </c>
      <c r="I89" s="101">
        <f t="shared" si="130"/>
        <v>0.17294612415846039</v>
      </c>
      <c r="J89" s="101">
        <f t="shared" si="130"/>
        <v>0.1624926033298851</v>
      </c>
      <c r="K89" s="101">
        <f t="shared" si="130"/>
        <v>0.1665009647700405</v>
      </c>
      <c r="L89" s="101">
        <f t="shared" si="130"/>
        <v>0.16158331698480213</v>
      </c>
      <c r="M89" s="101">
        <f t="shared" si="130"/>
        <v>0.16156692360446637</v>
      </c>
      <c r="N89" s="101">
        <f t="shared" si="130"/>
        <v>0.17257907968431771</v>
      </c>
      <c r="O89" s="101">
        <f t="shared" si="130"/>
        <v>0.16247780995982436</v>
      </c>
      <c r="P89" s="101">
        <f t="shared" si="130"/>
        <v>0.16459944358478271</v>
      </c>
      <c r="Q89" s="101">
        <f t="shared" si="130"/>
        <v>0.18177568193829016</v>
      </c>
      <c r="R89" s="101">
        <f t="shared" si="130"/>
        <v>0.13483433944793299</v>
      </c>
      <c r="S89" s="101">
        <f t="shared" si="130"/>
        <v>0.22893310873046827</v>
      </c>
      <c r="T89" s="101">
        <f t="shared" si="130"/>
        <v>0.23630966487650279</v>
      </c>
      <c r="U89" s="101">
        <f t="shared" si="130"/>
        <v>0.19690349048552117</v>
      </c>
      <c r="V89" s="101">
        <f t="shared" si="130"/>
        <v>0.23521221046994242</v>
      </c>
      <c r="W89" s="101">
        <f t="shared" si="130"/>
        <v>0.2116234767181456</v>
      </c>
      <c r="X89" s="101">
        <f t="shared" si="130"/>
        <v>0.22608111599070008</v>
      </c>
      <c r="Y89" s="101">
        <f t="shared" si="130"/>
        <v>0.20173678207987439</v>
      </c>
      <c r="Z89" s="101">
        <f t="shared" si="130"/>
        <v>0.21825494768300258</v>
      </c>
      <c r="AA89" s="101">
        <f t="shared" si="130"/>
        <v>0.20939515443124104</v>
      </c>
      <c r="AB89" s="101">
        <f t="shared" si="130"/>
        <v>0.21544659180695652</v>
      </c>
      <c r="AC89" s="101">
        <f t="shared" ref="AC89" si="131">IF(AC88/AC66&lt;0, "NM",AC88/AC66)</f>
        <v>0.21266303400295003</v>
      </c>
      <c r="AF89" s="396"/>
      <c r="AO89" s="27"/>
      <c r="AP89" s="27"/>
      <c r="AQ89" s="27"/>
      <c r="AR89" s="27"/>
      <c r="AS89" s="27"/>
      <c r="AT89" s="27"/>
      <c r="AU89" s="27"/>
      <c r="AV89" s="27"/>
      <c r="AW89" s="27"/>
      <c r="AX89" s="27"/>
      <c r="AY89" s="27"/>
      <c r="AZ89" s="27"/>
      <c r="BA89" s="27"/>
      <c r="BB89" s="27"/>
      <c r="BC89" s="27"/>
      <c r="BD89" s="27"/>
      <c r="BE89" s="27"/>
    </row>
    <row r="90" spans="1:57" x14ac:dyDescent="0.25">
      <c r="A90" s="59" t="s">
        <v>127</v>
      </c>
      <c r="B90" s="223">
        <v>0.13055895498265579</v>
      </c>
      <c r="C90" s="223">
        <v>1.2845728334357709E-2</v>
      </c>
      <c r="D90" s="223">
        <v>0.11329570969112202</v>
      </c>
      <c r="E90" s="223">
        <v>-0.10195682982666521</v>
      </c>
      <c r="F90" s="225" t="s">
        <v>80</v>
      </c>
      <c r="G90" s="225">
        <f>G88/E88-1</f>
        <v>1.6387970016084497E-2</v>
      </c>
      <c r="H90" s="101">
        <f>H88/G88-1</f>
        <v>5.7179540772147819E-2</v>
      </c>
      <c r="I90" s="101">
        <f>I88/H88-1</f>
        <v>0.12896119301813247</v>
      </c>
      <c r="J90" s="101">
        <f>J88/I88-1</f>
        <v>-4.5081557089962976E-2</v>
      </c>
      <c r="K90" s="101" t="s">
        <v>80</v>
      </c>
      <c r="L90" s="298">
        <f>L88/J88-1</f>
        <v>1.4173434634529691E-2</v>
      </c>
      <c r="M90" s="298">
        <f>M88/L88-1</f>
        <v>1.6326108857947386E-2</v>
      </c>
      <c r="N90" s="298">
        <f>N88/M88-1</f>
        <v>0.10273746282693241</v>
      </c>
      <c r="O90" s="298">
        <f>O88/N88-1</f>
        <v>-3.8008528293188903E-2</v>
      </c>
      <c r="P90" s="101" t="s">
        <v>80</v>
      </c>
      <c r="Q90" s="298">
        <f>Q88/O88-1</f>
        <v>7.1377228292121897E-2</v>
      </c>
      <c r="R90" s="298">
        <f>R88/Q88-1</f>
        <v>-0.32915129151291511</v>
      </c>
      <c r="S90" s="298">
        <f>S88/R88-1</f>
        <v>0.83941727506083952</v>
      </c>
      <c r="T90" s="298">
        <f>T88/S88-1</f>
        <v>6.620512169925874E-2</v>
      </c>
      <c r="U90" s="298" t="s">
        <v>80</v>
      </c>
      <c r="V90" s="298">
        <f>V88/T88-1</f>
        <v>4.5181030086690388E-2</v>
      </c>
      <c r="W90" s="298">
        <f>W88/V88-1</f>
        <v>-5.3311215196461093E-2</v>
      </c>
      <c r="X90" s="298">
        <f>X88/W88-1</f>
        <v>0.12758976120941412</v>
      </c>
      <c r="Y90" s="298">
        <f>Y88/X88-1</f>
        <v>-9.1807974160915351E-2</v>
      </c>
      <c r="Z90" s="298" t="s">
        <v>80</v>
      </c>
      <c r="AA90" s="298">
        <f>AA88/Y88-1</f>
        <v>0.15640670346077057</v>
      </c>
      <c r="AB90" s="298">
        <f>AB88/AA88-1</f>
        <v>8.3825007369307869E-2</v>
      </c>
      <c r="AC90" s="298">
        <f>AC88/AB88-1</f>
        <v>2.8549248457430343E-2</v>
      </c>
      <c r="AF90" s="396"/>
      <c r="AO90" s="27"/>
      <c r="AP90" s="27"/>
      <c r="AQ90" s="27"/>
      <c r="AR90" s="27"/>
      <c r="AS90" s="27"/>
      <c r="AT90" s="27"/>
      <c r="AU90" s="27"/>
      <c r="AV90" s="27"/>
      <c r="AW90" s="27"/>
      <c r="AX90" s="27"/>
      <c r="AY90" s="27"/>
      <c r="AZ90" s="27"/>
      <c r="BA90" s="27"/>
      <c r="BB90" s="27"/>
      <c r="BC90" s="27"/>
      <c r="BD90" s="27"/>
      <c r="BE90" s="27"/>
    </row>
    <row r="91" spans="1:57" ht="15.75" thickBot="1" x14ac:dyDescent="0.3">
      <c r="A91" s="108" t="s">
        <v>128</v>
      </c>
      <c r="B91" s="216">
        <v>7.0611428224670814E-2</v>
      </c>
      <c r="C91" s="216">
        <v>0.1382096974720266</v>
      </c>
      <c r="D91" s="216">
        <v>0.20538764783180019</v>
      </c>
      <c r="E91" s="216">
        <v>0.1093888417996709</v>
      </c>
      <c r="F91" s="216">
        <v>0.11520663955659449</v>
      </c>
      <c r="G91" s="216">
        <f t="shared" ref="G91:R91" si="132">G88/B88-1</f>
        <v>2.9225568531038748E-2</v>
      </c>
      <c r="H91" s="78">
        <f t="shared" si="132"/>
        <v>7.4276351720371281E-2</v>
      </c>
      <c r="I91" s="78">
        <f t="shared" si="132"/>
        <v>8.939278316799304E-2</v>
      </c>
      <c r="J91" s="78">
        <f t="shared" si="132"/>
        <v>0.15838669539619432</v>
      </c>
      <c r="K91" s="78">
        <f t="shared" si="132"/>
        <v>8.804137900415121E-2</v>
      </c>
      <c r="L91" s="78">
        <f t="shared" si="132"/>
        <v>0.1558627691021468</v>
      </c>
      <c r="M91" s="78">
        <f t="shared" si="132"/>
        <v>0.11119584251256853</v>
      </c>
      <c r="N91" s="78">
        <f t="shared" si="132"/>
        <v>8.5384769338537003E-2</v>
      </c>
      <c r="O91" s="78">
        <f t="shared" si="132"/>
        <v>9.3424155095624739E-2</v>
      </c>
      <c r="P91" s="78">
        <f t="shared" si="132"/>
        <v>0.10973959289712254</v>
      </c>
      <c r="Q91" s="78">
        <f t="shared" si="132"/>
        <v>0.15509803415049994</v>
      </c>
      <c r="R91" s="78">
        <f t="shared" si="132"/>
        <v>-0.23755178811986888</v>
      </c>
      <c r="S91" s="78">
        <f>S88/N88-1</f>
        <v>0.27179900887403474</v>
      </c>
      <c r="T91" s="78">
        <f>T88/O88-1</f>
        <v>0.40957446808510634</v>
      </c>
      <c r="U91" s="78">
        <f>U88/P88-1</f>
        <v>0.1565435881722077</v>
      </c>
      <c r="V91" s="78">
        <f t="shared" ref="V91:X91" si="133">V88/Q88-1</f>
        <v>0.37510902381751099</v>
      </c>
      <c r="W91" s="78">
        <f t="shared" si="133"/>
        <v>0.94052738607194053</v>
      </c>
      <c r="X91" s="78">
        <f t="shared" si="133"/>
        <v>0.18957174184895886</v>
      </c>
      <c r="Y91" s="78">
        <f>Y88/T88-1</f>
        <v>1.3275539690634108E-2</v>
      </c>
      <c r="Z91" s="78">
        <f>Z88/U88-1</f>
        <v>0.29794032397373882</v>
      </c>
      <c r="AA91" s="78">
        <f t="shared" ref="AA91:AC91" si="134">AA88/V88-1</f>
        <v>0.12110590684361178</v>
      </c>
      <c r="AB91" s="78">
        <f t="shared" si="134"/>
        <v>0.28350798831815838</v>
      </c>
      <c r="AC91" s="78">
        <f t="shared" si="134"/>
        <v>0.17077258253728833</v>
      </c>
      <c r="AF91" s="396"/>
      <c r="AO91" s="27"/>
      <c r="AP91" s="27"/>
      <c r="AQ91" s="27"/>
      <c r="AR91" s="27"/>
      <c r="AS91" s="27"/>
      <c r="AT91" s="27"/>
      <c r="AU91" s="27"/>
      <c r="AV91" s="27"/>
      <c r="AW91" s="27"/>
      <c r="AX91" s="27"/>
      <c r="AY91" s="27"/>
      <c r="AZ91" s="27"/>
      <c r="BA91" s="27"/>
      <c r="BB91" s="27"/>
      <c r="BC91" s="27"/>
      <c r="BD91" s="27"/>
      <c r="BE91" s="27"/>
    </row>
    <row r="92" spans="1:57" ht="6" customHeight="1" x14ac:dyDescent="0.25">
      <c r="A92" s="106"/>
      <c r="B92" s="225"/>
      <c r="C92" s="206"/>
      <c r="D92" s="206"/>
      <c r="E92" s="206"/>
      <c r="F92" s="206"/>
      <c r="G92" s="206"/>
      <c r="AF92" s="383"/>
      <c r="AO92" s="27"/>
      <c r="AP92" s="27"/>
      <c r="AQ92" s="27"/>
      <c r="AR92" s="27"/>
      <c r="AS92" s="27"/>
      <c r="AT92" s="27"/>
      <c r="AU92" s="27"/>
      <c r="AV92" s="27"/>
      <c r="AW92" s="27"/>
      <c r="AX92" s="27"/>
      <c r="AY92" s="27"/>
      <c r="AZ92" s="27"/>
      <c r="BA92" s="27"/>
      <c r="BB92" s="27"/>
      <c r="BC92" s="27"/>
      <c r="BD92" s="27"/>
      <c r="BE92" s="27"/>
    </row>
    <row r="93" spans="1:57" ht="12.75" x14ac:dyDescent="0.2">
      <c r="A93" s="58" t="s">
        <v>123</v>
      </c>
      <c r="B93" s="207">
        <f t="shared" ref="B93:AC93" si="135">B46</f>
        <v>16788</v>
      </c>
      <c r="C93" s="207">
        <f t="shared" si="135"/>
        <v>20378</v>
      </c>
      <c r="D93" s="207">
        <f t="shared" si="135"/>
        <v>21077</v>
      </c>
      <c r="E93" s="207">
        <f t="shared" si="135"/>
        <v>-9355</v>
      </c>
      <c r="F93" s="207">
        <f t="shared" si="135"/>
        <v>48888</v>
      </c>
      <c r="G93" s="207">
        <f t="shared" si="135"/>
        <v>23158</v>
      </c>
      <c r="H93" s="103">
        <f t="shared" si="135"/>
        <v>14462</v>
      </c>
      <c r="I93" s="103">
        <f t="shared" si="135"/>
        <v>15249</v>
      </c>
      <c r="J93" s="103">
        <f t="shared" si="135"/>
        <v>3857</v>
      </c>
      <c r="K93" s="103">
        <f t="shared" si="135"/>
        <v>56726</v>
      </c>
      <c r="L93" s="103">
        <f t="shared" si="135"/>
        <v>14695</v>
      </c>
      <c r="M93" s="103">
        <f t="shared" si="135"/>
        <v>12564</v>
      </c>
      <c r="N93" s="103">
        <f t="shared" si="135"/>
        <v>19044</v>
      </c>
      <c r="O93" s="103">
        <f t="shared" si="135"/>
        <v>21356</v>
      </c>
      <c r="P93" s="103">
        <f t="shared" si="135"/>
        <v>67659</v>
      </c>
      <c r="Q93" s="103">
        <f t="shared" si="135"/>
        <v>22411</v>
      </c>
      <c r="R93" s="103">
        <f t="shared" si="135"/>
        <v>8429</v>
      </c>
      <c r="S93" s="103">
        <f t="shared" si="135"/>
        <v>26418</v>
      </c>
      <c r="T93" s="103">
        <f t="shared" si="135"/>
        <v>32218</v>
      </c>
      <c r="U93" s="103">
        <f t="shared" si="135"/>
        <v>89476</v>
      </c>
      <c r="V93" s="103">
        <f t="shared" si="135"/>
        <v>31931</v>
      </c>
      <c r="W93" s="103">
        <f t="shared" si="135"/>
        <v>28021</v>
      </c>
      <c r="X93" s="103">
        <f t="shared" si="135"/>
        <v>26507</v>
      </c>
      <c r="Y93" s="103">
        <f t="shared" si="135"/>
        <v>28299</v>
      </c>
      <c r="Z93" s="103">
        <f t="shared" si="135"/>
        <v>114758</v>
      </c>
      <c r="AA93" s="103">
        <f t="shared" si="135"/>
        <v>36178</v>
      </c>
      <c r="AB93" s="103">
        <f t="shared" si="135"/>
        <v>35846</v>
      </c>
      <c r="AC93" s="103">
        <f t="shared" si="135"/>
        <v>39095</v>
      </c>
      <c r="AD93" s="407"/>
      <c r="AF93" s="397"/>
      <c r="AO93" s="27"/>
      <c r="AP93" s="27"/>
      <c r="AQ93" s="27"/>
      <c r="AR93" s="27"/>
      <c r="AS93" s="27"/>
      <c r="AT93" s="27"/>
      <c r="AU93" s="27"/>
      <c r="AV93" s="27"/>
      <c r="AW93" s="27"/>
      <c r="AX93" s="27"/>
      <c r="AY93" s="27"/>
      <c r="AZ93" s="27"/>
      <c r="BA93" s="27"/>
      <c r="BB93" s="27"/>
      <c r="BC93" s="27"/>
      <c r="BD93" s="27"/>
      <c r="BE93" s="27"/>
    </row>
    <row r="94" spans="1:57" ht="12.75" x14ac:dyDescent="0.2">
      <c r="A94" s="62" t="s">
        <v>182</v>
      </c>
      <c r="B94" s="222">
        <f t="shared" ref="B94:AC94" si="136">B70</f>
        <v>5956</v>
      </c>
      <c r="C94" s="222">
        <f t="shared" si="136"/>
        <v>5107</v>
      </c>
      <c r="D94" s="222">
        <f t="shared" si="136"/>
        <v>5708</v>
      </c>
      <c r="E94" s="222">
        <f t="shared" si="136"/>
        <v>6270</v>
      </c>
      <c r="F94" s="222">
        <f t="shared" si="136"/>
        <v>23041</v>
      </c>
      <c r="G94" s="222">
        <f t="shared" si="136"/>
        <v>5074</v>
      </c>
      <c r="H94" s="102">
        <f t="shared" si="136"/>
        <v>6893</v>
      </c>
      <c r="I94" s="102">
        <f t="shared" si="136"/>
        <v>5344</v>
      </c>
      <c r="J94" s="102">
        <f t="shared" si="136"/>
        <v>6590</v>
      </c>
      <c r="K94" s="102">
        <f t="shared" si="136"/>
        <v>23901</v>
      </c>
      <c r="L94" s="102">
        <f t="shared" si="136"/>
        <v>6956</v>
      </c>
      <c r="M94" s="102">
        <f t="shared" si="136"/>
        <v>7155</v>
      </c>
      <c r="N94" s="102">
        <f t="shared" si="136"/>
        <v>7427</v>
      </c>
      <c r="O94" s="102">
        <f t="shared" si="136"/>
        <v>4532</v>
      </c>
      <c r="P94" s="277">
        <f t="shared" si="136"/>
        <v>26070</v>
      </c>
      <c r="Q94" s="102">
        <f t="shared" si="136"/>
        <v>4778</v>
      </c>
      <c r="R94" s="102">
        <f t="shared" si="136"/>
        <v>7726</v>
      </c>
      <c r="S94" s="102">
        <f t="shared" si="136"/>
        <v>8346</v>
      </c>
      <c r="T94" s="102">
        <f t="shared" si="136"/>
        <v>7385</v>
      </c>
      <c r="U94" s="102">
        <f t="shared" si="136"/>
        <v>28235</v>
      </c>
      <c r="V94" s="102">
        <f t="shared" si="136"/>
        <v>7832</v>
      </c>
      <c r="W94" s="102">
        <f t="shared" si="136"/>
        <v>10070</v>
      </c>
      <c r="X94" s="102">
        <f t="shared" si="136"/>
        <v>10894</v>
      </c>
      <c r="Y94" s="277">
        <f t="shared" si="136"/>
        <v>9825</v>
      </c>
      <c r="Z94" s="277">
        <f t="shared" si="136"/>
        <v>38621</v>
      </c>
      <c r="AA94" s="277">
        <f t="shared" si="136"/>
        <v>11224</v>
      </c>
      <c r="AB94" s="277">
        <f t="shared" si="136"/>
        <v>13340</v>
      </c>
      <c r="AC94" s="277">
        <f t="shared" si="136"/>
        <v>12186</v>
      </c>
      <c r="AD94" s="407"/>
      <c r="AF94" s="397"/>
      <c r="AO94" s="27"/>
      <c r="AP94" s="27"/>
      <c r="AQ94" s="27"/>
      <c r="AR94" s="27"/>
      <c r="AS94" s="27"/>
      <c r="AT94" s="27"/>
      <c r="AU94" s="27"/>
      <c r="AV94" s="27"/>
      <c r="AW94" s="27"/>
      <c r="AX94" s="27"/>
      <c r="AY94" s="27"/>
      <c r="AZ94" s="27"/>
      <c r="BA94" s="27"/>
      <c r="BB94" s="27"/>
      <c r="BC94" s="27"/>
      <c r="BD94" s="27"/>
      <c r="BE94" s="27"/>
    </row>
    <row r="95" spans="1:57" x14ac:dyDescent="0.25">
      <c r="A95" s="62" t="s">
        <v>181</v>
      </c>
      <c r="B95" s="222">
        <f t="shared" ref="B95:AC95" si="137">B69</f>
        <v>3498</v>
      </c>
      <c r="C95" s="222">
        <f t="shared" si="137"/>
        <v>3507</v>
      </c>
      <c r="D95" s="222">
        <f t="shared" si="137"/>
        <v>3487</v>
      </c>
      <c r="E95" s="222">
        <f t="shared" si="137"/>
        <v>3483</v>
      </c>
      <c r="F95" s="222">
        <f t="shared" si="137"/>
        <v>13975</v>
      </c>
      <c r="G95" s="222">
        <f t="shared" si="137"/>
        <v>3947</v>
      </c>
      <c r="H95" s="102">
        <f t="shared" si="137"/>
        <v>3761</v>
      </c>
      <c r="I95" s="102">
        <f t="shared" si="137"/>
        <v>6718</v>
      </c>
      <c r="J95" s="102">
        <f t="shared" si="137"/>
        <v>5951</v>
      </c>
      <c r="K95" s="102">
        <f t="shared" si="137"/>
        <v>20377</v>
      </c>
      <c r="L95" s="102">
        <f t="shared" si="137"/>
        <v>5528</v>
      </c>
      <c r="M95" s="102">
        <f t="shared" si="137"/>
        <v>5554</v>
      </c>
      <c r="N95" s="102">
        <f t="shared" si="137"/>
        <v>5502</v>
      </c>
      <c r="O95" s="102">
        <f t="shared" si="137"/>
        <v>4974</v>
      </c>
      <c r="P95" s="277">
        <f t="shared" si="137"/>
        <v>21558</v>
      </c>
      <c r="Q95" s="102">
        <f t="shared" si="137"/>
        <v>4154</v>
      </c>
      <c r="R95" s="102">
        <f t="shared" si="137"/>
        <v>3430</v>
      </c>
      <c r="S95" s="102">
        <f t="shared" si="137"/>
        <v>3413</v>
      </c>
      <c r="T95" s="102">
        <f t="shared" si="137"/>
        <v>3415</v>
      </c>
      <c r="U95" s="102">
        <f t="shared" si="137"/>
        <v>14412</v>
      </c>
      <c r="V95" s="102">
        <f t="shared" si="137"/>
        <v>3361</v>
      </c>
      <c r="W95" s="102">
        <f t="shared" si="137"/>
        <v>3397</v>
      </c>
      <c r="X95" s="102">
        <f t="shared" si="137"/>
        <v>3022</v>
      </c>
      <c r="Y95" s="277">
        <f t="shared" si="137"/>
        <v>2998</v>
      </c>
      <c r="Z95" s="277">
        <f t="shared" si="137"/>
        <v>12778</v>
      </c>
      <c r="AA95" s="277">
        <f t="shared" si="137"/>
        <v>4486</v>
      </c>
      <c r="AB95" s="277">
        <f t="shared" si="137"/>
        <v>4146</v>
      </c>
      <c r="AC95" s="277">
        <f t="shared" si="137"/>
        <v>4243</v>
      </c>
      <c r="AD95" s="408"/>
      <c r="AF95" s="397"/>
      <c r="AO95" s="27"/>
      <c r="AP95" s="27"/>
      <c r="AQ95" s="27"/>
      <c r="AR95" s="27"/>
      <c r="AS95" s="27"/>
      <c r="AT95" s="27"/>
      <c r="AU95" s="27"/>
      <c r="AV95" s="27"/>
      <c r="AW95" s="27"/>
      <c r="AX95" s="27"/>
      <c r="AY95" s="27"/>
      <c r="AZ95" s="27"/>
      <c r="BA95" s="27"/>
      <c r="BB95" s="27"/>
      <c r="BC95" s="27"/>
      <c r="BD95" s="27"/>
      <c r="BE95" s="27"/>
    </row>
    <row r="96" spans="1:57" x14ac:dyDescent="0.25">
      <c r="A96" s="62" t="s">
        <v>271</v>
      </c>
      <c r="B96" s="226">
        <v>0</v>
      </c>
      <c r="C96" s="226">
        <v>0</v>
      </c>
      <c r="D96" s="226">
        <v>0</v>
      </c>
      <c r="E96" s="209">
        <f>+F96-SUM(B96,C96,D96)</f>
        <v>0</v>
      </c>
      <c r="F96" s="226">
        <v>0</v>
      </c>
      <c r="G96" s="222">
        <f>G84</f>
        <v>2400</v>
      </c>
      <c r="H96" s="102">
        <v>0</v>
      </c>
      <c r="I96" s="102">
        <v>0</v>
      </c>
      <c r="J96" s="102">
        <v>0</v>
      </c>
      <c r="K96" s="102">
        <f>SUM(G96:J96)</f>
        <v>2400</v>
      </c>
      <c r="L96" s="102">
        <v>0</v>
      </c>
      <c r="M96" s="102">
        <v>0</v>
      </c>
      <c r="N96" s="102">
        <v>0</v>
      </c>
      <c r="O96" s="102">
        <v>0</v>
      </c>
      <c r="P96" s="102">
        <f>SUM(L96:O96)</f>
        <v>0</v>
      </c>
      <c r="Q96" s="102">
        <v>0</v>
      </c>
      <c r="R96" s="102">
        <v>0</v>
      </c>
      <c r="S96" s="102">
        <v>0</v>
      </c>
      <c r="T96" s="102">
        <v>0</v>
      </c>
      <c r="U96" s="102">
        <f>SUM(Q96:T96)</f>
        <v>0</v>
      </c>
      <c r="V96" s="102">
        <v>0</v>
      </c>
      <c r="W96" s="102">
        <v>0</v>
      </c>
      <c r="X96" s="102">
        <v>0</v>
      </c>
      <c r="Y96" s="277">
        <f>+Z96-SUM(V96:X96)</f>
        <v>0</v>
      </c>
      <c r="Z96" s="277">
        <v>0</v>
      </c>
      <c r="AA96" s="277">
        <v>0</v>
      </c>
      <c r="AB96" s="277">
        <v>580</v>
      </c>
      <c r="AC96" s="277">
        <v>481</v>
      </c>
      <c r="AF96" s="397"/>
      <c r="AO96" s="27"/>
      <c r="AP96" s="27"/>
      <c r="AQ96" s="27"/>
      <c r="AR96" s="27"/>
      <c r="AS96" s="27"/>
      <c r="AT96" s="27"/>
      <c r="AU96" s="27"/>
      <c r="AV96" s="27"/>
      <c r="AW96" s="27"/>
      <c r="AX96" s="27"/>
      <c r="AY96" s="27"/>
      <c r="AZ96" s="27"/>
      <c r="BA96" s="27"/>
      <c r="BB96" s="27"/>
      <c r="BC96" s="27"/>
      <c r="BD96" s="27"/>
      <c r="BE96" s="27"/>
    </row>
    <row r="97" spans="1:57" x14ac:dyDescent="0.25">
      <c r="A97" s="62" t="s">
        <v>198</v>
      </c>
      <c r="B97" s="226">
        <v>0</v>
      </c>
      <c r="C97" s="226">
        <v>0</v>
      </c>
      <c r="D97" s="226">
        <v>0</v>
      </c>
      <c r="E97" s="209">
        <f>+F97-SUM(B97,C97,D97)</f>
        <v>29185</v>
      </c>
      <c r="F97" s="222">
        <v>29185</v>
      </c>
      <c r="G97" s="222">
        <v>-4836</v>
      </c>
      <c r="H97" s="102">
        <v>0</v>
      </c>
      <c r="I97" s="102">
        <v>0</v>
      </c>
      <c r="J97" s="183">
        <f>+K97-SUM(G97:I97)</f>
        <v>-2974</v>
      </c>
      <c r="K97" s="102">
        <v>-7810</v>
      </c>
      <c r="L97" s="102">
        <v>0</v>
      </c>
      <c r="M97" s="102">
        <v>0</v>
      </c>
      <c r="N97" s="102">
        <v>0</v>
      </c>
      <c r="O97" s="183">
        <f>+P97-SUM(L97:N97)</f>
        <v>0</v>
      </c>
      <c r="P97" s="102">
        <v>0</v>
      </c>
      <c r="Q97" s="102">
        <v>0</v>
      </c>
      <c r="R97" s="102">
        <v>0</v>
      </c>
      <c r="S97" s="102">
        <v>0</v>
      </c>
      <c r="T97" s="102">
        <v>0</v>
      </c>
      <c r="U97" s="102">
        <v>0</v>
      </c>
      <c r="V97" s="102">
        <v>0</v>
      </c>
      <c r="W97" s="102">
        <v>0</v>
      </c>
      <c r="X97" s="102">
        <v>0</v>
      </c>
      <c r="Y97" s="277">
        <v>0</v>
      </c>
      <c r="Z97" s="277">
        <v>0</v>
      </c>
      <c r="AA97" s="277">
        <v>0</v>
      </c>
      <c r="AB97" s="277">
        <v>0</v>
      </c>
      <c r="AC97" s="277">
        <v>0</v>
      </c>
      <c r="AF97" s="397"/>
      <c r="AO97" s="27"/>
      <c r="AP97" s="27"/>
      <c r="AQ97" s="27"/>
      <c r="AR97" s="27"/>
      <c r="AS97" s="27"/>
      <c r="AT97" s="27"/>
      <c r="AU97" s="27"/>
      <c r="AV97" s="27"/>
      <c r="AW97" s="27"/>
      <c r="AX97" s="27"/>
      <c r="AY97" s="27"/>
      <c r="AZ97" s="27"/>
      <c r="BA97" s="27"/>
      <c r="BB97" s="27"/>
      <c r="BC97" s="27"/>
      <c r="BD97" s="27"/>
      <c r="BE97" s="27"/>
    </row>
    <row r="98" spans="1:57" x14ac:dyDescent="0.25">
      <c r="A98" s="62" t="s">
        <v>267</v>
      </c>
      <c r="B98" s="222">
        <v>0</v>
      </c>
      <c r="C98" s="222">
        <f>C72</f>
        <v>48</v>
      </c>
      <c r="D98" s="222">
        <f>D85</f>
        <v>457</v>
      </c>
      <c r="E98" s="222">
        <f>E72</f>
        <v>321</v>
      </c>
      <c r="F98" s="222">
        <f>F72</f>
        <v>826</v>
      </c>
      <c r="G98" s="222">
        <f>G72</f>
        <v>363</v>
      </c>
      <c r="H98" s="277">
        <f>H72</f>
        <v>841</v>
      </c>
      <c r="I98" s="277">
        <f>I72</f>
        <v>855</v>
      </c>
      <c r="J98" s="183">
        <f>+K98-SUM(G98:I98)</f>
        <v>-1014</v>
      </c>
      <c r="K98" s="277">
        <v>1045</v>
      </c>
      <c r="L98" s="277">
        <v>0</v>
      </c>
      <c r="M98" s="277">
        <v>0</v>
      </c>
      <c r="N98" s="277">
        <v>-761</v>
      </c>
      <c r="O98" s="183">
        <f>+P98-SUM(L98:N98)</f>
        <v>0</v>
      </c>
      <c r="P98" s="277">
        <v>-761</v>
      </c>
      <c r="Q98" s="277">
        <v>0</v>
      </c>
      <c r="R98" s="277">
        <v>0</v>
      </c>
      <c r="S98" s="277">
        <v>0</v>
      </c>
      <c r="T98" s="277">
        <f>+U98-SUM(Q98:S98)</f>
        <v>0</v>
      </c>
      <c r="U98" s="102">
        <v>0</v>
      </c>
      <c r="V98" s="277">
        <v>0</v>
      </c>
      <c r="W98" s="277">
        <v>0</v>
      </c>
      <c r="X98" s="277">
        <v>0</v>
      </c>
      <c r="Y98" s="277">
        <f>+Z98-SUM(V98:X98)</f>
        <v>761</v>
      </c>
      <c r="Z98" s="277">
        <v>761</v>
      </c>
      <c r="AA98" s="277">
        <v>133.56</v>
      </c>
      <c r="AB98" s="277">
        <v>0</v>
      </c>
      <c r="AC98" s="277">
        <v>0</v>
      </c>
      <c r="AF98" s="397"/>
      <c r="AO98" s="27"/>
      <c r="AP98" s="27"/>
      <c r="AQ98" s="27"/>
      <c r="AR98" s="27"/>
      <c r="AS98" s="27"/>
      <c r="AT98" s="27"/>
      <c r="AU98" s="27"/>
      <c r="AV98" s="27"/>
      <c r="AW98" s="27"/>
      <c r="AX98" s="27"/>
      <c r="AY98" s="27"/>
      <c r="AZ98" s="27"/>
      <c r="BA98" s="27"/>
      <c r="BB98" s="27"/>
      <c r="BC98" s="27"/>
      <c r="BD98" s="27"/>
      <c r="BE98" s="27"/>
    </row>
    <row r="99" spans="1:57" x14ac:dyDescent="0.25">
      <c r="A99" s="62" t="s">
        <v>194</v>
      </c>
      <c r="B99" s="222">
        <v>0</v>
      </c>
      <c r="C99" s="222">
        <v>0</v>
      </c>
      <c r="D99" s="222">
        <v>0</v>
      </c>
      <c r="E99" s="222">
        <v>0</v>
      </c>
      <c r="F99" s="222">
        <v>0</v>
      </c>
      <c r="G99" s="222">
        <v>0</v>
      </c>
      <c r="H99" s="277">
        <v>0</v>
      </c>
      <c r="I99" s="277">
        <v>0</v>
      </c>
      <c r="J99" s="183">
        <f>+K99-SUM(G99:I99)</f>
        <v>600</v>
      </c>
      <c r="K99" s="277">
        <v>600</v>
      </c>
      <c r="L99" s="277">
        <v>600</v>
      </c>
      <c r="M99" s="277">
        <v>618</v>
      </c>
      <c r="N99" s="277">
        <v>618</v>
      </c>
      <c r="O99" s="183">
        <f>+P99-SUM(L99:N99)</f>
        <v>636</v>
      </c>
      <c r="P99" s="277">
        <v>2472</v>
      </c>
      <c r="Q99" s="183">
        <v>635</v>
      </c>
      <c r="R99" s="183">
        <v>654</v>
      </c>
      <c r="S99" s="183">
        <v>654</v>
      </c>
      <c r="T99" s="183">
        <f>+U99-SUM(Q99:S99)</f>
        <v>673</v>
      </c>
      <c r="U99" s="183">
        <v>2616</v>
      </c>
      <c r="V99" s="204">
        <v>673</v>
      </c>
      <c r="W99" s="204">
        <v>691</v>
      </c>
      <c r="X99" s="204">
        <v>431</v>
      </c>
      <c r="Y99" s="277">
        <f>+Z99-SUM(V99:X99)</f>
        <v>0</v>
      </c>
      <c r="Z99" s="204">
        <v>1795</v>
      </c>
      <c r="AA99" s="204">
        <v>0</v>
      </c>
      <c r="AB99" s="30">
        <v>0</v>
      </c>
      <c r="AC99" s="30"/>
      <c r="AF99" s="397"/>
      <c r="AO99" s="27"/>
      <c r="AP99" s="27"/>
      <c r="AQ99" s="27"/>
      <c r="AR99" s="27"/>
      <c r="AS99" s="27"/>
      <c r="AT99" s="27"/>
      <c r="AU99" s="27"/>
      <c r="AV99" s="27"/>
      <c r="AW99" s="27"/>
      <c r="AX99" s="27"/>
      <c r="AY99" s="27"/>
      <c r="AZ99" s="27"/>
      <c r="BA99" s="27"/>
      <c r="BB99" s="27"/>
      <c r="BC99" s="27"/>
      <c r="BD99" s="27"/>
      <c r="BE99" s="27"/>
    </row>
    <row r="100" spans="1:57" ht="26.25" x14ac:dyDescent="0.25">
      <c r="A100" s="303" t="s">
        <v>201</v>
      </c>
      <c r="B100" s="305">
        <v>0</v>
      </c>
      <c r="C100" s="305">
        <v>0</v>
      </c>
      <c r="D100" s="305">
        <v>0</v>
      </c>
      <c r="E100" s="305">
        <v>0</v>
      </c>
      <c r="F100" s="305">
        <v>0</v>
      </c>
      <c r="G100" s="305">
        <v>0</v>
      </c>
      <c r="H100" s="307">
        <v>0</v>
      </c>
      <c r="I100" s="307">
        <v>0</v>
      </c>
      <c r="J100" s="307">
        <f>J87</f>
        <v>20056</v>
      </c>
      <c r="K100" s="307">
        <f>K87</f>
        <v>20056</v>
      </c>
      <c r="L100" s="307">
        <f>L87</f>
        <v>1227</v>
      </c>
      <c r="M100" s="307">
        <v>5580</v>
      </c>
      <c r="N100" s="307">
        <f t="shared" ref="N100:V100" si="138">N87</f>
        <v>489</v>
      </c>
      <c r="O100" s="307">
        <f t="shared" si="138"/>
        <v>1375</v>
      </c>
      <c r="P100" s="307">
        <f t="shared" si="138"/>
        <v>8671</v>
      </c>
      <c r="Q100" s="277">
        <f t="shared" si="138"/>
        <v>0</v>
      </c>
      <c r="R100" s="277">
        <f t="shared" si="138"/>
        <v>0</v>
      </c>
      <c r="S100" s="277">
        <f t="shared" si="138"/>
        <v>0</v>
      </c>
      <c r="T100" s="277">
        <f t="shared" si="138"/>
        <v>0</v>
      </c>
      <c r="U100" s="277">
        <f t="shared" si="138"/>
        <v>0</v>
      </c>
      <c r="V100" s="277">
        <f t="shared" si="138"/>
        <v>0</v>
      </c>
      <c r="W100" s="277">
        <v>0</v>
      </c>
      <c r="X100" s="277">
        <v>0</v>
      </c>
      <c r="Y100" s="277">
        <f t="shared" ref="Y100:AA100" si="139">Y87</f>
        <v>0</v>
      </c>
      <c r="Z100" s="277">
        <f t="shared" si="139"/>
        <v>0</v>
      </c>
      <c r="AA100" s="277">
        <f t="shared" si="139"/>
        <v>0</v>
      </c>
      <c r="AB100" s="277">
        <f t="shared" ref="AB100:AC100" si="140">AB87</f>
        <v>0</v>
      </c>
      <c r="AC100" s="277">
        <f t="shared" si="140"/>
        <v>0</v>
      </c>
      <c r="AF100" s="397"/>
      <c r="AO100" s="27"/>
      <c r="AP100" s="27"/>
      <c r="AQ100" s="27"/>
      <c r="AR100" s="27"/>
      <c r="AS100" s="27"/>
      <c r="AT100" s="27"/>
      <c r="AU100" s="27"/>
      <c r="AV100" s="27"/>
      <c r="AW100" s="27"/>
      <c r="AX100" s="27"/>
      <c r="AY100" s="27"/>
      <c r="AZ100" s="27"/>
      <c r="BA100" s="27"/>
      <c r="BB100" s="27"/>
      <c r="BC100" s="27"/>
      <c r="BD100" s="27"/>
      <c r="BE100" s="27"/>
    </row>
    <row r="101" spans="1:57" x14ac:dyDescent="0.25">
      <c r="A101" s="62" t="s">
        <v>245</v>
      </c>
      <c r="B101" s="222"/>
      <c r="C101" s="222"/>
      <c r="D101" s="222"/>
      <c r="E101" s="222"/>
      <c r="F101" s="222">
        <v>0</v>
      </c>
      <c r="G101" s="222">
        <v>0</v>
      </c>
      <c r="H101" s="277">
        <v>0</v>
      </c>
      <c r="I101" s="277">
        <v>0</v>
      </c>
      <c r="J101" s="277">
        <f>+K101-SUM(G101:I101)</f>
        <v>0</v>
      </c>
      <c r="K101" s="277">
        <v>0</v>
      </c>
      <c r="L101" s="277">
        <v>0</v>
      </c>
      <c r="M101" s="277">
        <v>0</v>
      </c>
      <c r="N101" s="277">
        <v>0</v>
      </c>
      <c r="O101" s="277">
        <v>0</v>
      </c>
      <c r="P101" s="277">
        <v>0</v>
      </c>
      <c r="Q101" s="277">
        <v>0</v>
      </c>
      <c r="R101" s="277">
        <v>-556</v>
      </c>
      <c r="S101" s="277">
        <v>0</v>
      </c>
      <c r="T101" s="277">
        <f>+U101-SUM(Q101:S101)</f>
        <v>0</v>
      </c>
      <c r="U101" s="277">
        <v>-556</v>
      </c>
      <c r="V101" s="277">
        <v>0</v>
      </c>
      <c r="W101" s="277">
        <v>0</v>
      </c>
      <c r="X101" s="277">
        <v>0</v>
      </c>
      <c r="Y101" s="277">
        <f>+Z101-SUM(V101:X101)</f>
        <v>0</v>
      </c>
      <c r="Z101" s="277">
        <v>0</v>
      </c>
      <c r="AA101" s="277">
        <v>0</v>
      </c>
      <c r="AB101" s="277">
        <v>0</v>
      </c>
      <c r="AC101" s="277">
        <v>0</v>
      </c>
      <c r="AF101" s="397"/>
      <c r="AO101" s="27"/>
      <c r="AP101" s="27"/>
      <c r="AQ101" s="27"/>
      <c r="AR101" s="27"/>
      <c r="AS101" s="27"/>
      <c r="AT101" s="27"/>
      <c r="AU101" s="27"/>
      <c r="AV101" s="27"/>
      <c r="AW101" s="27"/>
      <c r="AX101" s="27"/>
      <c r="AY101" s="27"/>
      <c r="AZ101" s="27"/>
      <c r="BA101" s="27"/>
      <c r="BB101" s="27"/>
      <c r="BC101" s="27"/>
      <c r="BD101" s="27"/>
      <c r="BE101" s="27"/>
    </row>
    <row r="102" spans="1:57" x14ac:dyDescent="0.25">
      <c r="A102" s="62" t="s">
        <v>254</v>
      </c>
      <c r="B102" s="222"/>
      <c r="C102" s="222"/>
      <c r="D102" s="222"/>
      <c r="E102" s="222"/>
      <c r="F102" s="222">
        <v>0</v>
      </c>
      <c r="G102" s="222">
        <v>0</v>
      </c>
      <c r="H102" s="277">
        <v>0</v>
      </c>
      <c r="I102" s="277">
        <v>0</v>
      </c>
      <c r="J102" s="277">
        <v>0</v>
      </c>
      <c r="K102" s="277">
        <v>0</v>
      </c>
      <c r="L102" s="277">
        <v>0</v>
      </c>
      <c r="M102" s="277">
        <v>0</v>
      </c>
      <c r="N102" s="277">
        <v>0</v>
      </c>
      <c r="O102" s="277">
        <v>0</v>
      </c>
      <c r="P102" s="277">
        <v>0</v>
      </c>
      <c r="Q102" s="277">
        <v>0</v>
      </c>
      <c r="R102" s="277">
        <v>0</v>
      </c>
      <c r="S102" s="277">
        <v>0</v>
      </c>
      <c r="T102" s="277">
        <v>0</v>
      </c>
      <c r="U102" s="277">
        <v>0</v>
      </c>
      <c r="V102" s="277">
        <v>0</v>
      </c>
      <c r="W102" s="277">
        <v>0</v>
      </c>
      <c r="X102" s="277">
        <v>0</v>
      </c>
      <c r="Y102" s="277">
        <f>+Z102-SUM(V102:X102)</f>
        <v>551</v>
      </c>
      <c r="Z102" s="277">
        <v>551</v>
      </c>
      <c r="AA102" s="277">
        <v>0</v>
      </c>
      <c r="AB102" s="277">
        <v>0</v>
      </c>
      <c r="AC102" s="277">
        <v>0</v>
      </c>
      <c r="AF102" s="397"/>
      <c r="AO102" s="27"/>
      <c r="AP102" s="27"/>
      <c r="AQ102" s="27"/>
      <c r="AR102" s="27"/>
      <c r="AS102" s="27"/>
      <c r="AT102" s="27"/>
      <c r="AU102" s="27"/>
      <c r="AV102" s="27"/>
      <c r="AW102" s="27"/>
      <c r="AX102" s="27"/>
      <c r="AY102" s="27"/>
      <c r="AZ102" s="27"/>
      <c r="BA102" s="27"/>
      <c r="BB102" s="27"/>
      <c r="BC102" s="27"/>
      <c r="BD102" s="27"/>
      <c r="BE102" s="27"/>
    </row>
    <row r="103" spans="1:57" ht="12.75" x14ac:dyDescent="0.2">
      <c r="A103" s="62" t="s">
        <v>125</v>
      </c>
      <c r="B103" s="209">
        <v>-4260.3999999999996</v>
      </c>
      <c r="C103" s="209">
        <v>-3483.4</v>
      </c>
      <c r="D103" s="209">
        <v>-5563.7</v>
      </c>
      <c r="E103" s="209">
        <f>ROUND(+F103-SUM(B103,C103,D103),0)</f>
        <v>-5063</v>
      </c>
      <c r="F103" s="209">
        <v>-18370</v>
      </c>
      <c r="G103" s="209">
        <v>-5913.4848000000002</v>
      </c>
      <c r="H103" s="28">
        <v>-1891</v>
      </c>
      <c r="I103" s="28">
        <v>-1460</v>
      </c>
      <c r="J103" s="183">
        <f>+K103-SUM(G103:I103)</f>
        <v>-2836.5151999999998</v>
      </c>
      <c r="K103" s="28">
        <v>-12101</v>
      </c>
      <c r="L103" s="28">
        <v>-2481</v>
      </c>
      <c r="M103" s="28">
        <v>-1571</v>
      </c>
      <c r="N103" s="28">
        <v>-1790</v>
      </c>
      <c r="O103" s="183">
        <f>+P103-SUM(L103:N103)</f>
        <v>-2144</v>
      </c>
      <c r="P103" s="28">
        <v>-7986</v>
      </c>
      <c r="Q103" s="183">
        <v>-2733</v>
      </c>
      <c r="R103" s="183">
        <v>-1662</v>
      </c>
      <c r="S103" s="183">
        <v>-1836</v>
      </c>
      <c r="T103" s="183">
        <f>+U103-SUM(Q103:S103)</f>
        <v>-2099</v>
      </c>
      <c r="U103" s="183">
        <v>-8330</v>
      </c>
      <c r="V103" s="204">
        <v>-2358</v>
      </c>
      <c r="W103" s="204">
        <v>-2074</v>
      </c>
      <c r="X103" s="204">
        <v>-2697</v>
      </c>
      <c r="Y103" s="277">
        <f>+Z103-SUM(V103:X103)</f>
        <v>-2406</v>
      </c>
      <c r="Z103" s="204">
        <v>-9535</v>
      </c>
      <c r="AA103" s="204">
        <v>-2806</v>
      </c>
      <c r="AB103" s="30">
        <v>-3216</v>
      </c>
      <c r="AC103" s="30">
        <v>-2833</v>
      </c>
      <c r="AD103" s="317"/>
      <c r="AF103" s="397"/>
      <c r="AO103" s="27"/>
      <c r="AP103" s="27"/>
      <c r="AQ103" s="27"/>
      <c r="AR103" s="27"/>
      <c r="AS103" s="27"/>
      <c r="AT103" s="27"/>
      <c r="AU103" s="27"/>
      <c r="AV103" s="27"/>
      <c r="AW103" s="27"/>
      <c r="AX103" s="27"/>
      <c r="AY103" s="27"/>
      <c r="AZ103" s="27"/>
      <c r="BA103" s="27"/>
      <c r="BB103" s="27"/>
      <c r="BC103" s="27"/>
      <c r="BD103" s="27"/>
      <c r="BE103" s="27"/>
    </row>
    <row r="104" spans="1:57" ht="12.75" x14ac:dyDescent="0.2">
      <c r="A104" s="62" t="s">
        <v>183</v>
      </c>
      <c r="B104" s="209">
        <v>-951</v>
      </c>
      <c r="C104" s="209">
        <v>-948.89</v>
      </c>
      <c r="D104" s="209">
        <v>-942.49</v>
      </c>
      <c r="E104" s="209">
        <f>ROUND(+F104-SUM(B104,C104,D104),0)</f>
        <v>-947</v>
      </c>
      <c r="F104" s="209">
        <v>-3789</v>
      </c>
      <c r="G104" s="209">
        <v>-725.53359999999998</v>
      </c>
      <c r="H104" s="28">
        <v>-679</v>
      </c>
      <c r="I104" s="28">
        <v>-1435</v>
      </c>
      <c r="J104" s="183">
        <f>+K104-SUM(G104:I104)</f>
        <v>-1511.4664000000002</v>
      </c>
      <c r="K104" s="28">
        <v>-4351</v>
      </c>
      <c r="L104" s="28">
        <v>-1193</v>
      </c>
      <c r="M104" s="28">
        <v>-1198</v>
      </c>
      <c r="N104" s="28">
        <v>-1188</v>
      </c>
      <c r="O104" s="183">
        <f>+P104-SUM(L104:N104)</f>
        <v>-1042</v>
      </c>
      <c r="P104" s="28">
        <v>-4621</v>
      </c>
      <c r="Q104" s="183">
        <v>-897.048</v>
      </c>
      <c r="R104" s="183">
        <v>-880.15879999999993</v>
      </c>
      <c r="S104" s="183">
        <v>-798.30714506593904</v>
      </c>
      <c r="T104" s="183">
        <f>+ROUND(U104-SUM(Q104:S104),0)</f>
        <v>-798</v>
      </c>
      <c r="U104" s="183">
        <v>-3374</v>
      </c>
      <c r="V104" s="204">
        <v>-757.9736190000001</v>
      </c>
      <c r="W104" s="204">
        <v>-765.89167199999997</v>
      </c>
      <c r="X104" s="204">
        <v>-699</v>
      </c>
      <c r="Y104" s="277">
        <f>+ROUND(Z104-SUM(V104:X104),0)</f>
        <v>-770</v>
      </c>
      <c r="Z104" s="204">
        <v>-2993</v>
      </c>
      <c r="AA104" s="204">
        <v>-1052</v>
      </c>
      <c r="AB104" s="30">
        <v>-971</v>
      </c>
      <c r="AC104" s="30">
        <v>-994</v>
      </c>
      <c r="AD104" s="317"/>
      <c r="AF104" s="397"/>
      <c r="AO104" s="27"/>
      <c r="AP104" s="27"/>
      <c r="AQ104" s="27"/>
      <c r="AR104" s="27"/>
      <c r="AS104" s="27"/>
      <c r="AT104" s="27"/>
      <c r="AU104" s="27"/>
      <c r="AV104" s="27"/>
      <c r="AW104" s="27"/>
      <c r="AX104" s="27"/>
      <c r="AY104" s="27"/>
      <c r="AZ104" s="27"/>
      <c r="BA104" s="27"/>
      <c r="BB104" s="27"/>
      <c r="BC104" s="27"/>
      <c r="BD104" s="27"/>
      <c r="BE104" s="27"/>
    </row>
    <row r="105" spans="1:57" x14ac:dyDescent="0.25">
      <c r="A105" s="62" t="s">
        <v>272</v>
      </c>
      <c r="B105" s="222">
        <v>0</v>
      </c>
      <c r="C105" s="222">
        <v>0</v>
      </c>
      <c r="D105" s="222">
        <v>0</v>
      </c>
      <c r="E105" s="209">
        <f>+F105-SUM(B105,C105,D105)</f>
        <v>0</v>
      </c>
      <c r="F105" s="222">
        <v>0</v>
      </c>
      <c r="G105" s="222">
        <v>0</v>
      </c>
      <c r="H105" s="102">
        <v>0</v>
      </c>
      <c r="I105" s="102">
        <v>0</v>
      </c>
      <c r="J105" s="102">
        <v>0</v>
      </c>
      <c r="K105" s="102">
        <v>0</v>
      </c>
      <c r="L105" s="102">
        <v>0</v>
      </c>
      <c r="M105" s="102">
        <v>0</v>
      </c>
      <c r="N105" s="102">
        <v>0</v>
      </c>
      <c r="O105" s="102">
        <v>0</v>
      </c>
      <c r="P105" s="102">
        <v>0</v>
      </c>
      <c r="Q105" s="102">
        <v>0</v>
      </c>
      <c r="R105" s="102">
        <v>0</v>
      </c>
      <c r="S105" s="102">
        <v>0</v>
      </c>
      <c r="T105" s="102">
        <v>0</v>
      </c>
      <c r="U105" s="102">
        <v>0</v>
      </c>
      <c r="V105" s="277">
        <v>0</v>
      </c>
      <c r="W105" s="277">
        <v>0</v>
      </c>
      <c r="X105" s="277">
        <v>0</v>
      </c>
      <c r="Y105" s="277">
        <v>0</v>
      </c>
      <c r="Z105" s="277">
        <v>0</v>
      </c>
      <c r="AA105" s="277">
        <v>0</v>
      </c>
      <c r="AB105" s="277">
        <v>1000</v>
      </c>
      <c r="AC105" s="30">
        <v>0</v>
      </c>
      <c r="AF105" s="397"/>
      <c r="AO105" s="27"/>
      <c r="AP105" s="27"/>
      <c r="AQ105" s="27"/>
      <c r="AR105" s="27"/>
      <c r="AS105" s="27"/>
      <c r="AT105" s="27"/>
      <c r="AU105" s="27"/>
      <c r="AV105" s="27"/>
      <c r="AW105" s="27"/>
      <c r="AX105" s="27"/>
      <c r="AY105" s="27"/>
      <c r="AZ105" s="27"/>
      <c r="BA105" s="27"/>
      <c r="BB105" s="27"/>
      <c r="BC105" s="27"/>
      <c r="BD105" s="27"/>
      <c r="BE105" s="27"/>
    </row>
    <row r="106" spans="1:57" x14ac:dyDescent="0.25">
      <c r="A106" s="62" t="s">
        <v>273</v>
      </c>
      <c r="B106" s="222">
        <v>0</v>
      </c>
      <c r="C106" s="222">
        <v>0</v>
      </c>
      <c r="D106" s="222">
        <v>0</v>
      </c>
      <c r="E106" s="209">
        <v>0</v>
      </c>
      <c r="F106" s="222">
        <v>0</v>
      </c>
      <c r="G106" s="222">
        <f>-G96*25.5%</f>
        <v>-612</v>
      </c>
      <c r="H106" s="102">
        <v>0</v>
      </c>
      <c r="I106" s="102">
        <v>0</v>
      </c>
      <c r="J106" s="102">
        <v>0</v>
      </c>
      <c r="K106" s="102">
        <f>SUM(G106:J106)</f>
        <v>-612</v>
      </c>
      <c r="L106" s="102">
        <v>0</v>
      </c>
      <c r="M106" s="102">
        <v>0</v>
      </c>
      <c r="N106" s="102">
        <v>0</v>
      </c>
      <c r="O106" s="102">
        <v>0</v>
      </c>
      <c r="P106" s="102">
        <f>SUM(L106:O106)</f>
        <v>0</v>
      </c>
      <c r="Q106" s="102">
        <v>0</v>
      </c>
      <c r="R106" s="102">
        <v>0</v>
      </c>
      <c r="S106" s="102">
        <v>0</v>
      </c>
      <c r="T106" s="102">
        <v>0</v>
      </c>
      <c r="U106" s="102">
        <v>0</v>
      </c>
      <c r="V106" s="277">
        <v>0</v>
      </c>
      <c r="W106" s="277">
        <v>0</v>
      </c>
      <c r="X106" s="277">
        <v>0</v>
      </c>
      <c r="Y106" s="277">
        <v>0</v>
      </c>
      <c r="Z106" s="277">
        <v>0</v>
      </c>
      <c r="AA106" s="277">
        <v>0</v>
      </c>
      <c r="AB106" s="277">
        <v>-92</v>
      </c>
      <c r="AC106" s="30">
        <v>-78</v>
      </c>
      <c r="AF106" s="397"/>
      <c r="AO106" s="27"/>
      <c r="AP106" s="27"/>
      <c r="AQ106" s="27"/>
      <c r="AR106" s="27"/>
      <c r="AS106" s="27"/>
      <c r="AT106" s="27"/>
      <c r="AU106" s="27"/>
      <c r="AV106" s="27"/>
      <c r="AW106" s="27"/>
      <c r="AX106" s="27"/>
      <c r="AY106" s="27"/>
      <c r="AZ106" s="27"/>
      <c r="BA106" s="27"/>
      <c r="BB106" s="27"/>
      <c r="BC106" s="27"/>
      <c r="BD106" s="27"/>
      <c r="BE106" s="27"/>
    </row>
    <row r="107" spans="1:57" x14ac:dyDescent="0.25">
      <c r="A107" s="62" t="s">
        <v>233</v>
      </c>
      <c r="B107" s="222">
        <v>0</v>
      </c>
      <c r="C107" s="222">
        <f>-ROUND(C98*40%,0)</f>
        <v>-19</v>
      </c>
      <c r="D107" s="222">
        <f>-ROUND(D98*40%,0)</f>
        <v>-183</v>
      </c>
      <c r="E107" s="222">
        <f>-ROUND(E98*40%,0)</f>
        <v>-128</v>
      </c>
      <c r="F107" s="222">
        <f>-ROUND(F98*40%,0)</f>
        <v>-330</v>
      </c>
      <c r="G107" s="222">
        <v>-38</v>
      </c>
      <c r="H107" s="277">
        <v>-12</v>
      </c>
      <c r="I107" s="277">
        <v>-218</v>
      </c>
      <c r="J107" s="183">
        <f>+K107-SUM(G107:I107)</f>
        <v>253</v>
      </c>
      <c r="K107" s="102">
        <v>-15</v>
      </c>
      <c r="L107" s="102">
        <v>0</v>
      </c>
      <c r="M107" s="102">
        <v>0</v>
      </c>
      <c r="N107" s="102">
        <v>186</v>
      </c>
      <c r="O107" s="183">
        <f>+P107-SUM(L107:N107)</f>
        <v>0</v>
      </c>
      <c r="P107" s="102">
        <v>186</v>
      </c>
      <c r="Q107" s="102">
        <v>0</v>
      </c>
      <c r="R107" s="102">
        <v>137</v>
      </c>
      <c r="S107" s="102">
        <v>0</v>
      </c>
      <c r="T107" s="102">
        <f>+U107-SUM(Q107:S107)</f>
        <v>0</v>
      </c>
      <c r="U107" s="102">
        <v>137</v>
      </c>
      <c r="V107" s="277">
        <v>0</v>
      </c>
      <c r="W107" s="277">
        <v>0</v>
      </c>
      <c r="X107" s="277">
        <v>0</v>
      </c>
      <c r="Y107" s="277">
        <f>+Z107-SUM(V107:X107)</f>
        <v>0</v>
      </c>
      <c r="Z107" s="277">
        <v>0</v>
      </c>
      <c r="AA107" s="277">
        <v>0</v>
      </c>
      <c r="AB107" s="277">
        <v>0</v>
      </c>
      <c r="AC107" s="277">
        <v>0</v>
      </c>
      <c r="AF107" s="397"/>
      <c r="AO107" s="27"/>
      <c r="AP107" s="27"/>
      <c r="AQ107" s="27"/>
      <c r="AR107" s="27"/>
      <c r="AS107" s="27"/>
      <c r="AT107" s="27"/>
      <c r="AU107" s="27"/>
      <c r="AV107" s="27"/>
      <c r="AW107" s="27"/>
      <c r="AX107" s="27"/>
      <c r="AY107" s="27"/>
      <c r="AZ107" s="27"/>
      <c r="BA107" s="27"/>
      <c r="BB107" s="27"/>
      <c r="BC107" s="27"/>
      <c r="BD107" s="27"/>
      <c r="BE107" s="27"/>
    </row>
    <row r="108" spans="1:57" x14ac:dyDescent="0.25">
      <c r="A108" s="62" t="s">
        <v>255</v>
      </c>
      <c r="B108" s="222"/>
      <c r="C108" s="222"/>
      <c r="D108" s="222"/>
      <c r="E108" s="222"/>
      <c r="F108" s="222">
        <v>0</v>
      </c>
      <c r="G108" s="222">
        <v>0</v>
      </c>
      <c r="H108" s="277">
        <v>0</v>
      </c>
      <c r="I108" s="277">
        <v>0</v>
      </c>
      <c r="J108" s="183">
        <v>0</v>
      </c>
      <c r="K108" s="102">
        <v>0</v>
      </c>
      <c r="L108" s="102">
        <v>0</v>
      </c>
      <c r="M108" s="102">
        <v>0</v>
      </c>
      <c r="N108" s="102">
        <v>0</v>
      </c>
      <c r="O108" s="183">
        <v>0</v>
      </c>
      <c r="P108" s="102">
        <v>0</v>
      </c>
      <c r="Q108" s="102">
        <v>0</v>
      </c>
      <c r="R108" s="102">
        <v>0</v>
      </c>
      <c r="S108" s="102">
        <v>0</v>
      </c>
      <c r="T108" s="102">
        <v>0</v>
      </c>
      <c r="U108" s="102">
        <v>0</v>
      </c>
      <c r="V108" s="277">
        <v>0</v>
      </c>
      <c r="W108" s="277">
        <v>0</v>
      </c>
      <c r="X108" s="277">
        <v>0</v>
      </c>
      <c r="Y108" s="277">
        <f>+Z108-SUM(V108:X108)</f>
        <v>-136</v>
      </c>
      <c r="Z108" s="277">
        <v>-136</v>
      </c>
      <c r="AA108" s="277">
        <v>0</v>
      </c>
      <c r="AB108" s="277">
        <v>0</v>
      </c>
      <c r="AC108" s="277">
        <v>0</v>
      </c>
      <c r="AF108" s="397"/>
      <c r="AO108" s="27"/>
      <c r="AP108" s="27"/>
      <c r="AQ108" s="27"/>
      <c r="AR108" s="27"/>
      <c r="AS108" s="27"/>
      <c r="AT108" s="27"/>
      <c r="AU108" s="27"/>
      <c r="AV108" s="27"/>
      <c r="AW108" s="27"/>
      <c r="AX108" s="27"/>
      <c r="AY108" s="27"/>
      <c r="AZ108" s="27"/>
      <c r="BA108" s="27"/>
      <c r="BB108" s="27"/>
      <c r="BC108" s="27"/>
      <c r="BD108" s="27"/>
      <c r="BE108" s="27"/>
    </row>
    <row r="109" spans="1:57" x14ac:dyDescent="0.25">
      <c r="A109" s="62" t="s">
        <v>195</v>
      </c>
      <c r="B109" s="222">
        <v>0</v>
      </c>
      <c r="C109" s="222">
        <v>0</v>
      </c>
      <c r="D109" s="222">
        <v>0</v>
      </c>
      <c r="E109" s="222">
        <v>0</v>
      </c>
      <c r="F109" s="222">
        <v>0</v>
      </c>
      <c r="G109" s="222">
        <v>0</v>
      </c>
      <c r="H109" s="277">
        <v>0</v>
      </c>
      <c r="I109" s="277">
        <v>0</v>
      </c>
      <c r="J109" s="183">
        <f>+K109-SUM(G109:I109)</f>
        <v>-150</v>
      </c>
      <c r="K109" s="102">
        <v>-150</v>
      </c>
      <c r="L109" s="102">
        <v>-147</v>
      </c>
      <c r="M109" s="102">
        <v>-150</v>
      </c>
      <c r="N109" s="102">
        <v>-150</v>
      </c>
      <c r="O109" s="183">
        <f>+P109-SUM(L109:N109)</f>
        <v>-159</v>
      </c>
      <c r="P109" s="102">
        <v>-606</v>
      </c>
      <c r="Q109" s="183">
        <v>-156</v>
      </c>
      <c r="R109" s="183">
        <v>-162</v>
      </c>
      <c r="S109" s="183">
        <v>-162</v>
      </c>
      <c r="T109" s="183">
        <f>+U109-SUM(Q109:S109)</f>
        <v>-168</v>
      </c>
      <c r="U109" s="183">
        <v>-648</v>
      </c>
      <c r="V109" s="204">
        <v>-162</v>
      </c>
      <c r="W109" s="204">
        <v>-165</v>
      </c>
      <c r="X109" s="204">
        <v>-103</v>
      </c>
      <c r="Y109" s="277">
        <f>+Z109-SUM(V109:X109)</f>
        <v>-12</v>
      </c>
      <c r="Z109" s="204">
        <v>-442</v>
      </c>
      <c r="AA109" s="277">
        <v>0</v>
      </c>
      <c r="AB109" s="277">
        <v>0</v>
      </c>
      <c r="AC109" s="277">
        <v>0</v>
      </c>
      <c r="AF109" s="397"/>
      <c r="AO109" s="27"/>
      <c r="AP109" s="27"/>
      <c r="AQ109" s="27"/>
      <c r="AR109" s="27"/>
      <c r="AS109" s="27"/>
      <c r="AT109" s="27"/>
      <c r="AU109" s="27"/>
      <c r="AV109" s="27"/>
      <c r="AW109" s="27"/>
      <c r="AX109" s="27"/>
      <c r="AY109" s="27"/>
      <c r="AZ109" s="27"/>
      <c r="BA109" s="27"/>
      <c r="BB109" s="27"/>
      <c r="BC109" s="27"/>
      <c r="BD109" s="27"/>
      <c r="BE109" s="27"/>
    </row>
    <row r="110" spans="1:57" x14ac:dyDescent="0.25">
      <c r="A110" s="62" t="s">
        <v>234</v>
      </c>
      <c r="B110" s="222">
        <v>0</v>
      </c>
      <c r="C110" s="222">
        <v>0</v>
      </c>
      <c r="D110" s="222">
        <v>0</v>
      </c>
      <c r="E110" s="222">
        <v>0</v>
      </c>
      <c r="F110" s="222">
        <v>0</v>
      </c>
      <c r="G110" s="222">
        <v>0</v>
      </c>
      <c r="H110" s="277">
        <v>0</v>
      </c>
      <c r="I110" s="277">
        <v>0</v>
      </c>
      <c r="J110" s="183">
        <f>+K110-SUM(G110:I110)</f>
        <v>0</v>
      </c>
      <c r="K110" s="102">
        <v>0</v>
      </c>
      <c r="L110" s="102">
        <v>0</v>
      </c>
      <c r="M110" s="102">
        <v>-1471</v>
      </c>
      <c r="N110" s="102">
        <v>0</v>
      </c>
      <c r="O110" s="183">
        <f>+P110-SUM(L110:N110)</f>
        <v>-1663</v>
      </c>
      <c r="P110" s="102">
        <v>-3134</v>
      </c>
      <c r="Q110" s="102">
        <v>0</v>
      </c>
      <c r="R110" s="102">
        <v>1320.2116463969007</v>
      </c>
      <c r="S110" s="102">
        <v>0</v>
      </c>
      <c r="T110" s="102">
        <f>+U110-SUM(Q110:S110)</f>
        <v>-1340.2116463969007</v>
      </c>
      <c r="U110" s="102">
        <v>-20</v>
      </c>
      <c r="V110" s="102">
        <v>0</v>
      </c>
      <c r="W110" s="102">
        <v>0</v>
      </c>
      <c r="X110" s="102">
        <v>-2400</v>
      </c>
      <c r="Y110" s="277">
        <f>+Z110-SUM(V110:X110)</f>
        <v>2157</v>
      </c>
      <c r="Z110" s="277">
        <v>-243</v>
      </c>
      <c r="AA110" s="277">
        <v>0</v>
      </c>
      <c r="AB110" s="277">
        <v>0</v>
      </c>
      <c r="AC110" s="277">
        <v>0</v>
      </c>
      <c r="AF110" s="397"/>
      <c r="AO110" s="27"/>
      <c r="AP110" s="27"/>
      <c r="AQ110" s="27"/>
      <c r="AR110" s="27"/>
      <c r="AS110" s="27"/>
      <c r="AT110" s="27"/>
      <c r="AU110" s="27"/>
      <c r="AV110" s="27"/>
      <c r="AW110" s="27"/>
      <c r="AX110" s="27"/>
      <c r="AY110" s="27"/>
      <c r="AZ110" s="27"/>
      <c r="BA110" s="27"/>
      <c r="BB110" s="27"/>
      <c r="BC110" s="27"/>
      <c r="BD110" s="27"/>
      <c r="BE110" s="27"/>
    </row>
    <row r="111" spans="1:57" ht="26.25" x14ac:dyDescent="0.25">
      <c r="A111" s="303" t="s">
        <v>202</v>
      </c>
      <c r="B111" s="305">
        <v>0</v>
      </c>
      <c r="C111" s="305">
        <v>0</v>
      </c>
      <c r="D111" s="305">
        <v>0</v>
      </c>
      <c r="E111" s="305">
        <v>0</v>
      </c>
      <c r="F111" s="305">
        <v>0</v>
      </c>
      <c r="G111" s="305">
        <v>0</v>
      </c>
      <c r="H111" s="307">
        <v>0</v>
      </c>
      <c r="I111" s="307">
        <v>0</v>
      </c>
      <c r="J111" s="309">
        <f>+K111-SUM(G111:I111)</f>
        <v>-3072</v>
      </c>
      <c r="K111" s="304">
        <v>-3072</v>
      </c>
      <c r="L111" s="304">
        <f>-L100*24.5%</f>
        <v>-300.61500000000001</v>
      </c>
      <c r="M111" s="304">
        <v>-1367</v>
      </c>
      <c r="N111" s="304">
        <v>-120</v>
      </c>
      <c r="O111" s="309">
        <f>+P111-SUM(L111:N111)</f>
        <v>-352.38499999999999</v>
      </c>
      <c r="P111" s="304">
        <v>-2140</v>
      </c>
      <c r="Q111" s="204">
        <f t="shared" ref="Q111:V111" si="141">-Q100*24.5%</f>
        <v>0</v>
      </c>
      <c r="R111" s="204">
        <f t="shared" si="141"/>
        <v>0</v>
      </c>
      <c r="S111" s="204">
        <f t="shared" si="141"/>
        <v>0</v>
      </c>
      <c r="T111" s="204">
        <f t="shared" si="141"/>
        <v>0</v>
      </c>
      <c r="U111" s="204">
        <f t="shared" si="141"/>
        <v>0</v>
      </c>
      <c r="V111" s="204">
        <f t="shared" si="141"/>
        <v>0</v>
      </c>
      <c r="W111" s="204">
        <v>0</v>
      </c>
      <c r="X111" s="204">
        <v>0</v>
      </c>
      <c r="Y111" s="377">
        <f t="shared" ref="Y111:Z111" si="142">-Y100*24.5%</f>
        <v>0</v>
      </c>
      <c r="Z111" s="204">
        <f t="shared" si="142"/>
        <v>0</v>
      </c>
      <c r="AA111" s="204">
        <v>0</v>
      </c>
      <c r="AB111" s="277">
        <v>0</v>
      </c>
      <c r="AC111" s="277">
        <v>0</v>
      </c>
      <c r="AF111" s="397"/>
      <c r="AO111" s="27"/>
      <c r="AP111" s="27"/>
      <c r="AQ111" s="27"/>
      <c r="AR111" s="27"/>
      <c r="AS111" s="27"/>
      <c r="AT111" s="27"/>
      <c r="AU111" s="27"/>
      <c r="AV111" s="27"/>
      <c r="AW111" s="27"/>
      <c r="AX111" s="27"/>
      <c r="AY111" s="27"/>
      <c r="AZ111" s="27"/>
      <c r="BA111" s="27"/>
      <c r="BB111" s="27"/>
      <c r="BC111" s="27"/>
      <c r="BD111" s="27"/>
      <c r="BE111" s="27"/>
    </row>
    <row r="112" spans="1:57" x14ac:dyDescent="0.25">
      <c r="A112" s="62" t="s">
        <v>256</v>
      </c>
      <c r="B112" s="222">
        <v>0</v>
      </c>
      <c r="C112" s="222">
        <v>0</v>
      </c>
      <c r="D112" s="222">
        <v>0</v>
      </c>
      <c r="E112" s="222">
        <v>0</v>
      </c>
      <c r="F112" s="222">
        <v>0</v>
      </c>
      <c r="G112" s="222">
        <v>0</v>
      </c>
      <c r="H112" s="277">
        <v>0</v>
      </c>
      <c r="I112" s="277">
        <v>0</v>
      </c>
      <c r="J112" s="183">
        <f>+K112-SUM(G112:I112)</f>
        <v>0</v>
      </c>
      <c r="K112" s="102">
        <v>0</v>
      </c>
      <c r="L112" s="102">
        <v>0</v>
      </c>
      <c r="M112" s="102">
        <v>0</v>
      </c>
      <c r="N112" s="102">
        <v>0</v>
      </c>
      <c r="O112" s="102">
        <v>0</v>
      </c>
      <c r="P112" s="102">
        <v>0</v>
      </c>
      <c r="Q112" s="102">
        <v>0</v>
      </c>
      <c r="R112" s="102">
        <v>0</v>
      </c>
      <c r="S112" s="102">
        <v>0</v>
      </c>
      <c r="T112" s="102">
        <v>0</v>
      </c>
      <c r="U112" s="102">
        <v>0</v>
      </c>
      <c r="V112" s="102">
        <v>0</v>
      </c>
      <c r="W112" s="102">
        <v>0</v>
      </c>
      <c r="X112" s="102">
        <v>0</v>
      </c>
      <c r="Y112" s="277">
        <f>+Z112-SUM(V112:X112)</f>
        <v>0</v>
      </c>
      <c r="Z112" s="102">
        <v>0</v>
      </c>
      <c r="AA112" s="102">
        <v>0</v>
      </c>
      <c r="AB112" s="102">
        <v>0</v>
      </c>
      <c r="AC112" s="102">
        <v>0</v>
      </c>
      <c r="AF112" s="397"/>
      <c r="AO112" s="27"/>
      <c r="AP112" s="27"/>
      <c r="AQ112" s="27"/>
      <c r="AR112" s="27"/>
      <c r="AS112" s="27"/>
      <c r="AT112" s="27"/>
      <c r="AU112" s="27"/>
      <c r="AV112" s="27"/>
      <c r="AW112" s="27"/>
      <c r="AX112" s="27"/>
      <c r="AY112" s="27"/>
      <c r="AZ112" s="27"/>
      <c r="BA112" s="27"/>
      <c r="BB112" s="27"/>
      <c r="BC112" s="27"/>
      <c r="BD112" s="27"/>
      <c r="BE112" s="27"/>
    </row>
    <row r="113" spans="1:57" x14ac:dyDescent="0.25">
      <c r="A113" s="62" t="s">
        <v>250</v>
      </c>
      <c r="B113" s="222">
        <v>0</v>
      </c>
      <c r="C113" s="222">
        <v>0</v>
      </c>
      <c r="D113" s="222">
        <v>0</v>
      </c>
      <c r="E113" s="222">
        <v>0</v>
      </c>
      <c r="F113" s="222">
        <v>0</v>
      </c>
      <c r="G113" s="222">
        <v>0</v>
      </c>
      <c r="H113" s="277">
        <v>0</v>
      </c>
      <c r="I113" s="277">
        <v>0</v>
      </c>
      <c r="J113" s="183">
        <v>0</v>
      </c>
      <c r="K113" s="102">
        <v>0</v>
      </c>
      <c r="L113" s="102">
        <v>0</v>
      </c>
      <c r="M113" s="102">
        <v>0</v>
      </c>
      <c r="N113" s="102">
        <v>0</v>
      </c>
      <c r="O113" s="102">
        <v>0</v>
      </c>
      <c r="P113" s="102">
        <v>0</v>
      </c>
      <c r="Q113" s="102">
        <v>0</v>
      </c>
      <c r="R113" s="102">
        <v>0</v>
      </c>
      <c r="S113" s="102">
        <v>0</v>
      </c>
      <c r="T113" s="102">
        <v>0</v>
      </c>
      <c r="U113" s="102">
        <v>0</v>
      </c>
      <c r="V113" s="102">
        <v>0</v>
      </c>
      <c r="W113" s="102">
        <v>0</v>
      </c>
      <c r="X113" s="102">
        <v>12845</v>
      </c>
      <c r="Y113" s="376">
        <f>+Z113-SUM(V113:X113)</f>
        <v>0</v>
      </c>
      <c r="Z113" s="277">
        <f>-Z37</f>
        <v>12845</v>
      </c>
      <c r="AA113" s="277">
        <f>-AA37</f>
        <v>0</v>
      </c>
      <c r="AB113" s="277">
        <f>-AB37</f>
        <v>0</v>
      </c>
      <c r="AC113" s="277">
        <f>-AC37</f>
        <v>0</v>
      </c>
      <c r="AF113" s="397"/>
      <c r="AO113" s="27"/>
      <c r="AP113" s="27"/>
      <c r="AQ113" s="27"/>
      <c r="AR113" s="27"/>
      <c r="AS113" s="27"/>
      <c r="AT113" s="27"/>
      <c r="AU113" s="27"/>
      <c r="AV113" s="27"/>
      <c r="AW113" s="27"/>
      <c r="AX113" s="27"/>
      <c r="AY113" s="27"/>
      <c r="AZ113" s="27"/>
      <c r="BA113" s="27"/>
      <c r="BB113" s="27"/>
      <c r="BC113" s="27"/>
      <c r="BD113" s="27"/>
      <c r="BE113" s="27"/>
    </row>
    <row r="114" spans="1:57" x14ac:dyDescent="0.25">
      <c r="A114" s="62" t="s">
        <v>251</v>
      </c>
      <c r="B114" s="222">
        <v>0</v>
      </c>
      <c r="C114" s="222">
        <v>0</v>
      </c>
      <c r="D114" s="222">
        <v>0</v>
      </c>
      <c r="E114" s="222">
        <v>0</v>
      </c>
      <c r="F114" s="222">
        <v>0</v>
      </c>
      <c r="G114" s="222">
        <v>0</v>
      </c>
      <c r="H114" s="277">
        <v>0</v>
      </c>
      <c r="I114" s="277">
        <v>0</v>
      </c>
      <c r="J114" s="183">
        <v>0</v>
      </c>
      <c r="K114" s="102">
        <v>0</v>
      </c>
      <c r="L114" s="102">
        <v>0</v>
      </c>
      <c r="M114" s="102">
        <v>0</v>
      </c>
      <c r="N114" s="102">
        <v>0</v>
      </c>
      <c r="O114" s="102">
        <v>0</v>
      </c>
      <c r="P114" s="102">
        <v>0</v>
      </c>
      <c r="Q114" s="102">
        <v>0</v>
      </c>
      <c r="R114" s="102">
        <v>0</v>
      </c>
      <c r="S114" s="102">
        <v>0</v>
      </c>
      <c r="T114" s="102">
        <v>0</v>
      </c>
      <c r="U114" s="102">
        <v>0</v>
      </c>
      <c r="V114" s="102">
        <v>0</v>
      </c>
      <c r="W114" s="102">
        <v>0</v>
      </c>
      <c r="X114" s="102">
        <v>-3094</v>
      </c>
      <c r="Y114" s="277">
        <f>+Z114-SUM(V114:X114)</f>
        <v>-97</v>
      </c>
      <c r="Z114" s="277">
        <v>-3191</v>
      </c>
      <c r="AA114" s="277">
        <v>0</v>
      </c>
      <c r="AB114" s="277">
        <v>0</v>
      </c>
      <c r="AC114" s="277">
        <v>0</v>
      </c>
      <c r="AF114" s="397"/>
      <c r="AO114" s="27"/>
      <c r="AP114" s="27"/>
      <c r="AQ114" s="27"/>
      <c r="AR114" s="27"/>
      <c r="AS114" s="27"/>
      <c r="AT114" s="27"/>
      <c r="AU114" s="27"/>
      <c r="AV114" s="27"/>
      <c r="AW114" s="27"/>
      <c r="AX114" s="27"/>
      <c r="AY114" s="27"/>
      <c r="AZ114" s="27"/>
      <c r="BA114" s="27"/>
      <c r="BB114" s="27"/>
      <c r="BC114" s="27"/>
      <c r="BD114" s="27"/>
      <c r="BE114" s="27"/>
    </row>
    <row r="115" spans="1:57" ht="13.5" customHeight="1" x14ac:dyDescent="0.2">
      <c r="A115" s="58" t="s">
        <v>130</v>
      </c>
      <c r="B115" s="207">
        <f>SUM(B93:B114)</f>
        <v>21030.6</v>
      </c>
      <c r="C115" s="207">
        <f t="shared" ref="C115:W115" si="143">SUM(C93:C114)</f>
        <v>24588.71</v>
      </c>
      <c r="D115" s="207">
        <f t="shared" si="143"/>
        <v>24039.809999999998</v>
      </c>
      <c r="E115" s="207">
        <f t="shared" si="143"/>
        <v>23766</v>
      </c>
      <c r="F115" s="207">
        <f t="shared" si="143"/>
        <v>93426</v>
      </c>
      <c r="G115" s="207">
        <f t="shared" si="143"/>
        <v>22816.981600000003</v>
      </c>
      <c r="H115" s="103">
        <f t="shared" si="143"/>
        <v>23375</v>
      </c>
      <c r="I115" s="103">
        <f t="shared" si="143"/>
        <v>25053</v>
      </c>
      <c r="J115" s="103">
        <f t="shared" si="143"/>
        <v>25749.018399999997</v>
      </c>
      <c r="K115" s="103">
        <f t="shared" si="143"/>
        <v>96994</v>
      </c>
      <c r="L115" s="103">
        <f t="shared" si="143"/>
        <v>24884.384999999998</v>
      </c>
      <c r="M115" s="103">
        <f t="shared" si="143"/>
        <v>25714</v>
      </c>
      <c r="N115" s="103">
        <f t="shared" si="143"/>
        <v>29257</v>
      </c>
      <c r="O115" s="103">
        <f t="shared" si="143"/>
        <v>27512.615000000002</v>
      </c>
      <c r="P115" s="103">
        <f t="shared" si="143"/>
        <v>107368</v>
      </c>
      <c r="Q115" s="103">
        <f t="shared" si="143"/>
        <v>28191.952000000001</v>
      </c>
      <c r="R115" s="103">
        <f t="shared" si="143"/>
        <v>18436.052846396899</v>
      </c>
      <c r="S115" s="103">
        <f t="shared" si="143"/>
        <v>36034.692854934059</v>
      </c>
      <c r="T115" s="103">
        <f t="shared" si="143"/>
        <v>39285.7883536031</v>
      </c>
      <c r="U115" s="103">
        <f t="shared" si="143"/>
        <v>121948</v>
      </c>
      <c r="V115" s="103">
        <f t="shared" si="143"/>
        <v>40519.026381000003</v>
      </c>
      <c r="W115" s="103">
        <f t="shared" si="143"/>
        <v>39174.108328000002</v>
      </c>
      <c r="X115" s="103">
        <f>SUM(X93:X114)</f>
        <v>44706</v>
      </c>
      <c r="Y115" s="103">
        <f t="shared" ref="Y115:AB115" si="144">SUM(Y93:Y114)</f>
        <v>41170</v>
      </c>
      <c r="Z115" s="103">
        <f t="shared" si="144"/>
        <v>165569</v>
      </c>
      <c r="AA115" s="103">
        <f t="shared" si="144"/>
        <v>48163.56</v>
      </c>
      <c r="AB115" s="103">
        <f t="shared" si="144"/>
        <v>50633</v>
      </c>
      <c r="AC115" s="103">
        <f>SUM(AC93:AC114)</f>
        <v>52100</v>
      </c>
      <c r="AD115" s="409"/>
      <c r="AF115" s="397"/>
      <c r="AO115" s="27"/>
      <c r="AP115" s="27"/>
      <c r="AQ115" s="27"/>
      <c r="AR115" s="27"/>
      <c r="AS115" s="27"/>
      <c r="AT115" s="27"/>
      <c r="AU115" s="27"/>
      <c r="AV115" s="27"/>
      <c r="AW115" s="27"/>
      <c r="AX115" s="27"/>
      <c r="AY115" s="27"/>
      <c r="AZ115" s="27"/>
      <c r="BA115" s="27"/>
      <c r="BB115" s="27"/>
      <c r="BC115" s="27"/>
      <c r="BD115" s="27"/>
      <c r="BE115" s="27"/>
    </row>
    <row r="116" spans="1:57" x14ac:dyDescent="0.25">
      <c r="A116" s="106" t="s">
        <v>131</v>
      </c>
      <c r="B116" s="225">
        <v>0.11490059169657929</v>
      </c>
      <c r="C116" s="225">
        <v>0.13005977033381466</v>
      </c>
      <c r="D116" s="225">
        <v>0.12498276534352334</v>
      </c>
      <c r="E116" s="225">
        <v>0.12010612760581175</v>
      </c>
      <c r="F116" s="225">
        <v>0.122556440293319</v>
      </c>
      <c r="G116" s="225">
        <f t="shared" ref="G116:AB116" si="145">IF(G115/G66&lt;0, "NM",G115/G66)</f>
        <v>0.11024134355688908</v>
      </c>
      <c r="H116" s="101">
        <f t="shared" si="145"/>
        <v>0.11125019037465733</v>
      </c>
      <c r="I116" s="101">
        <f t="shared" si="145"/>
        <v>0.10839635866461293</v>
      </c>
      <c r="J116" s="101">
        <f t="shared" si="145"/>
        <v>0.10961553662575615</v>
      </c>
      <c r="K116" s="101">
        <f t="shared" si="145"/>
        <v>0.10983204848309161</v>
      </c>
      <c r="L116" s="101">
        <f t="shared" si="145"/>
        <v>0.10386973907744194</v>
      </c>
      <c r="M116" s="101">
        <f t="shared" si="145"/>
        <v>0.10559773971393255</v>
      </c>
      <c r="N116" s="101">
        <f t="shared" si="145"/>
        <v>0.11637999618126273</v>
      </c>
      <c r="O116" s="101">
        <f t="shared" si="145"/>
        <v>0.10710632143635741</v>
      </c>
      <c r="P116" s="101">
        <f t="shared" si="145"/>
        <v>0.10830527383980972</v>
      </c>
      <c r="Q116" s="101">
        <f t="shared" si="145"/>
        <v>0.11460608967844221</v>
      </c>
      <c r="R116" s="101">
        <f t="shared" si="145"/>
        <v>8.286872045774947E-2</v>
      </c>
      <c r="S116" s="101">
        <f t="shared" si="145"/>
        <v>0.14951038036550821</v>
      </c>
      <c r="T116" s="101">
        <f t="shared" si="145"/>
        <v>0.15780403672019658</v>
      </c>
      <c r="U116" s="101">
        <f t="shared" si="145"/>
        <v>0.12723672156872565</v>
      </c>
      <c r="V116" s="101">
        <f t="shared" si="145"/>
        <v>0.15499885768222943</v>
      </c>
      <c r="W116" s="101">
        <f t="shared" si="145"/>
        <v>0.14241815842131286</v>
      </c>
      <c r="X116" s="101">
        <f t="shared" si="145"/>
        <v>0.15398605011624902</v>
      </c>
      <c r="Y116" s="101">
        <f t="shared" si="145"/>
        <v>0.1393283675534453</v>
      </c>
      <c r="Z116" s="101">
        <f t="shared" si="145"/>
        <v>0.14752742822061618</v>
      </c>
      <c r="AA116" s="101">
        <f t="shared" si="145"/>
        <v>0.14630130495006197</v>
      </c>
      <c r="AB116" s="101">
        <f t="shared" si="145"/>
        <v>0.14600815497920885</v>
      </c>
      <c r="AC116" s="101">
        <f>IF(AC115/AC66&lt;0, "NM",AC115/AC66)</f>
        <v>0.14418114243491784</v>
      </c>
      <c r="AF116" s="396"/>
      <c r="AO116" s="27"/>
      <c r="AP116" s="27"/>
      <c r="AQ116" s="27"/>
      <c r="AR116" s="27"/>
      <c r="AS116" s="27"/>
      <c r="AT116" s="27"/>
      <c r="AU116" s="27"/>
      <c r="AV116" s="27"/>
      <c r="AW116" s="27"/>
      <c r="AX116" s="27"/>
      <c r="AY116" s="27"/>
      <c r="AZ116" s="27"/>
      <c r="BA116" s="27"/>
      <c r="BB116" s="27"/>
      <c r="BC116" s="27"/>
      <c r="BD116" s="27"/>
      <c r="BE116" s="27"/>
    </row>
    <row r="117" spans="1:57" x14ac:dyDescent="0.25">
      <c r="A117" s="106"/>
      <c r="B117" s="225"/>
      <c r="C117" s="206"/>
      <c r="D117" s="206"/>
      <c r="E117" s="206"/>
      <c r="F117" s="206"/>
      <c r="G117" s="206"/>
      <c r="AF117" s="383"/>
      <c r="AO117" s="27"/>
      <c r="AP117" s="27"/>
      <c r="AQ117" s="27"/>
      <c r="AR117" s="27"/>
      <c r="AS117" s="27"/>
      <c r="AT117" s="27"/>
      <c r="AU117" s="27"/>
      <c r="AV117" s="27"/>
      <c r="AW117" s="27"/>
      <c r="AX117" s="27"/>
      <c r="AY117" s="27"/>
      <c r="AZ117" s="27"/>
      <c r="BA117" s="27"/>
      <c r="BB117" s="27"/>
      <c r="BC117" s="27"/>
      <c r="BD117" s="27"/>
      <c r="BE117" s="27"/>
    </row>
    <row r="118" spans="1:57" ht="12.75" x14ac:dyDescent="0.2">
      <c r="A118" s="107" t="s">
        <v>132</v>
      </c>
      <c r="B118" s="227">
        <f>ROUND(B115/B61,2)</f>
        <v>0.6</v>
      </c>
      <c r="C118" s="227">
        <f>ROUND(C115/C61,2)</f>
        <v>0.7</v>
      </c>
      <c r="D118" s="227">
        <f>ROUND(D115/D61,2)</f>
        <v>0.69</v>
      </c>
      <c r="E118" s="227">
        <f>ROUND(E115/35293,2)</f>
        <v>0.67</v>
      </c>
      <c r="F118" s="227">
        <f t="shared" ref="F118:AB118" si="146">ROUND(F115/F61,2)</f>
        <v>2.66</v>
      </c>
      <c r="G118" s="227">
        <f t="shared" si="146"/>
        <v>0.65</v>
      </c>
      <c r="H118" s="275">
        <f t="shared" si="146"/>
        <v>0.67</v>
      </c>
      <c r="I118" s="275">
        <f t="shared" si="146"/>
        <v>0.71</v>
      </c>
      <c r="J118" s="275">
        <f t="shared" si="146"/>
        <v>0.74</v>
      </c>
      <c r="K118" s="105">
        <f t="shared" si="146"/>
        <v>2.77</v>
      </c>
      <c r="L118" s="105">
        <f t="shared" si="146"/>
        <v>0.71</v>
      </c>
      <c r="M118" s="105">
        <f t="shared" si="146"/>
        <v>0.74</v>
      </c>
      <c r="N118" s="105">
        <f t="shared" si="146"/>
        <v>0.84</v>
      </c>
      <c r="O118" s="105">
        <f t="shared" si="146"/>
        <v>0.79</v>
      </c>
      <c r="P118" s="105">
        <f t="shared" si="146"/>
        <v>3.09</v>
      </c>
      <c r="Q118" s="105">
        <f t="shared" si="146"/>
        <v>0.81</v>
      </c>
      <c r="R118" s="105">
        <f t="shared" si="146"/>
        <v>0.53</v>
      </c>
      <c r="S118" s="105">
        <f t="shared" si="146"/>
        <v>1.04</v>
      </c>
      <c r="T118" s="105">
        <f t="shared" si="146"/>
        <v>1.1399999999999999</v>
      </c>
      <c r="U118" s="105">
        <f t="shared" si="146"/>
        <v>3.53</v>
      </c>
      <c r="V118" s="105">
        <f t="shared" si="146"/>
        <v>1.18</v>
      </c>
      <c r="W118" s="105">
        <f t="shared" si="146"/>
        <v>1.1399999999999999</v>
      </c>
      <c r="X118" s="105">
        <f t="shared" si="146"/>
        <v>1.3</v>
      </c>
      <c r="Y118" s="105">
        <f t="shared" si="146"/>
        <v>1.21</v>
      </c>
      <c r="Z118" s="105">
        <f t="shared" si="146"/>
        <v>4.83</v>
      </c>
      <c r="AA118" s="105">
        <f t="shared" si="146"/>
        <v>1.42</v>
      </c>
      <c r="AB118" s="105">
        <f t="shared" si="146"/>
        <v>1.5</v>
      </c>
      <c r="AC118" s="105">
        <f t="shared" ref="AC118" si="147">ROUND(AC115/AC61,2)</f>
        <v>1.54</v>
      </c>
      <c r="AD118" s="371"/>
      <c r="AF118" s="383"/>
      <c r="AO118" s="27"/>
      <c r="AP118" s="27"/>
      <c r="AQ118" s="27"/>
      <c r="AR118" s="27"/>
      <c r="AS118" s="27"/>
      <c r="AT118" s="27"/>
      <c r="AU118" s="27"/>
      <c r="AV118" s="27"/>
      <c r="AW118" s="27"/>
      <c r="AX118" s="27"/>
      <c r="AY118" s="27"/>
      <c r="AZ118" s="27"/>
      <c r="BA118" s="27"/>
      <c r="BB118" s="27"/>
      <c r="BC118" s="27"/>
      <c r="BD118" s="27"/>
      <c r="BE118" s="27"/>
    </row>
    <row r="119" spans="1:57" x14ac:dyDescent="0.25">
      <c r="A119" s="113" t="s">
        <v>127</v>
      </c>
      <c r="B119" s="228">
        <v>-1.6393442622950838E-2</v>
      </c>
      <c r="C119" s="228">
        <v>0.16666666666666674</v>
      </c>
      <c r="D119" s="228">
        <v>-1.4285714285714346E-2</v>
      </c>
      <c r="E119" s="228">
        <v>-2.8985507246376718E-2</v>
      </c>
      <c r="F119" s="252" t="s">
        <v>80</v>
      </c>
      <c r="G119" s="228">
        <f>G118/E118-1</f>
        <v>-2.9850746268656692E-2</v>
      </c>
      <c r="H119" s="86">
        <f>H118/G118-1</f>
        <v>3.0769230769230882E-2</v>
      </c>
      <c r="I119" s="86">
        <f>I118/H118-1</f>
        <v>5.9701492537313383E-2</v>
      </c>
      <c r="J119" s="86">
        <f>J118/I118-1</f>
        <v>4.2253521126760507E-2</v>
      </c>
      <c r="K119" s="86" t="s">
        <v>80</v>
      </c>
      <c r="L119" s="146">
        <f>L118/J118-1</f>
        <v>-4.0540540540540571E-2</v>
      </c>
      <c r="M119" s="146">
        <f>M118/L118-1</f>
        <v>4.2253521126760507E-2</v>
      </c>
      <c r="N119" s="146">
        <f>N118/M118-1</f>
        <v>0.13513513513513509</v>
      </c>
      <c r="O119" s="146">
        <f>O118/N118-1</f>
        <v>-5.9523809523809423E-2</v>
      </c>
      <c r="P119" s="86" t="s">
        <v>80</v>
      </c>
      <c r="Q119" s="146">
        <f>Q118/O118-1</f>
        <v>2.5316455696202445E-2</v>
      </c>
      <c r="R119" s="146">
        <f>R118/Q118-1</f>
        <v>-0.34567901234567899</v>
      </c>
      <c r="S119" s="146">
        <f>S118/R118-1</f>
        <v>0.96226415094339623</v>
      </c>
      <c r="T119" s="146">
        <f>T118/S118-1</f>
        <v>9.6153846153846034E-2</v>
      </c>
      <c r="U119" s="353" t="s">
        <v>80</v>
      </c>
      <c r="V119" s="146">
        <f>V118/T118-1</f>
        <v>3.5087719298245723E-2</v>
      </c>
      <c r="W119" s="146">
        <f>W118/V118-1</f>
        <v>-3.3898305084745783E-2</v>
      </c>
      <c r="X119" s="146">
        <f>X118/W118-1</f>
        <v>0.14035087719298267</v>
      </c>
      <c r="Y119" s="146">
        <f>Y118/X118-1</f>
        <v>-6.9230769230769318E-2</v>
      </c>
      <c r="Z119" s="353" t="s">
        <v>80</v>
      </c>
      <c r="AA119" s="146">
        <f>AA118/Y118-1</f>
        <v>0.17355371900826433</v>
      </c>
      <c r="AB119" s="146">
        <f>AB118/AA118-1</f>
        <v>5.6338028169014231E-2</v>
      </c>
      <c r="AC119" s="146">
        <f>AC118/AB118-1</f>
        <v>2.6666666666666616E-2</v>
      </c>
      <c r="AF119" s="396"/>
    </row>
    <row r="120" spans="1:57" x14ac:dyDescent="0.25">
      <c r="A120" s="112" t="s">
        <v>128</v>
      </c>
      <c r="B120" s="208">
        <v>7.1428571428571397E-2</v>
      </c>
      <c r="C120" s="208">
        <v>0.27272727272727249</v>
      </c>
      <c r="D120" s="208">
        <v>0.13114754098360648</v>
      </c>
      <c r="E120" s="208">
        <v>9.8360655737705027E-2</v>
      </c>
      <c r="F120" s="208">
        <v>0.14163090128755362</v>
      </c>
      <c r="G120" s="208">
        <f t="shared" ref="G120:N120" si="148">G118/B118-1</f>
        <v>8.3333333333333481E-2</v>
      </c>
      <c r="H120" s="35">
        <f t="shared" si="148"/>
        <v>-4.2857142857142705E-2</v>
      </c>
      <c r="I120" s="35">
        <f t="shared" si="148"/>
        <v>2.898550724637694E-2</v>
      </c>
      <c r="J120" s="35">
        <f t="shared" si="148"/>
        <v>0.10447761194029836</v>
      </c>
      <c r="K120" s="34">
        <f t="shared" si="148"/>
        <v>4.1353383458646586E-2</v>
      </c>
      <c r="L120" s="34">
        <f t="shared" si="148"/>
        <v>9.2307692307692202E-2</v>
      </c>
      <c r="M120" s="34">
        <f t="shared" si="148"/>
        <v>0.10447761194029836</v>
      </c>
      <c r="N120" s="34">
        <f t="shared" si="148"/>
        <v>0.18309859154929575</v>
      </c>
      <c r="O120" s="34">
        <f t="shared" ref="O120:X120" si="149">O118/J118-1</f>
        <v>6.7567567567567544E-2</v>
      </c>
      <c r="P120" s="34">
        <f t="shared" si="149"/>
        <v>0.11552346570397098</v>
      </c>
      <c r="Q120" s="34">
        <f t="shared" si="149"/>
        <v>0.14084507042253525</v>
      </c>
      <c r="R120" s="34">
        <f t="shared" si="149"/>
        <v>-0.28378378378378377</v>
      </c>
      <c r="S120" s="34">
        <f t="shared" si="149"/>
        <v>0.23809523809523814</v>
      </c>
      <c r="T120" s="34">
        <f t="shared" si="149"/>
        <v>0.44303797468354422</v>
      </c>
      <c r="U120" s="34">
        <f t="shared" si="149"/>
        <v>0.14239482200647258</v>
      </c>
      <c r="V120" s="34">
        <f t="shared" si="149"/>
        <v>0.45679012345678993</v>
      </c>
      <c r="W120" s="34">
        <f t="shared" si="149"/>
        <v>1.1509433962264146</v>
      </c>
      <c r="X120" s="34">
        <f t="shared" si="149"/>
        <v>0.25</v>
      </c>
      <c r="Y120" s="34">
        <f t="shared" ref="Y120" si="150">Y118/T118-1</f>
        <v>6.1403508771929793E-2</v>
      </c>
      <c r="Z120" s="34">
        <f t="shared" ref="Z120:AA120" si="151">Z118/U118-1</f>
        <v>0.36827195467422102</v>
      </c>
      <c r="AA120" s="34">
        <f t="shared" si="151"/>
        <v>0.20338983050847448</v>
      </c>
      <c r="AB120" s="34">
        <f>AB118/W118-1</f>
        <v>0.31578947368421062</v>
      </c>
      <c r="AC120" s="34">
        <f>AC118/X118-1</f>
        <v>0.18461538461538463</v>
      </c>
      <c r="AF120" s="396"/>
    </row>
    <row r="121" spans="1:57" x14ac:dyDescent="0.25">
      <c r="A121" s="112"/>
      <c r="B121" s="143"/>
      <c r="C121" s="204"/>
      <c r="D121" s="204"/>
      <c r="E121" s="204"/>
      <c r="F121" s="204"/>
      <c r="G121" s="204"/>
    </row>
    <row r="122" spans="1:57" ht="11.25" customHeight="1" x14ac:dyDescent="0.25">
      <c r="A122" s="134" t="s">
        <v>230</v>
      </c>
      <c r="B122" s="253"/>
      <c r="C122" s="31"/>
      <c r="D122" s="31"/>
      <c r="E122" s="31"/>
      <c r="F122" s="31"/>
      <c r="G122" s="31"/>
      <c r="O122" s="320"/>
    </row>
    <row r="123" spans="1:57" hidden="1" x14ac:dyDescent="0.25">
      <c r="A123" s="134"/>
      <c r="B123" s="253"/>
      <c r="C123" s="31"/>
      <c r="D123" s="31"/>
      <c r="E123" s="260"/>
      <c r="F123" s="260"/>
      <c r="G123" s="260"/>
      <c r="O123" s="99"/>
      <c r="P123" s="99"/>
      <c r="Q123" s="99"/>
      <c r="R123" s="99"/>
      <c r="S123" s="99"/>
      <c r="T123" s="99"/>
      <c r="U123" s="99"/>
      <c r="V123" s="99"/>
      <c r="W123" s="99"/>
      <c r="X123" s="99"/>
      <c r="Y123" s="99"/>
      <c r="Z123" s="99"/>
      <c r="AA123" s="99"/>
      <c r="AB123" s="99"/>
      <c r="AC123" s="99"/>
    </row>
    <row r="124" spans="1:57" hidden="1" x14ac:dyDescent="0.25">
      <c r="A124" s="134" t="s">
        <v>239</v>
      </c>
      <c r="B124" s="253"/>
      <c r="C124" s="31"/>
      <c r="D124" s="31"/>
      <c r="E124" s="31"/>
      <c r="F124" s="31"/>
      <c r="G124" s="31"/>
    </row>
    <row r="125" spans="1:57" hidden="1" x14ac:dyDescent="0.25">
      <c r="A125" s="134" t="s">
        <v>225</v>
      </c>
      <c r="B125" s="31"/>
      <c r="C125" s="31"/>
      <c r="D125" s="31"/>
      <c r="E125" s="31"/>
      <c r="F125" s="31"/>
      <c r="G125" s="31"/>
    </row>
    <row r="126" spans="1:57" ht="8.25" customHeight="1" x14ac:dyDescent="0.25"/>
    <row r="127" spans="1:57" x14ac:dyDescent="0.25">
      <c r="A127" s="393" t="s">
        <v>268</v>
      </c>
    </row>
    <row r="128" spans="1:57" x14ac:dyDescent="0.25">
      <c r="A128" s="382" t="s">
        <v>261</v>
      </c>
    </row>
  </sheetData>
  <customSheetViews>
    <customSheetView guid="{168DC811-186D-42DC-8A72-3741D1063270}" scale="80" showGridLines="0">
      <pane xSplit="1" ySplit="5" topLeftCell="G6" activePane="bottomRight" state="frozen"/>
      <selection pane="bottomRight" activeCell="Q8" sqref="Q8"/>
      <colBreaks count="1" manualBreakCount="1">
        <brk id="8" max="1048575" man="1"/>
      </colBreaks>
      <pageMargins left="0.7" right="0.7" top="0.75" bottom="0.75" header="0.3" footer="0.3"/>
      <pageSetup scale="62" orientation="landscape" horizontalDpi="300" verticalDpi="300" r:id="rId1"/>
    </customSheetView>
  </customSheetViews>
  <mergeCells count="1">
    <mergeCell ref="AF3:AF6"/>
  </mergeCells>
  <phoneticPr fontId="0" type="noConversion"/>
  <pageMargins left="0.25" right="0" top="0.25" bottom="0" header="0.3" footer="0.3"/>
  <pageSetup paperSize="9" scale="47" fitToWidth="0" orientation="portrait" r:id="rId2"/>
  <ignoredErrors>
    <ignoredError sqref="J8 J12 J17 J20 J23 J35:J36 J41:J42 J69:J70 J97 K71 J74 J26 J111 J99 J101 J104 J109 J112 J110 J107 J105:K106" formulaRange="1"/>
    <ignoredError sqref="J100:K100 O74 O98" 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F71"/>
  <sheetViews>
    <sheetView showGridLines="0" view="pageBreakPreview" zoomScale="90" zoomScaleNormal="90" zoomScaleSheetLayoutView="90" workbookViewId="0">
      <pane xSplit="2" ySplit="4" topLeftCell="M54" activePane="bottomRight" state="frozen"/>
      <selection activeCell="I106" sqref="I106"/>
      <selection pane="topRight" activeCell="I106" sqref="I106"/>
      <selection pane="bottomLeft" activeCell="I106" sqref="I106"/>
      <selection pane="bottomRight" activeCell="S18" sqref="S18"/>
    </sheetView>
  </sheetViews>
  <sheetFormatPr defaultColWidth="9.140625" defaultRowHeight="12.75" outlineLevelCol="1" x14ac:dyDescent="0.2"/>
  <cols>
    <col min="1" max="1" width="56.140625" style="23" customWidth="1"/>
    <col min="2" max="2" width="1" style="2" customWidth="1"/>
    <col min="3" max="3" width="10" style="2" hidden="1" customWidth="1" outlineLevel="1"/>
    <col min="4" max="4" width="11.28515625" style="2" hidden="1" customWidth="1" outlineLevel="1"/>
    <col min="5" max="5" width="10" style="2" hidden="1" customWidth="1" outlineLevel="1"/>
    <col min="6" max="6" width="11.5703125" style="2" hidden="1" customWidth="1" collapsed="1"/>
    <col min="7" max="7" width="11.5703125" style="2" hidden="1" customWidth="1" outlineLevel="1"/>
    <col min="8" max="8" width="12.28515625" style="2" hidden="1" customWidth="1" outlineLevel="1"/>
    <col min="9" max="9" width="12" style="2" hidden="1" customWidth="1" outlineLevel="1"/>
    <col min="10" max="10" width="12" style="2" hidden="1" customWidth="1" collapsed="1"/>
    <col min="11" max="11" width="12" style="2" hidden="1" customWidth="1" outlineLevel="1" collapsed="1"/>
    <col min="12" max="13" width="12" style="2" hidden="1" customWidth="1" outlineLevel="1"/>
    <col min="14" max="14" width="12" style="2" bestFit="1" customWidth="1" collapsed="1"/>
    <col min="15" max="17" width="11.5703125" style="2" customWidth="1" outlineLevel="1"/>
    <col min="18" max="18" width="11.5703125" style="2" bestFit="1" customWidth="1"/>
    <col min="19" max="20" width="11.5703125" style="2" customWidth="1"/>
    <col min="21" max="21" width="11.5703125" style="2" bestFit="1" customWidth="1"/>
    <col min="22" max="23" width="14.42578125" style="2" customWidth="1"/>
    <col min="24" max="25" width="11.5703125" style="2" bestFit="1" customWidth="1"/>
    <col min="26" max="27" width="9.140625" style="2" customWidth="1"/>
    <col min="28" max="16384" width="9.140625" style="2"/>
  </cols>
  <sheetData>
    <row r="1" spans="1:26" x14ac:dyDescent="0.2">
      <c r="A1" s="11"/>
      <c r="C1" s="98"/>
      <c r="D1" s="98"/>
      <c r="E1" s="98"/>
      <c r="F1" s="98"/>
      <c r="G1" s="98"/>
      <c r="H1" s="98"/>
      <c r="I1" s="98"/>
      <c r="J1" s="98"/>
      <c r="K1" s="98"/>
      <c r="L1" s="98"/>
      <c r="M1" s="98"/>
      <c r="N1" s="98"/>
      <c r="O1" s="98"/>
      <c r="Z1" s="386"/>
    </row>
    <row r="2" spans="1:26" ht="45" customHeight="1" x14ac:dyDescent="0.2"/>
    <row r="3" spans="1:26" x14ac:dyDescent="0.2">
      <c r="A3" s="18" t="s">
        <v>14</v>
      </c>
      <c r="C3" s="3">
        <v>2017</v>
      </c>
      <c r="D3" s="3">
        <v>2017</v>
      </c>
      <c r="E3" s="3">
        <v>2017</v>
      </c>
      <c r="F3" s="3">
        <v>2017</v>
      </c>
      <c r="G3" s="3">
        <v>2018</v>
      </c>
      <c r="H3" s="3">
        <v>2018</v>
      </c>
      <c r="I3" s="3">
        <v>2018</v>
      </c>
      <c r="J3" s="3">
        <v>2018</v>
      </c>
      <c r="K3" s="3">
        <v>2019</v>
      </c>
      <c r="L3" s="3">
        <v>2019</v>
      </c>
      <c r="M3" s="3">
        <v>2019</v>
      </c>
      <c r="N3" s="3">
        <v>2019</v>
      </c>
      <c r="O3" s="3">
        <v>2020</v>
      </c>
      <c r="P3" s="3">
        <v>2020</v>
      </c>
      <c r="Q3" s="3">
        <v>2020</v>
      </c>
      <c r="R3" s="3">
        <v>2020</v>
      </c>
      <c r="S3" s="3">
        <v>2021</v>
      </c>
      <c r="T3" s="3">
        <v>2021</v>
      </c>
      <c r="U3" s="3">
        <v>2021</v>
      </c>
      <c r="V3" s="3">
        <v>2021</v>
      </c>
      <c r="W3" s="3">
        <v>2022</v>
      </c>
      <c r="X3" s="3">
        <v>2022</v>
      </c>
      <c r="Y3" s="3">
        <v>2022</v>
      </c>
    </row>
    <row r="4" spans="1:26" s="8" customFormat="1" x14ac:dyDescent="0.2">
      <c r="A4" s="25" t="s">
        <v>64</v>
      </c>
      <c r="C4" s="76" t="s">
        <v>8</v>
      </c>
      <c r="D4" s="76" t="s">
        <v>9</v>
      </c>
      <c r="E4" s="76" t="s">
        <v>10</v>
      </c>
      <c r="F4" s="76" t="s">
        <v>11</v>
      </c>
      <c r="G4" s="76" t="s">
        <v>8</v>
      </c>
      <c r="H4" s="76" t="s">
        <v>9</v>
      </c>
      <c r="I4" s="76" t="s">
        <v>10</v>
      </c>
      <c r="J4" s="76" t="s">
        <v>11</v>
      </c>
      <c r="K4" s="76" t="s">
        <v>8</v>
      </c>
      <c r="L4" s="76" t="s">
        <v>9</v>
      </c>
      <c r="M4" s="76" t="s">
        <v>10</v>
      </c>
      <c r="N4" s="76" t="s">
        <v>11</v>
      </c>
      <c r="O4" s="76" t="s">
        <v>8</v>
      </c>
      <c r="P4" s="76" t="s">
        <v>9</v>
      </c>
      <c r="Q4" s="76" t="s">
        <v>10</v>
      </c>
      <c r="R4" s="76" t="s">
        <v>11</v>
      </c>
      <c r="S4" s="76" t="s">
        <v>8</v>
      </c>
      <c r="T4" s="76" t="s">
        <v>9</v>
      </c>
      <c r="U4" s="76" t="s">
        <v>10</v>
      </c>
      <c r="V4" s="76" t="s">
        <v>11</v>
      </c>
      <c r="W4" s="76" t="s">
        <v>8</v>
      </c>
      <c r="X4" s="76" t="s">
        <v>9</v>
      </c>
      <c r="Y4" s="76" t="s">
        <v>10</v>
      </c>
      <c r="Z4" s="388"/>
    </row>
    <row r="5" spans="1:26" s="3" customFormat="1" x14ac:dyDescent="0.2">
      <c r="A5" s="18"/>
    </row>
    <row r="6" spans="1:26" s="38" customFormat="1" x14ac:dyDescent="0.2">
      <c r="A6" s="49" t="s">
        <v>16</v>
      </c>
    </row>
    <row r="7" spans="1:26" x14ac:dyDescent="0.2">
      <c r="A7" s="66" t="s">
        <v>17</v>
      </c>
      <c r="B7" s="114"/>
    </row>
    <row r="8" spans="1:26" x14ac:dyDescent="0.2">
      <c r="A8" s="67" t="s">
        <v>102</v>
      </c>
      <c r="B8" s="123"/>
      <c r="C8" s="124">
        <v>91700</v>
      </c>
      <c r="D8" s="124">
        <v>89414</v>
      </c>
      <c r="E8" s="124">
        <v>87665</v>
      </c>
      <c r="F8" s="124">
        <v>86795</v>
      </c>
      <c r="G8" s="124">
        <v>69955</v>
      </c>
      <c r="H8" s="124">
        <v>84091</v>
      </c>
      <c r="I8" s="124">
        <v>97636</v>
      </c>
      <c r="J8" s="124">
        <v>95881</v>
      </c>
      <c r="K8" s="124">
        <v>86688</v>
      </c>
      <c r="L8" s="124">
        <v>84842</v>
      </c>
      <c r="M8" s="124">
        <v>101432</v>
      </c>
      <c r="N8" s="124">
        <v>119165</v>
      </c>
      <c r="O8" s="98">
        <v>224874</v>
      </c>
      <c r="P8" s="98">
        <v>163619</v>
      </c>
      <c r="Q8" s="98">
        <v>206423</v>
      </c>
      <c r="R8" s="98">
        <v>218530</v>
      </c>
      <c r="S8" s="98">
        <v>177121</v>
      </c>
      <c r="T8" s="98">
        <v>150211</v>
      </c>
      <c r="U8" s="98">
        <v>114581</v>
      </c>
      <c r="V8" s="98">
        <v>135337</v>
      </c>
      <c r="W8" s="98">
        <v>106540</v>
      </c>
      <c r="X8" s="98">
        <v>106304</v>
      </c>
      <c r="Y8" s="98">
        <v>89262</v>
      </c>
      <c r="Z8" s="98"/>
    </row>
    <row r="9" spans="1:26" x14ac:dyDescent="0.2">
      <c r="A9" s="67" t="s">
        <v>101</v>
      </c>
      <c r="B9" s="123"/>
      <c r="C9" s="122">
        <v>126472</v>
      </c>
      <c r="D9" s="144">
        <v>147915</v>
      </c>
      <c r="E9" s="144">
        <v>161702</v>
      </c>
      <c r="F9" s="144">
        <v>178479</v>
      </c>
      <c r="G9" s="144">
        <v>169461</v>
      </c>
      <c r="H9" s="144">
        <v>149045</v>
      </c>
      <c r="I9" s="144">
        <v>144878</v>
      </c>
      <c r="J9" s="144">
        <v>184489</v>
      </c>
      <c r="K9" s="144">
        <v>216056</v>
      </c>
      <c r="L9" s="144">
        <v>168204</v>
      </c>
      <c r="M9" s="144">
        <v>179340</v>
      </c>
      <c r="N9" s="144">
        <v>202238</v>
      </c>
      <c r="O9" s="319">
        <v>142539</v>
      </c>
      <c r="P9" s="319">
        <v>171962</v>
      </c>
      <c r="Q9" s="319">
        <v>156175</v>
      </c>
      <c r="R9" s="319">
        <v>184286</v>
      </c>
      <c r="S9" s="319">
        <v>198721</v>
      </c>
      <c r="T9" s="319">
        <v>144533</v>
      </c>
      <c r="U9" s="319">
        <v>169739</v>
      </c>
      <c r="V9" s="365">
        <v>178538</v>
      </c>
      <c r="W9" s="319">
        <v>162694</v>
      </c>
      <c r="X9" s="319">
        <v>158941</v>
      </c>
      <c r="Y9" s="365">
        <v>172889</v>
      </c>
      <c r="Z9" s="319"/>
    </row>
    <row r="10" spans="1:26" x14ac:dyDescent="0.2">
      <c r="A10" s="67" t="s">
        <v>18</v>
      </c>
      <c r="B10" s="123"/>
      <c r="C10" s="122">
        <v>2691</v>
      </c>
      <c r="D10" s="144">
        <v>1898</v>
      </c>
      <c r="E10" s="144">
        <v>1913</v>
      </c>
      <c r="F10" s="144">
        <v>3674</v>
      </c>
      <c r="G10" s="144">
        <v>2727</v>
      </c>
      <c r="H10" s="144">
        <v>2256</v>
      </c>
      <c r="I10" s="144">
        <v>4679</v>
      </c>
      <c r="J10" s="144">
        <v>5608</v>
      </c>
      <c r="K10" s="144">
        <v>5364</v>
      </c>
      <c r="L10" s="144">
        <v>4098</v>
      </c>
      <c r="M10" s="144">
        <v>5412</v>
      </c>
      <c r="N10" s="144">
        <v>5453</v>
      </c>
      <c r="O10" s="319">
        <v>6369</v>
      </c>
      <c r="P10" s="319">
        <v>4858</v>
      </c>
      <c r="Q10" s="319">
        <v>7312</v>
      </c>
      <c r="R10" s="319">
        <v>4690</v>
      </c>
      <c r="S10" s="319">
        <v>5295</v>
      </c>
      <c r="T10" s="319">
        <v>5065</v>
      </c>
      <c r="U10" s="319">
        <v>6810</v>
      </c>
      <c r="V10" s="319">
        <v>6174</v>
      </c>
      <c r="W10" s="319">
        <v>6274</v>
      </c>
      <c r="X10" s="319">
        <v>6840</v>
      </c>
      <c r="Y10" s="319">
        <v>7013</v>
      </c>
      <c r="Z10" s="319"/>
    </row>
    <row r="11" spans="1:26" x14ac:dyDescent="0.2">
      <c r="A11" s="67" t="s">
        <v>170</v>
      </c>
      <c r="B11" s="123"/>
      <c r="C11" s="122">
        <v>119811</v>
      </c>
      <c r="D11" s="144">
        <v>123798</v>
      </c>
      <c r="E11" s="144">
        <v>133862</v>
      </c>
      <c r="F11" s="144">
        <v>135705</v>
      </c>
      <c r="G11" s="144">
        <v>137150</v>
      </c>
      <c r="H11" s="144">
        <v>147099</v>
      </c>
      <c r="I11" s="144">
        <v>164307</v>
      </c>
      <c r="J11" s="144">
        <v>164752</v>
      </c>
      <c r="K11" s="144">
        <v>176889</v>
      </c>
      <c r="L11" s="144">
        <v>180680</v>
      </c>
      <c r="M11" s="144">
        <v>179702</v>
      </c>
      <c r="N11" s="144">
        <v>171864</v>
      </c>
      <c r="O11" s="319">
        <v>187137</v>
      </c>
      <c r="P11" s="319">
        <v>157505</v>
      </c>
      <c r="Q11" s="319">
        <v>154983</v>
      </c>
      <c r="R11" s="319">
        <v>147635</v>
      </c>
      <c r="S11" s="319">
        <v>159296</v>
      </c>
      <c r="T11" s="319">
        <v>182111</v>
      </c>
      <c r="U11" s="319">
        <v>192170</v>
      </c>
      <c r="V11" s="365">
        <v>194232</v>
      </c>
      <c r="W11" s="365">
        <v>239279</v>
      </c>
      <c r="X11" s="365">
        <v>237453</v>
      </c>
      <c r="Y11" s="365">
        <v>256911</v>
      </c>
      <c r="Z11" s="319"/>
    </row>
    <row r="12" spans="1:26" hidden="1" x14ac:dyDescent="0.2">
      <c r="A12" s="67" t="s">
        <v>173</v>
      </c>
      <c r="B12" s="123"/>
      <c r="C12" s="196">
        <v>0</v>
      </c>
      <c r="D12" s="197">
        <v>0</v>
      </c>
      <c r="E12" s="197">
        <v>0</v>
      </c>
      <c r="F12" s="197">
        <v>0</v>
      </c>
      <c r="G12" s="144">
        <v>0</v>
      </c>
      <c r="H12" s="144">
        <v>0</v>
      </c>
      <c r="I12" s="144">
        <v>0</v>
      </c>
      <c r="J12" s="144">
        <v>0</v>
      </c>
      <c r="K12" s="144">
        <v>0</v>
      </c>
      <c r="L12" s="144">
        <v>0</v>
      </c>
      <c r="M12" s="144">
        <v>0</v>
      </c>
      <c r="N12" s="144">
        <v>0</v>
      </c>
      <c r="O12" s="319">
        <v>0</v>
      </c>
      <c r="P12" s="319">
        <v>0</v>
      </c>
      <c r="Q12" s="319">
        <v>0</v>
      </c>
      <c r="R12" s="319">
        <v>0</v>
      </c>
      <c r="S12" s="319">
        <v>0</v>
      </c>
      <c r="T12" s="365">
        <v>0</v>
      </c>
      <c r="U12" s="365">
        <v>0</v>
      </c>
      <c r="V12" s="365">
        <v>0</v>
      </c>
      <c r="W12" s="365">
        <v>0</v>
      </c>
      <c r="X12" s="365">
        <v>0</v>
      </c>
      <c r="Y12" s="365">
        <v>0</v>
      </c>
      <c r="Z12" s="319"/>
    </row>
    <row r="13" spans="1:26" x14ac:dyDescent="0.2">
      <c r="A13" s="67" t="s">
        <v>171</v>
      </c>
      <c r="B13" s="123"/>
      <c r="C13" s="122">
        <v>7687</v>
      </c>
      <c r="D13" s="144">
        <v>7337</v>
      </c>
      <c r="E13" s="144">
        <v>8821</v>
      </c>
      <c r="F13" s="144">
        <v>8801</v>
      </c>
      <c r="G13" s="144">
        <v>17802</v>
      </c>
      <c r="H13" s="144">
        <v>11278</v>
      </c>
      <c r="I13" s="144">
        <v>7700</v>
      </c>
      <c r="J13" s="144">
        <v>9639</v>
      </c>
      <c r="K13" s="144">
        <v>11334</v>
      </c>
      <c r="L13" s="144">
        <v>7906</v>
      </c>
      <c r="M13" s="144">
        <v>3002</v>
      </c>
      <c r="N13" s="144">
        <v>4698</v>
      </c>
      <c r="O13" s="319">
        <v>6024</v>
      </c>
      <c r="P13" s="319">
        <v>1003</v>
      </c>
      <c r="Q13" s="319">
        <v>1138</v>
      </c>
      <c r="R13" s="319">
        <v>5684</v>
      </c>
      <c r="S13" s="319">
        <v>7580</v>
      </c>
      <c r="T13" s="319">
        <v>13567</v>
      </c>
      <c r="U13" s="319">
        <v>19099</v>
      </c>
      <c r="V13" s="365">
        <v>15199</v>
      </c>
      <c r="W13" s="365">
        <v>9336</v>
      </c>
      <c r="X13" s="365">
        <v>12712</v>
      </c>
      <c r="Y13" s="365">
        <v>19040</v>
      </c>
      <c r="Z13" s="319"/>
    </row>
    <row r="14" spans="1:26" x14ac:dyDescent="0.2">
      <c r="A14" s="67" t="s">
        <v>37</v>
      </c>
      <c r="B14" s="123"/>
      <c r="C14" s="122">
        <v>35137</v>
      </c>
      <c r="D14" s="144">
        <v>28238</v>
      </c>
      <c r="E14" s="144">
        <v>29291</v>
      </c>
      <c r="F14" s="144">
        <v>39363</v>
      </c>
      <c r="G14" s="144">
        <v>38878</v>
      </c>
      <c r="H14" s="144">
        <v>32965</v>
      </c>
      <c r="I14" s="144">
        <v>34627</v>
      </c>
      <c r="J14" s="144">
        <v>39566</v>
      </c>
      <c r="K14" s="144">
        <v>39727</v>
      </c>
      <c r="L14" s="144">
        <v>43345</v>
      </c>
      <c r="M14" s="144">
        <v>37338</v>
      </c>
      <c r="N14" s="144">
        <v>37840</v>
      </c>
      <c r="O14" s="319">
        <v>37949</v>
      </c>
      <c r="P14" s="319">
        <v>37593</v>
      </c>
      <c r="Q14" s="319">
        <v>39032</v>
      </c>
      <c r="R14" s="319">
        <v>48453</v>
      </c>
      <c r="S14" s="319">
        <v>48537</v>
      </c>
      <c r="T14" s="365">
        <v>45675</v>
      </c>
      <c r="U14" s="365">
        <v>42776</v>
      </c>
      <c r="V14" s="365">
        <v>48664</v>
      </c>
      <c r="W14" s="365">
        <v>48495</v>
      </c>
      <c r="X14" s="365">
        <v>38764</v>
      </c>
      <c r="Y14" s="365">
        <v>35469</v>
      </c>
      <c r="Z14" s="319"/>
    </row>
    <row r="15" spans="1:26" x14ac:dyDescent="0.2">
      <c r="A15" s="50" t="s">
        <v>103</v>
      </c>
      <c r="B15" s="132"/>
      <c r="C15" s="131">
        <f t="shared" ref="C15:Q15" si="0">SUM(C8:C14)</f>
        <v>383498</v>
      </c>
      <c r="D15" s="131">
        <f t="shared" si="0"/>
        <v>398600</v>
      </c>
      <c r="E15" s="131">
        <f t="shared" si="0"/>
        <v>423254</v>
      </c>
      <c r="F15" s="131">
        <f t="shared" si="0"/>
        <v>452817</v>
      </c>
      <c r="G15" s="131">
        <f t="shared" si="0"/>
        <v>435973</v>
      </c>
      <c r="H15" s="131">
        <f t="shared" si="0"/>
        <v>426734</v>
      </c>
      <c r="I15" s="131">
        <f t="shared" si="0"/>
        <v>453827</v>
      </c>
      <c r="J15" s="131">
        <f t="shared" si="0"/>
        <v>499935</v>
      </c>
      <c r="K15" s="131">
        <f t="shared" si="0"/>
        <v>536058</v>
      </c>
      <c r="L15" s="131">
        <f t="shared" si="0"/>
        <v>489075</v>
      </c>
      <c r="M15" s="131">
        <f t="shared" si="0"/>
        <v>506226</v>
      </c>
      <c r="N15" s="131">
        <f t="shared" si="0"/>
        <v>541258</v>
      </c>
      <c r="O15" s="131">
        <f t="shared" si="0"/>
        <v>604892</v>
      </c>
      <c r="P15" s="131">
        <f t="shared" si="0"/>
        <v>536540</v>
      </c>
      <c r="Q15" s="131">
        <f t="shared" si="0"/>
        <v>565063</v>
      </c>
      <c r="R15" s="131">
        <f>ROUND(SUM(R8:R14),0)</f>
        <v>609278</v>
      </c>
      <c r="S15" s="131">
        <f t="shared" ref="S15" si="1">SUM(S8:S14)</f>
        <v>596550</v>
      </c>
      <c r="T15" s="131">
        <f t="shared" ref="T15:Y15" si="2">SUM(T8:T14)</f>
        <v>541162</v>
      </c>
      <c r="U15" s="131">
        <f t="shared" si="2"/>
        <v>545175</v>
      </c>
      <c r="V15" s="131">
        <f t="shared" si="2"/>
        <v>578144</v>
      </c>
      <c r="W15" s="131">
        <f t="shared" si="2"/>
        <v>572618</v>
      </c>
      <c r="X15" s="131">
        <f t="shared" si="2"/>
        <v>561014</v>
      </c>
      <c r="Y15" s="131">
        <f t="shared" si="2"/>
        <v>580584</v>
      </c>
      <c r="Z15" s="98"/>
    </row>
    <row r="16" spans="1:26" x14ac:dyDescent="0.2">
      <c r="A16" s="19" t="s">
        <v>20</v>
      </c>
      <c r="B16" s="114"/>
      <c r="D16" s="144"/>
      <c r="Z16" s="98"/>
    </row>
    <row r="17" spans="1:43" x14ac:dyDescent="0.2">
      <c r="A17" s="68" t="s">
        <v>172</v>
      </c>
      <c r="B17" s="123"/>
      <c r="C17" s="124">
        <v>59220</v>
      </c>
      <c r="D17" s="144">
        <v>63978</v>
      </c>
      <c r="E17" s="144">
        <v>63729</v>
      </c>
      <c r="F17" s="144">
        <v>66757</v>
      </c>
      <c r="G17" s="144">
        <v>67748</v>
      </c>
      <c r="H17" s="144">
        <v>66112</v>
      </c>
      <c r="I17" s="144">
        <v>67675</v>
      </c>
      <c r="J17" s="144">
        <v>73510</v>
      </c>
      <c r="K17" s="144">
        <v>73447</v>
      </c>
      <c r="L17" s="144">
        <v>78083</v>
      </c>
      <c r="M17" s="144">
        <v>78471</v>
      </c>
      <c r="N17" s="144">
        <v>79142</v>
      </c>
      <c r="O17" s="319">
        <v>90513</v>
      </c>
      <c r="P17" s="319">
        <v>91848</v>
      </c>
      <c r="Q17" s="319">
        <v>94103</v>
      </c>
      <c r="R17" s="319">
        <v>92875</v>
      </c>
      <c r="S17" s="319">
        <v>90153</v>
      </c>
      <c r="T17" s="319">
        <v>86511</v>
      </c>
      <c r="U17" s="319">
        <v>83905</v>
      </c>
      <c r="V17" s="319">
        <v>86008</v>
      </c>
      <c r="W17" s="319">
        <v>85610</v>
      </c>
      <c r="X17" s="319">
        <v>82649</v>
      </c>
      <c r="Y17" s="319">
        <v>79933</v>
      </c>
      <c r="Z17" s="319"/>
    </row>
    <row r="18" spans="1:43" x14ac:dyDescent="0.2">
      <c r="A18" s="68" t="s">
        <v>211</v>
      </c>
      <c r="B18" s="123"/>
      <c r="C18" s="124"/>
      <c r="D18" s="144"/>
      <c r="E18" s="144"/>
      <c r="F18" s="144">
        <v>0</v>
      </c>
      <c r="G18" s="144">
        <v>0</v>
      </c>
      <c r="H18" s="144">
        <v>0</v>
      </c>
      <c r="I18" s="144">
        <v>0</v>
      </c>
      <c r="J18" s="144">
        <v>0</v>
      </c>
      <c r="K18" s="144">
        <v>89835</v>
      </c>
      <c r="L18" s="144">
        <v>93162</v>
      </c>
      <c r="M18" s="144">
        <v>88753</v>
      </c>
      <c r="N18" s="144">
        <v>86396</v>
      </c>
      <c r="O18" s="319">
        <v>99940</v>
      </c>
      <c r="P18" s="319">
        <v>96789</v>
      </c>
      <c r="Q18" s="319">
        <v>95873</v>
      </c>
      <c r="R18" s="319">
        <v>91918</v>
      </c>
      <c r="S18" s="319">
        <v>88777</v>
      </c>
      <c r="T18" s="319">
        <v>83280</v>
      </c>
      <c r="U18" s="319">
        <v>81324</v>
      </c>
      <c r="V18" s="319">
        <v>76692</v>
      </c>
      <c r="W18" s="319">
        <v>75147</v>
      </c>
      <c r="X18" s="319">
        <v>67962</v>
      </c>
      <c r="Y18" s="319">
        <v>61966</v>
      </c>
      <c r="Z18" s="319"/>
    </row>
    <row r="19" spans="1:43" x14ac:dyDescent="0.2">
      <c r="A19" s="68" t="s">
        <v>18</v>
      </c>
      <c r="B19" s="123"/>
      <c r="C19" s="124">
        <v>3657</v>
      </c>
      <c r="D19" s="144">
        <v>3692</v>
      </c>
      <c r="E19" s="144">
        <v>3710</v>
      </c>
      <c r="F19" s="144">
        <v>3808</v>
      </c>
      <c r="G19" s="278">
        <v>3783</v>
      </c>
      <c r="H19" s="144">
        <v>3645</v>
      </c>
      <c r="I19" s="144">
        <v>3499</v>
      </c>
      <c r="J19" s="144">
        <v>2642</v>
      </c>
      <c r="K19" s="144">
        <v>2575</v>
      </c>
      <c r="L19" s="144">
        <v>2507</v>
      </c>
      <c r="M19" s="144">
        <v>2441</v>
      </c>
      <c r="N19" s="144">
        <v>2426</v>
      </c>
      <c r="O19" s="319">
        <v>2291</v>
      </c>
      <c r="P19" s="319">
        <v>2298</v>
      </c>
      <c r="Q19" s="319">
        <v>2277</v>
      </c>
      <c r="R19" s="319">
        <v>2299</v>
      </c>
      <c r="S19" s="319">
        <v>2298</v>
      </c>
      <c r="T19" s="319">
        <v>2260</v>
      </c>
      <c r="U19" s="319">
        <v>2302</v>
      </c>
      <c r="V19" s="319">
        <v>2299</v>
      </c>
      <c r="W19" s="319">
        <v>2255</v>
      </c>
      <c r="X19" s="319">
        <v>2056</v>
      </c>
      <c r="Y19" s="319">
        <v>1996</v>
      </c>
      <c r="Z19" s="319"/>
    </row>
    <row r="20" spans="1:43" x14ac:dyDescent="0.2">
      <c r="A20" s="68" t="s">
        <v>213</v>
      </c>
      <c r="B20" s="123"/>
      <c r="C20" s="122">
        <v>16392</v>
      </c>
      <c r="D20" s="144">
        <v>13959</v>
      </c>
      <c r="E20" s="144">
        <v>16118</v>
      </c>
      <c r="F20" s="144">
        <v>9280</v>
      </c>
      <c r="G20" s="144">
        <v>6518</v>
      </c>
      <c r="H20" s="144">
        <v>12702</v>
      </c>
      <c r="I20" s="144">
        <v>12201</v>
      </c>
      <c r="J20" s="144">
        <v>6602</v>
      </c>
      <c r="K20" s="144">
        <v>4570</v>
      </c>
      <c r="L20" s="144">
        <v>4200</v>
      </c>
      <c r="M20" s="144">
        <v>6190</v>
      </c>
      <c r="N20" s="144">
        <v>11855</v>
      </c>
      <c r="O20" s="319">
        <v>16640</v>
      </c>
      <c r="P20" s="319">
        <v>17070</v>
      </c>
      <c r="Q20" s="319">
        <v>13230</v>
      </c>
      <c r="R20" s="319">
        <v>7749</v>
      </c>
      <c r="S20" s="319">
        <v>10657</v>
      </c>
      <c r="T20" s="319">
        <v>24132</v>
      </c>
      <c r="U20" s="319">
        <v>26747</v>
      </c>
      <c r="V20" s="319">
        <v>21404</v>
      </c>
      <c r="W20" s="319">
        <v>22447</v>
      </c>
      <c r="X20" s="319">
        <v>40924</v>
      </c>
      <c r="Y20" s="319">
        <v>54898</v>
      </c>
      <c r="Z20" s="319"/>
    </row>
    <row r="21" spans="1:43" x14ac:dyDescent="0.2">
      <c r="A21" s="69" t="s">
        <v>214</v>
      </c>
      <c r="B21" s="130"/>
      <c r="C21" s="122">
        <v>50356</v>
      </c>
      <c r="D21" s="144">
        <v>46973</v>
      </c>
      <c r="E21" s="144">
        <v>43568</v>
      </c>
      <c r="F21" s="144">
        <v>48958</v>
      </c>
      <c r="G21" s="144">
        <v>45104</v>
      </c>
      <c r="H21" s="144">
        <v>41170</v>
      </c>
      <c r="I21" s="144">
        <v>114799</v>
      </c>
      <c r="J21" s="144">
        <v>95495</v>
      </c>
      <c r="K21" s="144">
        <v>90008</v>
      </c>
      <c r="L21" s="144">
        <v>84402</v>
      </c>
      <c r="M21" s="144">
        <v>78845</v>
      </c>
      <c r="N21" s="144">
        <v>73982</v>
      </c>
      <c r="O21" s="319">
        <v>69734</v>
      </c>
      <c r="P21" s="319">
        <v>66296</v>
      </c>
      <c r="Q21" s="319">
        <v>62941</v>
      </c>
      <c r="R21" s="319">
        <v>59594</v>
      </c>
      <c r="S21" s="319">
        <v>56243</v>
      </c>
      <c r="T21" s="319">
        <v>52853</v>
      </c>
      <c r="U21" s="319">
        <v>49807</v>
      </c>
      <c r="V21" s="319">
        <v>81082</v>
      </c>
      <c r="W21" s="319">
        <v>76578</v>
      </c>
      <c r="X21" s="319">
        <v>73298</v>
      </c>
      <c r="Y21" s="319">
        <v>69008</v>
      </c>
      <c r="Z21" s="319"/>
    </row>
    <row r="22" spans="1:43" x14ac:dyDescent="0.2">
      <c r="A22" s="68" t="s">
        <v>21</v>
      </c>
      <c r="B22" s="123"/>
      <c r="C22" s="122">
        <v>187952</v>
      </c>
      <c r="D22" s="144">
        <v>188154</v>
      </c>
      <c r="E22" s="144">
        <v>187953</v>
      </c>
      <c r="F22" s="144">
        <v>204481</v>
      </c>
      <c r="G22" s="144">
        <v>202337</v>
      </c>
      <c r="H22" s="144">
        <v>200981</v>
      </c>
      <c r="I22" s="144">
        <v>357533</v>
      </c>
      <c r="J22" s="144">
        <v>349984</v>
      </c>
      <c r="K22" s="144">
        <v>350239</v>
      </c>
      <c r="L22" s="144">
        <v>350220</v>
      </c>
      <c r="M22" s="144">
        <v>349530</v>
      </c>
      <c r="N22" s="144">
        <v>349529</v>
      </c>
      <c r="O22" s="319">
        <v>348076</v>
      </c>
      <c r="P22" s="319">
        <v>348110</v>
      </c>
      <c r="Q22" s="319">
        <v>348723</v>
      </c>
      <c r="R22" s="319">
        <v>349088</v>
      </c>
      <c r="S22" s="319">
        <v>349098</v>
      </c>
      <c r="T22" s="319">
        <v>348747</v>
      </c>
      <c r="U22" s="319">
        <v>348699</v>
      </c>
      <c r="V22" s="365">
        <v>403902</v>
      </c>
      <c r="W22" s="365">
        <v>404561</v>
      </c>
      <c r="X22" s="365">
        <v>406575</v>
      </c>
      <c r="Y22" s="365">
        <v>405781</v>
      </c>
      <c r="Z22" s="319"/>
    </row>
    <row r="23" spans="1:43" x14ac:dyDescent="0.2">
      <c r="A23" s="68" t="s">
        <v>30</v>
      </c>
      <c r="B23" s="123"/>
      <c r="C23" s="122">
        <f>29275-C19</f>
        <v>25618</v>
      </c>
      <c r="D23" s="144">
        <f>35767-D19</f>
        <v>32075</v>
      </c>
      <c r="E23" s="144">
        <f>34382-E19</f>
        <v>30672</v>
      </c>
      <c r="F23" s="144">
        <f>40177-F19</f>
        <v>36369</v>
      </c>
      <c r="G23" s="144">
        <v>33863</v>
      </c>
      <c r="H23" s="144">
        <v>36033</v>
      </c>
      <c r="I23" s="144">
        <v>32779</v>
      </c>
      <c r="J23" s="144">
        <v>31015</v>
      </c>
      <c r="K23" s="144">
        <v>33164</v>
      </c>
      <c r="L23" s="144">
        <v>33194</v>
      </c>
      <c r="M23" s="144">
        <v>32967</v>
      </c>
      <c r="N23" s="144">
        <v>36016</v>
      </c>
      <c r="O23" s="319">
        <v>32045</v>
      </c>
      <c r="P23" s="319">
        <v>31599</v>
      </c>
      <c r="Q23" s="319">
        <v>34280</v>
      </c>
      <c r="R23" s="319">
        <v>32099</v>
      </c>
      <c r="S23" s="319">
        <v>29669</v>
      </c>
      <c r="T23" s="319">
        <v>27472</v>
      </c>
      <c r="U23" s="319">
        <v>27154</v>
      </c>
      <c r="V23" s="365">
        <v>30183</v>
      </c>
      <c r="W23" s="365">
        <v>32031</v>
      </c>
      <c r="X23" s="365">
        <v>30198</v>
      </c>
      <c r="Y23" s="365">
        <v>29838</v>
      </c>
      <c r="Z23" s="319"/>
      <c r="AA23" s="414"/>
    </row>
    <row r="24" spans="1:43" x14ac:dyDescent="0.2">
      <c r="A24" s="68" t="s">
        <v>277</v>
      </c>
      <c r="B24" s="123"/>
      <c r="C24" s="196">
        <v>0</v>
      </c>
      <c r="D24" s="144">
        <v>0</v>
      </c>
      <c r="E24" s="144">
        <v>0</v>
      </c>
      <c r="F24" s="144">
        <v>3000</v>
      </c>
      <c r="G24" s="144">
        <v>2944</v>
      </c>
      <c r="H24" s="144">
        <v>2886</v>
      </c>
      <c r="I24" s="144">
        <v>2824</v>
      </c>
      <c r="J24" s="144">
        <v>2753</v>
      </c>
      <c r="K24" s="144">
        <v>2686</v>
      </c>
      <c r="L24" s="144">
        <v>2624</v>
      </c>
      <c r="M24" s="144">
        <v>2555</v>
      </c>
      <c r="N24" s="144">
        <v>2484</v>
      </c>
      <c r="O24" s="319">
        <v>3128</v>
      </c>
      <c r="P24" s="319">
        <v>3063</v>
      </c>
      <c r="Q24" s="319">
        <v>2991</v>
      </c>
      <c r="R24" s="319">
        <v>2957</v>
      </c>
      <c r="S24" s="319">
        <v>2921</v>
      </c>
      <c r="T24" s="319">
        <v>2929</v>
      </c>
      <c r="U24" s="319">
        <v>2957</v>
      </c>
      <c r="V24" s="365">
        <v>3004</v>
      </c>
      <c r="W24" s="365">
        <v>3118</v>
      </c>
      <c r="X24" s="365">
        <v>3261</v>
      </c>
      <c r="Y24" s="365">
        <v>3369</v>
      </c>
      <c r="Z24" s="319"/>
    </row>
    <row r="25" spans="1:43" x14ac:dyDescent="0.2">
      <c r="A25" s="68" t="s">
        <v>276</v>
      </c>
      <c r="C25" s="197">
        <v>0</v>
      </c>
      <c r="D25" s="197">
        <v>0</v>
      </c>
      <c r="E25" s="197">
        <v>0</v>
      </c>
      <c r="F25" s="197">
        <v>0</v>
      </c>
      <c r="G25" s="197">
        <v>0</v>
      </c>
      <c r="H25" s="197">
        <v>0</v>
      </c>
      <c r="I25" s="197">
        <v>0</v>
      </c>
      <c r="J25" s="197">
        <v>0</v>
      </c>
      <c r="K25" s="197">
        <v>0</v>
      </c>
      <c r="L25" s="197">
        <v>0</v>
      </c>
      <c r="M25" s="197">
        <v>0</v>
      </c>
      <c r="N25" s="197">
        <v>0</v>
      </c>
      <c r="O25" s="197">
        <v>0</v>
      </c>
      <c r="P25" s="197">
        <v>0</v>
      </c>
      <c r="Q25" s="197">
        <v>0</v>
      </c>
      <c r="R25" s="197">
        <v>0</v>
      </c>
      <c r="S25" s="197">
        <v>0</v>
      </c>
      <c r="T25" s="197">
        <v>0</v>
      </c>
      <c r="U25" s="197">
        <v>0</v>
      </c>
      <c r="V25" s="2">
        <v>186</v>
      </c>
      <c r="W25" s="144">
        <v>184</v>
      </c>
      <c r="X25" s="144">
        <v>22997</v>
      </c>
      <c r="Y25" s="144">
        <v>31355</v>
      </c>
      <c r="Z25" s="319"/>
    </row>
    <row r="26" spans="1:43" s="8" customFormat="1" x14ac:dyDescent="0.2">
      <c r="A26" s="46" t="s">
        <v>104</v>
      </c>
      <c r="B26" s="129"/>
      <c r="C26" s="115">
        <f>SUM(C15:C25)</f>
        <v>726693</v>
      </c>
      <c r="D26" s="115">
        <f t="shared" ref="D26:M26" si="3">SUM(D15:D25)</f>
        <v>747431</v>
      </c>
      <c r="E26" s="115">
        <f t="shared" si="3"/>
        <v>769004</v>
      </c>
      <c r="F26" s="115">
        <f t="shared" si="3"/>
        <v>825470</v>
      </c>
      <c r="G26" s="115">
        <f t="shared" si="3"/>
        <v>798270</v>
      </c>
      <c r="H26" s="115">
        <f t="shared" si="3"/>
        <v>790263</v>
      </c>
      <c r="I26" s="115">
        <f t="shared" si="3"/>
        <v>1045137</v>
      </c>
      <c r="J26" s="115">
        <f t="shared" si="3"/>
        <v>1061936</v>
      </c>
      <c r="K26" s="115">
        <f t="shared" si="3"/>
        <v>1182582</v>
      </c>
      <c r="L26" s="115">
        <f t="shared" si="3"/>
        <v>1137467</v>
      </c>
      <c r="M26" s="115">
        <f t="shared" si="3"/>
        <v>1145978</v>
      </c>
      <c r="N26" s="115">
        <f>SUM(N15:N25)</f>
        <v>1183088</v>
      </c>
      <c r="O26" s="115">
        <f t="shared" ref="O26:Y26" si="4">SUM(O15:O25)</f>
        <v>1267259</v>
      </c>
      <c r="P26" s="115">
        <f t="shared" si="4"/>
        <v>1193613</v>
      </c>
      <c r="Q26" s="115">
        <f t="shared" si="4"/>
        <v>1219481</v>
      </c>
      <c r="R26" s="115">
        <f t="shared" si="4"/>
        <v>1247857</v>
      </c>
      <c r="S26" s="115">
        <f t="shared" si="4"/>
        <v>1226366</v>
      </c>
      <c r="T26" s="115">
        <f t="shared" si="4"/>
        <v>1169346</v>
      </c>
      <c r="U26" s="115">
        <f t="shared" si="4"/>
        <v>1168070</v>
      </c>
      <c r="V26" s="115">
        <f t="shared" si="4"/>
        <v>1282904</v>
      </c>
      <c r="W26" s="115">
        <f t="shared" si="4"/>
        <v>1274549</v>
      </c>
      <c r="X26" s="115">
        <f t="shared" si="4"/>
        <v>1290934</v>
      </c>
      <c r="Y26" s="115">
        <f t="shared" si="4"/>
        <v>1318728</v>
      </c>
      <c r="Z26" s="98"/>
      <c r="AE26" s="2"/>
      <c r="AF26" s="2"/>
      <c r="AG26" s="2"/>
      <c r="AH26" s="2"/>
      <c r="AI26" s="2"/>
      <c r="AJ26" s="2"/>
      <c r="AK26" s="2"/>
      <c r="AL26" s="2"/>
      <c r="AM26" s="2"/>
      <c r="AN26" s="2"/>
      <c r="AO26" s="2"/>
      <c r="AP26" s="2"/>
      <c r="AQ26" s="2"/>
    </row>
    <row r="27" spans="1:43" x14ac:dyDescent="0.2">
      <c r="A27" s="22" t="s">
        <v>20</v>
      </c>
      <c r="B27" s="114"/>
      <c r="D27" s="144"/>
      <c r="Z27" s="98"/>
    </row>
    <row r="28" spans="1:43" s="38" customFormat="1" x14ac:dyDescent="0.2">
      <c r="A28" s="49" t="s">
        <v>22</v>
      </c>
      <c r="B28" s="128"/>
      <c r="D28" s="152"/>
      <c r="Z28" s="98"/>
      <c r="AE28" s="2"/>
      <c r="AF28" s="2"/>
      <c r="AG28" s="2"/>
      <c r="AH28" s="2"/>
      <c r="AI28" s="2"/>
      <c r="AJ28" s="2"/>
      <c r="AK28" s="2"/>
      <c r="AL28" s="2"/>
      <c r="AM28" s="2"/>
      <c r="AN28" s="2"/>
      <c r="AO28" s="2"/>
      <c r="AP28" s="2"/>
      <c r="AQ28" s="2"/>
    </row>
    <row r="29" spans="1:43" x14ac:dyDescent="0.2">
      <c r="A29" s="66" t="s">
        <v>23</v>
      </c>
      <c r="B29" s="114"/>
      <c r="D29" s="144"/>
      <c r="Z29" s="98"/>
    </row>
    <row r="30" spans="1:43" s="8" customFormat="1" x14ac:dyDescent="0.2">
      <c r="A30" s="67" t="s">
        <v>24</v>
      </c>
      <c r="B30" s="127"/>
      <c r="C30" s="124">
        <v>5286</v>
      </c>
      <c r="D30" s="144">
        <v>11661</v>
      </c>
      <c r="E30" s="144">
        <v>3834</v>
      </c>
      <c r="F30" s="144">
        <v>5918</v>
      </c>
      <c r="G30" s="144">
        <v>4114</v>
      </c>
      <c r="H30" s="144">
        <v>5428</v>
      </c>
      <c r="I30" s="144">
        <v>4310</v>
      </c>
      <c r="J30" s="144">
        <v>5653</v>
      </c>
      <c r="K30" s="144">
        <v>4560</v>
      </c>
      <c r="L30" s="144">
        <v>3269</v>
      </c>
      <c r="M30" s="144">
        <v>3658</v>
      </c>
      <c r="N30" s="144">
        <v>6564</v>
      </c>
      <c r="O30" s="319">
        <v>8048</v>
      </c>
      <c r="P30" s="319">
        <v>9048</v>
      </c>
      <c r="Q30" s="319">
        <v>6213</v>
      </c>
      <c r="R30" s="319">
        <v>6992</v>
      </c>
      <c r="S30" s="319">
        <v>8304</v>
      </c>
      <c r="T30" s="319">
        <v>3877</v>
      </c>
      <c r="U30" s="319">
        <v>2881</v>
      </c>
      <c r="V30" s="319">
        <v>5647</v>
      </c>
      <c r="W30" s="319">
        <v>4796</v>
      </c>
      <c r="X30" s="319">
        <v>4377</v>
      </c>
      <c r="Y30" s="319">
        <v>3487</v>
      </c>
      <c r="Z30" s="398"/>
      <c r="AA30" s="392"/>
      <c r="AE30" s="2"/>
      <c r="AF30" s="2"/>
      <c r="AG30" s="2"/>
      <c r="AH30" s="2"/>
      <c r="AI30" s="2"/>
      <c r="AJ30" s="2"/>
      <c r="AK30" s="2"/>
      <c r="AL30" s="2"/>
      <c r="AM30" s="2"/>
      <c r="AN30" s="2"/>
      <c r="AO30" s="2"/>
      <c r="AP30" s="2"/>
      <c r="AQ30" s="2"/>
    </row>
    <row r="31" spans="1:43" s="8" customFormat="1" x14ac:dyDescent="0.2">
      <c r="A31" s="67" t="s">
        <v>175</v>
      </c>
      <c r="B31" s="127"/>
      <c r="C31" s="122">
        <v>10000</v>
      </c>
      <c r="D31" s="144">
        <v>10000</v>
      </c>
      <c r="E31" s="144">
        <v>0</v>
      </c>
      <c r="F31" s="144">
        <v>10318</v>
      </c>
      <c r="G31" s="144">
        <v>318</v>
      </c>
      <c r="H31" s="144">
        <v>10318</v>
      </c>
      <c r="I31" s="144">
        <v>12318</v>
      </c>
      <c r="J31" s="144">
        <v>21423</v>
      </c>
      <c r="K31" s="144">
        <v>20876</v>
      </c>
      <c r="L31" s="144">
        <v>20885</v>
      </c>
      <c r="M31" s="144">
        <v>20876</v>
      </c>
      <c r="N31" s="144">
        <v>40867</v>
      </c>
      <c r="O31" s="319">
        <v>100666</v>
      </c>
      <c r="P31" s="319">
        <v>20657</v>
      </c>
      <c r="Q31" s="319">
        <v>10474</v>
      </c>
      <c r="R31" s="319">
        <v>25000</v>
      </c>
      <c r="S31" s="319">
        <v>25000</v>
      </c>
      <c r="T31" s="319">
        <v>15000</v>
      </c>
      <c r="U31" s="319">
        <v>15000</v>
      </c>
      <c r="V31" s="319">
        <v>260016</v>
      </c>
      <c r="W31" s="319">
        <v>35000</v>
      </c>
      <c r="X31" s="319">
        <v>35000</v>
      </c>
      <c r="Y31" s="319">
        <v>35000</v>
      </c>
      <c r="Z31" s="319"/>
      <c r="AE31" s="2"/>
      <c r="AF31" s="2"/>
      <c r="AG31" s="2"/>
      <c r="AH31" s="2"/>
      <c r="AI31" s="2"/>
      <c r="AJ31" s="2"/>
      <c r="AK31" s="2"/>
      <c r="AL31" s="2"/>
      <c r="AM31" s="2"/>
      <c r="AN31" s="2"/>
      <c r="AO31" s="2"/>
      <c r="AP31" s="2"/>
      <c r="AQ31" s="2"/>
    </row>
    <row r="32" spans="1:43" x14ac:dyDescent="0.2">
      <c r="A32" s="67" t="s">
        <v>25</v>
      </c>
      <c r="B32" s="125"/>
      <c r="C32" s="122">
        <v>17968</v>
      </c>
      <c r="D32" s="144">
        <v>14189</v>
      </c>
      <c r="E32" s="144">
        <v>8662</v>
      </c>
      <c r="F32" s="144">
        <v>10716</v>
      </c>
      <c r="G32" s="144">
        <v>11504</v>
      </c>
      <c r="H32" s="144">
        <v>10448</v>
      </c>
      <c r="I32" s="144">
        <v>7600</v>
      </c>
      <c r="J32" s="144">
        <v>7722</v>
      </c>
      <c r="K32" s="144">
        <v>11132</v>
      </c>
      <c r="L32" s="144">
        <v>11790</v>
      </c>
      <c r="M32" s="144">
        <v>9585</v>
      </c>
      <c r="N32" s="144">
        <v>13436</v>
      </c>
      <c r="O32" s="319">
        <v>16038</v>
      </c>
      <c r="P32" s="319">
        <v>16752</v>
      </c>
      <c r="Q32" s="319">
        <v>13562</v>
      </c>
      <c r="R32" s="319">
        <v>32649</v>
      </c>
      <c r="S32" s="319">
        <v>14764</v>
      </c>
      <c r="T32" s="319">
        <v>12017</v>
      </c>
      <c r="U32" s="319">
        <v>11866</v>
      </c>
      <c r="V32" s="319">
        <v>20000</v>
      </c>
      <c r="W32" s="319">
        <v>22571</v>
      </c>
      <c r="X32" s="319">
        <v>22013</v>
      </c>
      <c r="Y32" s="319">
        <v>19279</v>
      </c>
      <c r="Z32" s="319"/>
    </row>
    <row r="33" spans="1:27" x14ac:dyDescent="0.2">
      <c r="A33" s="67" t="s">
        <v>26</v>
      </c>
      <c r="B33" s="125"/>
      <c r="C33" s="122">
        <v>29830</v>
      </c>
      <c r="D33" s="144">
        <v>39135</v>
      </c>
      <c r="E33" s="144">
        <v>49385</v>
      </c>
      <c r="F33" s="144">
        <v>55664</v>
      </c>
      <c r="G33" s="144">
        <v>27615</v>
      </c>
      <c r="H33" s="144">
        <v>33338</v>
      </c>
      <c r="I33" s="144">
        <v>46638</v>
      </c>
      <c r="J33" s="144">
        <v>54893</v>
      </c>
      <c r="K33" s="144">
        <v>31954</v>
      </c>
      <c r="L33" s="144">
        <v>42967</v>
      </c>
      <c r="M33" s="144">
        <v>59568</v>
      </c>
      <c r="N33" s="144">
        <v>68885</v>
      </c>
      <c r="O33" s="319">
        <v>28937</v>
      </c>
      <c r="P33" s="319">
        <v>42376</v>
      </c>
      <c r="Q33" s="319">
        <v>57402</v>
      </c>
      <c r="R33" s="319">
        <v>67645</v>
      </c>
      <c r="S33" s="319">
        <v>43492</v>
      </c>
      <c r="T33" s="319">
        <v>70496</v>
      </c>
      <c r="U33" s="319">
        <v>95833</v>
      </c>
      <c r="V33" s="319">
        <v>114285</v>
      </c>
      <c r="W33" s="319">
        <v>52276</v>
      </c>
      <c r="X33" s="319">
        <v>75698</v>
      </c>
      <c r="Y33" s="319">
        <v>92252</v>
      </c>
      <c r="Z33" s="319"/>
    </row>
    <row r="34" spans="1:27" x14ac:dyDescent="0.2">
      <c r="A34" s="67" t="s">
        <v>62</v>
      </c>
      <c r="B34" s="125"/>
      <c r="C34" s="133">
        <v>47886</v>
      </c>
      <c r="D34" s="144">
        <v>41048</v>
      </c>
      <c r="E34" s="144">
        <v>49208</v>
      </c>
      <c r="F34" s="144">
        <v>61633</v>
      </c>
      <c r="G34" s="144">
        <v>61394</v>
      </c>
      <c r="H34" s="144">
        <v>60105</v>
      </c>
      <c r="I34" s="144">
        <v>67305</v>
      </c>
      <c r="J34" s="144">
        <v>64392</v>
      </c>
      <c r="K34" s="144">
        <v>66110</v>
      </c>
      <c r="L34" s="144">
        <v>65286</v>
      </c>
      <c r="M34" s="144">
        <v>70124</v>
      </c>
      <c r="N34" s="144">
        <v>74017</v>
      </c>
      <c r="O34" s="319">
        <v>84747</v>
      </c>
      <c r="P34" s="319">
        <v>74772</v>
      </c>
      <c r="Q34" s="319">
        <v>73043</v>
      </c>
      <c r="R34" s="319">
        <v>66410</v>
      </c>
      <c r="S34" s="319">
        <v>73241</v>
      </c>
      <c r="T34" s="319">
        <v>76424</v>
      </c>
      <c r="U34" s="319">
        <v>67926</v>
      </c>
      <c r="V34" s="319">
        <v>76350</v>
      </c>
      <c r="W34" s="319">
        <v>86911</v>
      </c>
      <c r="X34" s="319">
        <v>89030</v>
      </c>
      <c r="Y34" s="319">
        <v>96800</v>
      </c>
      <c r="Z34" s="398"/>
      <c r="AA34" s="392"/>
    </row>
    <row r="35" spans="1:27" x14ac:dyDescent="0.2">
      <c r="A35" s="67" t="s">
        <v>199</v>
      </c>
      <c r="B35" s="125"/>
      <c r="C35" s="133"/>
      <c r="D35" s="144"/>
      <c r="E35" s="144"/>
      <c r="F35" s="144">
        <v>0</v>
      </c>
      <c r="G35" s="144">
        <v>0</v>
      </c>
      <c r="H35" s="144">
        <v>0</v>
      </c>
      <c r="I35" s="144">
        <v>0</v>
      </c>
      <c r="J35" s="144">
        <v>0</v>
      </c>
      <c r="K35" s="144">
        <v>22306</v>
      </c>
      <c r="L35" s="144">
        <v>23439</v>
      </c>
      <c r="M35" s="144">
        <v>23516</v>
      </c>
      <c r="N35" s="144">
        <v>24148</v>
      </c>
      <c r="O35" s="319">
        <v>18236</v>
      </c>
      <c r="P35" s="319">
        <v>18199</v>
      </c>
      <c r="Q35" s="319">
        <v>19048</v>
      </c>
      <c r="R35" s="319">
        <v>18894</v>
      </c>
      <c r="S35" s="319">
        <v>18476</v>
      </c>
      <c r="T35" s="319">
        <v>18039</v>
      </c>
      <c r="U35" s="319">
        <v>18340</v>
      </c>
      <c r="V35" s="319">
        <v>18487</v>
      </c>
      <c r="W35" s="319">
        <v>19308</v>
      </c>
      <c r="X35" s="319">
        <v>18548</v>
      </c>
      <c r="Y35" s="319">
        <v>16740</v>
      </c>
      <c r="Z35" s="319"/>
    </row>
    <row r="36" spans="1:27" x14ac:dyDescent="0.2">
      <c r="A36" s="67" t="s">
        <v>212</v>
      </c>
      <c r="B36" s="125"/>
      <c r="C36" s="291">
        <v>0</v>
      </c>
      <c r="D36" s="144">
        <v>0</v>
      </c>
      <c r="E36" s="144">
        <v>0</v>
      </c>
      <c r="F36" s="144">
        <v>0</v>
      </c>
      <c r="G36" s="144">
        <v>0</v>
      </c>
      <c r="H36" s="144">
        <v>0</v>
      </c>
      <c r="I36" s="144">
        <v>0</v>
      </c>
      <c r="J36" s="144">
        <v>1012</v>
      </c>
      <c r="K36" s="144">
        <v>595</v>
      </c>
      <c r="L36" s="144">
        <v>604</v>
      </c>
      <c r="M36" s="144">
        <v>575</v>
      </c>
      <c r="N36" s="144">
        <v>1432</v>
      </c>
      <c r="O36" s="319">
        <v>1692</v>
      </c>
      <c r="P36" s="319">
        <v>2359</v>
      </c>
      <c r="Q36" s="319">
        <v>5157</v>
      </c>
      <c r="R36" s="319">
        <v>3488</v>
      </c>
      <c r="S36" s="319">
        <v>14443</v>
      </c>
      <c r="T36" s="319">
        <v>11256</v>
      </c>
      <c r="U36" s="319">
        <v>11080</v>
      </c>
      <c r="V36" s="319">
        <v>901</v>
      </c>
      <c r="W36" s="319">
        <v>1259</v>
      </c>
      <c r="X36" s="319">
        <v>21348</v>
      </c>
      <c r="Y36" s="319">
        <v>23410</v>
      </c>
      <c r="Z36" s="319"/>
    </row>
    <row r="37" spans="1:27" x14ac:dyDescent="0.2">
      <c r="A37" s="68" t="s">
        <v>28</v>
      </c>
      <c r="B37" s="125"/>
      <c r="C37" s="126">
        <f t="shared" ref="C37:J37" si="5">SUM(C30:C36)</f>
        <v>110970</v>
      </c>
      <c r="D37" s="126">
        <f t="shared" si="5"/>
        <v>116033</v>
      </c>
      <c r="E37" s="126">
        <f t="shared" si="5"/>
        <v>111089</v>
      </c>
      <c r="F37" s="126">
        <f t="shared" si="5"/>
        <v>144249</v>
      </c>
      <c r="G37" s="126">
        <f t="shared" si="5"/>
        <v>104945</v>
      </c>
      <c r="H37" s="126">
        <f t="shared" si="5"/>
        <v>119637</v>
      </c>
      <c r="I37" s="126">
        <f t="shared" si="5"/>
        <v>138171</v>
      </c>
      <c r="J37" s="126">
        <f t="shared" si="5"/>
        <v>155095</v>
      </c>
      <c r="K37" s="126">
        <f t="shared" ref="K37:Q37" si="6">SUM(K30:K36)</f>
        <v>157533</v>
      </c>
      <c r="L37" s="126">
        <f t="shared" si="6"/>
        <v>168240</v>
      </c>
      <c r="M37" s="126">
        <f t="shared" si="6"/>
        <v>187902</v>
      </c>
      <c r="N37" s="127">
        <f t="shared" si="6"/>
        <v>229349</v>
      </c>
      <c r="O37" s="127">
        <f t="shared" si="6"/>
        <v>258364</v>
      </c>
      <c r="P37" s="127">
        <f t="shared" si="6"/>
        <v>184163</v>
      </c>
      <c r="Q37" s="127">
        <f t="shared" si="6"/>
        <v>184899</v>
      </c>
      <c r="R37" s="127">
        <f>ROUND(SUM(R30:R36),0)</f>
        <v>221078</v>
      </c>
      <c r="S37" s="127">
        <f t="shared" ref="S37:T37" si="7">SUM(S30:S36)</f>
        <v>197720</v>
      </c>
      <c r="T37" s="127">
        <f t="shared" si="7"/>
        <v>207109</v>
      </c>
      <c r="U37" s="127">
        <f t="shared" ref="U37:V37" si="8">SUM(U30:U36)</f>
        <v>222926</v>
      </c>
      <c r="V37" s="127">
        <f t="shared" si="8"/>
        <v>495686</v>
      </c>
      <c r="W37" s="127">
        <f t="shared" ref="W37:Y37" si="9">SUM(W30:W36)</f>
        <v>222121</v>
      </c>
      <c r="X37" s="127">
        <f t="shared" si="9"/>
        <v>266014</v>
      </c>
      <c r="Y37" s="127">
        <f t="shared" si="9"/>
        <v>286968</v>
      </c>
      <c r="Z37" s="98"/>
    </row>
    <row r="38" spans="1:27" x14ac:dyDescent="0.2">
      <c r="A38" s="71" t="s">
        <v>20</v>
      </c>
      <c r="B38" s="125"/>
      <c r="D38" s="144"/>
      <c r="Z38" s="98"/>
    </row>
    <row r="39" spans="1:27" x14ac:dyDescent="0.2">
      <c r="A39" s="72" t="s">
        <v>208</v>
      </c>
      <c r="B39" s="125"/>
      <c r="C39" s="144">
        <v>35000</v>
      </c>
      <c r="D39" s="144">
        <v>35000</v>
      </c>
      <c r="E39" s="144">
        <v>45000</v>
      </c>
      <c r="F39" s="144">
        <v>50391</v>
      </c>
      <c r="G39" s="144">
        <v>67355</v>
      </c>
      <c r="H39" s="144">
        <v>57326</v>
      </c>
      <c r="I39" s="144">
        <v>288309</v>
      </c>
      <c r="J39" s="144">
        <v>263241</v>
      </c>
      <c r="K39" s="144">
        <v>299765</v>
      </c>
      <c r="L39" s="144">
        <v>231409</v>
      </c>
      <c r="M39" s="144">
        <v>223916</v>
      </c>
      <c r="N39" s="144">
        <v>194131</v>
      </c>
      <c r="O39" s="144">
        <v>234820</v>
      </c>
      <c r="P39" s="144">
        <v>215527</v>
      </c>
      <c r="Q39" s="144">
        <v>216235</v>
      </c>
      <c r="R39" s="144">
        <v>201961</v>
      </c>
      <c r="S39" s="144">
        <v>202687</v>
      </c>
      <c r="T39" s="144">
        <v>139432</v>
      </c>
      <c r="U39" s="144">
        <v>170000</v>
      </c>
      <c r="V39" s="144">
        <v>0</v>
      </c>
      <c r="W39" s="144">
        <v>260000</v>
      </c>
      <c r="X39" s="144">
        <v>250000</v>
      </c>
      <c r="Y39" s="144">
        <v>235000</v>
      </c>
      <c r="Z39" s="319"/>
    </row>
    <row r="40" spans="1:27" x14ac:dyDescent="0.2">
      <c r="A40" s="72" t="s">
        <v>63</v>
      </c>
      <c r="B40" s="123"/>
      <c r="D40" s="144"/>
      <c r="E40" s="144"/>
      <c r="Z40" s="98"/>
    </row>
    <row r="41" spans="1:27" s="253" customFormat="1" hidden="1" x14ac:dyDescent="0.2">
      <c r="A41" s="373" t="s">
        <v>209</v>
      </c>
      <c r="B41" s="374"/>
      <c r="C41" s="375">
        <v>0</v>
      </c>
      <c r="D41" s="375">
        <v>0</v>
      </c>
      <c r="E41" s="375">
        <v>0</v>
      </c>
      <c r="F41" s="375">
        <v>0</v>
      </c>
      <c r="G41" s="375">
        <v>0</v>
      </c>
      <c r="H41" s="375">
        <v>0</v>
      </c>
      <c r="I41" s="375">
        <v>0</v>
      </c>
      <c r="J41" s="375">
        <v>0</v>
      </c>
      <c r="K41" s="375">
        <v>0</v>
      </c>
      <c r="L41" s="375">
        <v>0</v>
      </c>
      <c r="M41" s="375">
        <v>0</v>
      </c>
      <c r="N41" s="375">
        <v>0</v>
      </c>
      <c r="O41" s="365">
        <v>0</v>
      </c>
      <c r="P41" s="365">
        <v>0</v>
      </c>
      <c r="Q41" s="365"/>
      <c r="R41" s="365">
        <v>0</v>
      </c>
      <c r="S41" s="365">
        <v>0</v>
      </c>
      <c r="T41" s="365">
        <v>0</v>
      </c>
      <c r="U41" s="365">
        <v>0</v>
      </c>
      <c r="V41" s="365">
        <v>0</v>
      </c>
      <c r="W41" s="319">
        <v>0</v>
      </c>
      <c r="Z41" s="319"/>
    </row>
    <row r="42" spans="1:27" x14ac:dyDescent="0.2">
      <c r="A42" s="67" t="s">
        <v>27</v>
      </c>
      <c r="B42" s="123"/>
      <c r="C42" s="196">
        <v>0</v>
      </c>
      <c r="D42" s="196">
        <v>0</v>
      </c>
      <c r="E42" s="196">
        <v>0</v>
      </c>
      <c r="F42" s="144">
        <v>13557</v>
      </c>
      <c r="G42" s="144">
        <v>8721</v>
      </c>
      <c r="H42" s="144">
        <v>8721</v>
      </c>
      <c r="I42" s="144">
        <v>8721</v>
      </c>
      <c r="J42" s="144">
        <v>0</v>
      </c>
      <c r="K42" s="144">
        <v>0</v>
      </c>
      <c r="L42" s="144">
        <v>0</v>
      </c>
      <c r="M42" s="144">
        <v>0</v>
      </c>
      <c r="N42" s="144">
        <v>1790</v>
      </c>
      <c r="O42" s="319">
        <v>1790</v>
      </c>
      <c r="P42" s="319">
        <v>1790</v>
      </c>
      <c r="Q42" s="319">
        <v>1790</v>
      </c>
      <c r="R42" s="319">
        <v>1790</v>
      </c>
      <c r="S42" s="319">
        <v>1790</v>
      </c>
      <c r="T42" s="319">
        <v>1790</v>
      </c>
      <c r="U42" s="319">
        <v>1790</v>
      </c>
      <c r="V42" s="365">
        <v>1790</v>
      </c>
      <c r="W42" s="365">
        <v>1790</v>
      </c>
      <c r="X42" s="365">
        <v>1790</v>
      </c>
      <c r="Y42" s="365">
        <v>1790</v>
      </c>
      <c r="Z42" s="319"/>
    </row>
    <row r="43" spans="1:27" x14ac:dyDescent="0.2">
      <c r="A43" s="67" t="s">
        <v>215</v>
      </c>
      <c r="B43" s="123"/>
      <c r="C43" s="196">
        <v>0</v>
      </c>
      <c r="D43" s="196">
        <v>0</v>
      </c>
      <c r="E43" s="196">
        <v>0</v>
      </c>
      <c r="F43" s="292">
        <v>695</v>
      </c>
      <c r="G43" s="196">
        <v>0</v>
      </c>
      <c r="H43" s="196">
        <v>0</v>
      </c>
      <c r="I43" s="144">
        <v>13352</v>
      </c>
      <c r="J43" s="144">
        <v>8445</v>
      </c>
      <c r="K43" s="144">
        <v>10103</v>
      </c>
      <c r="L43" s="144">
        <v>6366</v>
      </c>
      <c r="M43" s="144">
        <v>720</v>
      </c>
      <c r="N43" s="144">
        <v>966</v>
      </c>
      <c r="O43" s="319">
        <v>773</v>
      </c>
      <c r="P43" s="319">
        <v>705</v>
      </c>
      <c r="Q43" s="319">
        <v>841</v>
      </c>
      <c r="R43" s="319">
        <v>847</v>
      </c>
      <c r="S43" s="319">
        <v>877</v>
      </c>
      <c r="T43" s="319">
        <v>902</v>
      </c>
      <c r="U43" s="319">
        <v>901</v>
      </c>
      <c r="V43" s="365">
        <v>965</v>
      </c>
      <c r="W43" s="365">
        <v>928</v>
      </c>
      <c r="X43" s="365">
        <v>841</v>
      </c>
      <c r="Y43" s="365">
        <v>759</v>
      </c>
      <c r="Z43" s="319"/>
    </row>
    <row r="44" spans="1:27" x14ac:dyDescent="0.2">
      <c r="A44" s="67" t="s">
        <v>200</v>
      </c>
      <c r="B44" s="123"/>
      <c r="C44" s="196"/>
      <c r="D44" s="196"/>
      <c r="E44" s="196"/>
      <c r="F44" s="292">
        <v>0</v>
      </c>
      <c r="G44" s="196">
        <v>0</v>
      </c>
      <c r="H44" s="196">
        <v>0</v>
      </c>
      <c r="I44" s="144">
        <v>0</v>
      </c>
      <c r="J44" s="144">
        <v>0</v>
      </c>
      <c r="K44" s="144">
        <v>77060</v>
      </c>
      <c r="L44" s="144">
        <v>80531</v>
      </c>
      <c r="M44" s="144">
        <v>76080</v>
      </c>
      <c r="N44" s="144">
        <v>74709</v>
      </c>
      <c r="O44" s="319">
        <v>93707</v>
      </c>
      <c r="P44" s="319">
        <v>90934</v>
      </c>
      <c r="Q44" s="319">
        <v>89412</v>
      </c>
      <c r="R44" s="319">
        <v>84874</v>
      </c>
      <c r="S44" s="319">
        <v>81948</v>
      </c>
      <c r="T44" s="319">
        <v>76518</v>
      </c>
      <c r="U44" s="319">
        <v>73939</v>
      </c>
      <c r="V44" s="365">
        <v>68506</v>
      </c>
      <c r="W44" s="365">
        <v>66173</v>
      </c>
      <c r="X44" s="365">
        <v>59224</v>
      </c>
      <c r="Y44" s="365">
        <v>54174</v>
      </c>
      <c r="Z44" s="319"/>
    </row>
    <row r="45" spans="1:27" x14ac:dyDescent="0.2">
      <c r="A45" s="373" t="s">
        <v>31</v>
      </c>
      <c r="B45" s="123"/>
      <c r="C45" s="122">
        <v>18014</v>
      </c>
      <c r="D45" s="144">
        <v>16476</v>
      </c>
      <c r="E45" s="144">
        <v>16549</v>
      </c>
      <c r="F45" s="144">
        <v>16533</v>
      </c>
      <c r="G45" s="144">
        <v>15544</v>
      </c>
      <c r="H45" s="144">
        <v>19100</v>
      </c>
      <c r="I45" s="144">
        <v>22136</v>
      </c>
      <c r="J45" s="144">
        <v>16836</v>
      </c>
      <c r="K45" s="144">
        <v>7286</v>
      </c>
      <c r="L45" s="144">
        <v>9568</v>
      </c>
      <c r="M45" s="144">
        <v>9677</v>
      </c>
      <c r="N45" s="144">
        <v>12142</v>
      </c>
      <c r="O45" s="319">
        <v>21901</v>
      </c>
      <c r="P45" s="319">
        <v>19566</v>
      </c>
      <c r="Q45" s="319">
        <v>16376</v>
      </c>
      <c r="R45" s="319">
        <v>18135</v>
      </c>
      <c r="S45" s="319">
        <v>15119</v>
      </c>
      <c r="T45" s="319">
        <v>15581</v>
      </c>
      <c r="U45" s="319">
        <v>13529</v>
      </c>
      <c r="V45" s="365">
        <v>22801</v>
      </c>
      <c r="W45" s="365">
        <v>23196</v>
      </c>
      <c r="X45" s="365">
        <v>27412</v>
      </c>
      <c r="Y45" s="365">
        <v>35453</v>
      </c>
      <c r="Z45" s="319"/>
    </row>
    <row r="46" spans="1:27" x14ac:dyDescent="0.2">
      <c r="A46" s="43" t="s">
        <v>70</v>
      </c>
      <c r="B46" s="44"/>
      <c r="C46" s="117">
        <f t="shared" ref="C46:L46" si="10">SUM(C37:C45)</f>
        <v>163984</v>
      </c>
      <c r="D46" s="117">
        <f t="shared" si="10"/>
        <v>167509</v>
      </c>
      <c r="E46" s="117">
        <f t="shared" si="10"/>
        <v>172638</v>
      </c>
      <c r="F46" s="117">
        <f t="shared" si="10"/>
        <v>225425</v>
      </c>
      <c r="G46" s="117">
        <f t="shared" si="10"/>
        <v>196565</v>
      </c>
      <c r="H46" s="117">
        <f t="shared" si="10"/>
        <v>204784</v>
      </c>
      <c r="I46" s="117">
        <f t="shared" si="10"/>
        <v>470689</v>
      </c>
      <c r="J46" s="117">
        <f t="shared" si="10"/>
        <v>443617</v>
      </c>
      <c r="K46" s="117">
        <f t="shared" si="10"/>
        <v>551747</v>
      </c>
      <c r="L46" s="117">
        <f t="shared" si="10"/>
        <v>496114</v>
      </c>
      <c r="M46" s="117">
        <f t="shared" ref="M46:Q46" si="11">SUM(M37:M45)</f>
        <v>498295</v>
      </c>
      <c r="N46" s="117">
        <f t="shared" si="11"/>
        <v>513087</v>
      </c>
      <c r="O46" s="117">
        <f t="shared" si="11"/>
        <v>611355</v>
      </c>
      <c r="P46" s="117">
        <f>SUM(P37:P45)</f>
        <v>512685</v>
      </c>
      <c r="Q46" s="117">
        <f t="shared" si="11"/>
        <v>509553</v>
      </c>
      <c r="R46" s="117">
        <f>ROUND(SUM(R37:R45),0)</f>
        <v>528685</v>
      </c>
      <c r="S46" s="117">
        <f t="shared" ref="S46:T46" si="12">SUM(S37:S45)</f>
        <v>500141</v>
      </c>
      <c r="T46" s="117">
        <f t="shared" si="12"/>
        <v>441332</v>
      </c>
      <c r="U46" s="117">
        <f t="shared" ref="U46:Y46" si="13">SUM(U37:U45)</f>
        <v>483085</v>
      </c>
      <c r="V46" s="117">
        <f t="shared" si="13"/>
        <v>589748</v>
      </c>
      <c r="W46" s="117">
        <f t="shared" si="13"/>
        <v>574208</v>
      </c>
      <c r="X46" s="117">
        <f t="shared" si="13"/>
        <v>605281</v>
      </c>
      <c r="Y46" s="117">
        <f t="shared" si="13"/>
        <v>614144</v>
      </c>
      <c r="Z46" s="98"/>
    </row>
    <row r="47" spans="1:27" x14ac:dyDescent="0.2">
      <c r="A47" s="19" t="s">
        <v>20</v>
      </c>
      <c r="D47" s="144"/>
      <c r="Z47" s="98"/>
    </row>
    <row r="48" spans="1:27" x14ac:dyDescent="0.2">
      <c r="A48" s="21" t="s">
        <v>275</v>
      </c>
      <c r="B48" s="8"/>
      <c r="D48" s="144"/>
      <c r="Z48" s="98"/>
    </row>
    <row r="49" spans="1:214" x14ac:dyDescent="0.2">
      <c r="A49" s="21"/>
      <c r="B49" s="8"/>
      <c r="D49" s="144"/>
      <c r="Z49" s="98"/>
    </row>
    <row r="50" spans="1:214" x14ac:dyDescent="0.2">
      <c r="A50" s="15" t="s">
        <v>71</v>
      </c>
      <c r="C50" s="116">
        <v>0</v>
      </c>
      <c r="D50" s="116">
        <v>0</v>
      </c>
      <c r="E50" s="116">
        <v>0</v>
      </c>
      <c r="F50" s="116">
        <v>0</v>
      </c>
      <c r="G50" s="116">
        <v>0</v>
      </c>
      <c r="H50" s="116">
        <v>0</v>
      </c>
      <c r="I50" s="116">
        <v>0</v>
      </c>
      <c r="J50" s="116">
        <v>0</v>
      </c>
      <c r="K50" s="116">
        <v>0</v>
      </c>
      <c r="L50" s="116">
        <v>0</v>
      </c>
      <c r="M50" s="116">
        <v>0</v>
      </c>
      <c r="N50" s="116">
        <v>0</v>
      </c>
      <c r="O50" s="98">
        <v>0</v>
      </c>
      <c r="P50" s="98">
        <v>0</v>
      </c>
      <c r="Q50" s="98">
        <v>0</v>
      </c>
      <c r="R50" s="98">
        <v>0</v>
      </c>
      <c r="S50" s="98">
        <v>0</v>
      </c>
      <c r="T50" s="98">
        <v>0</v>
      </c>
      <c r="U50" s="98">
        <v>0</v>
      </c>
      <c r="V50" s="98">
        <v>0</v>
      </c>
      <c r="W50" s="98">
        <v>0</v>
      </c>
      <c r="X50" s="98">
        <v>0</v>
      </c>
      <c r="Y50" s="98">
        <v>0</v>
      </c>
      <c r="Z50" s="319"/>
    </row>
    <row r="51" spans="1:214" x14ac:dyDescent="0.2">
      <c r="A51" s="20" t="s">
        <v>72</v>
      </c>
      <c r="B51" s="38"/>
      <c r="C51" s="116">
        <v>36</v>
      </c>
      <c r="D51" s="144">
        <v>36</v>
      </c>
      <c r="E51" s="144">
        <v>37</v>
      </c>
      <c r="F51" s="144">
        <v>37</v>
      </c>
      <c r="G51" s="144">
        <v>38</v>
      </c>
      <c r="H51" s="144">
        <v>38</v>
      </c>
      <c r="I51" s="144">
        <v>38</v>
      </c>
      <c r="J51" s="144">
        <v>38</v>
      </c>
      <c r="K51" s="144">
        <v>38</v>
      </c>
      <c r="L51" s="144">
        <v>38</v>
      </c>
      <c r="M51" s="144">
        <v>38</v>
      </c>
      <c r="N51" s="144">
        <v>39</v>
      </c>
      <c r="O51" s="319">
        <v>39</v>
      </c>
      <c r="P51" s="319">
        <v>39</v>
      </c>
      <c r="Q51" s="319">
        <v>39</v>
      </c>
      <c r="R51" s="319">
        <v>39</v>
      </c>
      <c r="S51" s="319">
        <v>39</v>
      </c>
      <c r="T51" s="319">
        <v>39</v>
      </c>
      <c r="U51" s="319">
        <v>39</v>
      </c>
      <c r="V51" s="319">
        <v>40</v>
      </c>
      <c r="W51" s="319">
        <v>40</v>
      </c>
      <c r="X51" s="319">
        <v>40</v>
      </c>
      <c r="Y51" s="319">
        <v>40</v>
      </c>
      <c r="Z51" s="319"/>
    </row>
    <row r="52" spans="1:214" x14ac:dyDescent="0.2">
      <c r="A52" s="20" t="s">
        <v>29</v>
      </c>
      <c r="C52" s="121">
        <v>296792</v>
      </c>
      <c r="D52" s="144">
        <v>303486</v>
      </c>
      <c r="E52" s="144">
        <v>311691</v>
      </c>
      <c r="F52" s="144">
        <v>322246</v>
      </c>
      <c r="G52" s="144">
        <v>327750</v>
      </c>
      <c r="H52" s="144">
        <v>334643</v>
      </c>
      <c r="I52" s="144">
        <v>344720</v>
      </c>
      <c r="J52" s="144">
        <v>364179</v>
      </c>
      <c r="K52" s="144">
        <v>371144</v>
      </c>
      <c r="L52" s="144">
        <v>378633</v>
      </c>
      <c r="M52" s="144">
        <v>386060</v>
      </c>
      <c r="N52" s="144">
        <v>391240</v>
      </c>
      <c r="O52" s="319">
        <v>396939</v>
      </c>
      <c r="P52" s="319">
        <v>404704</v>
      </c>
      <c r="Q52" s="319">
        <v>413135</v>
      </c>
      <c r="R52" s="319">
        <v>420976</v>
      </c>
      <c r="S52" s="319">
        <v>428882</v>
      </c>
      <c r="T52" s="319">
        <v>439051</v>
      </c>
      <c r="U52" s="319">
        <v>385917</v>
      </c>
      <c r="V52" s="319">
        <v>395742</v>
      </c>
      <c r="W52" s="319">
        <v>406966</v>
      </c>
      <c r="X52" s="319">
        <v>420306</v>
      </c>
      <c r="Y52" s="319">
        <v>432492</v>
      </c>
      <c r="Z52" s="319"/>
    </row>
    <row r="53" spans="1:214" x14ac:dyDescent="0.2">
      <c r="A53" s="68" t="s">
        <v>32</v>
      </c>
      <c r="B53" s="70"/>
      <c r="C53" s="121">
        <v>394964</v>
      </c>
      <c r="D53" s="144">
        <v>415342</v>
      </c>
      <c r="E53" s="144">
        <v>436419</v>
      </c>
      <c r="F53" s="144">
        <v>427064</v>
      </c>
      <c r="G53" s="144">
        <v>450676</v>
      </c>
      <c r="H53" s="144">
        <v>465138</v>
      </c>
      <c r="I53" s="144">
        <v>480387</v>
      </c>
      <c r="J53" s="144">
        <v>484244</v>
      </c>
      <c r="K53" s="144">
        <v>498939</v>
      </c>
      <c r="L53" s="144">
        <v>511503</v>
      </c>
      <c r="M53" s="144">
        <v>530547</v>
      </c>
      <c r="N53" s="144">
        <v>551903</v>
      </c>
      <c r="O53" s="319">
        <v>574314</v>
      </c>
      <c r="P53" s="319">
        <v>582743</v>
      </c>
      <c r="Q53" s="319">
        <v>609161</v>
      </c>
      <c r="R53" s="319">
        <v>641379</v>
      </c>
      <c r="S53" s="319">
        <v>673310</v>
      </c>
      <c r="T53" s="319">
        <v>701331</v>
      </c>
      <c r="U53" s="319">
        <v>727838</v>
      </c>
      <c r="V53" s="319">
        <v>756137</v>
      </c>
      <c r="W53" s="319">
        <v>792315</v>
      </c>
      <c r="X53" s="319">
        <v>828161</v>
      </c>
      <c r="Y53" s="319">
        <v>867256</v>
      </c>
      <c r="Z53" s="319"/>
    </row>
    <row r="54" spans="1:214" x14ac:dyDescent="0.2">
      <c r="A54" s="68" t="s">
        <v>126</v>
      </c>
      <c r="B54" s="70"/>
      <c r="C54" s="121">
        <v>-57013</v>
      </c>
      <c r="D54" s="144">
        <v>-55451</v>
      </c>
      <c r="E54" s="144">
        <v>-59290</v>
      </c>
      <c r="F54" s="144">
        <v>-45710</v>
      </c>
      <c r="G54" s="144">
        <v>-59670</v>
      </c>
      <c r="H54" s="144">
        <v>-87621</v>
      </c>
      <c r="I54" s="144">
        <v>-114330</v>
      </c>
      <c r="J54" s="144">
        <v>-83467</v>
      </c>
      <c r="K54" s="144">
        <v>-77212</v>
      </c>
      <c r="L54" s="144">
        <v>-74358</v>
      </c>
      <c r="M54" s="144">
        <v>-86153</v>
      </c>
      <c r="N54" s="144">
        <v>-84892</v>
      </c>
      <c r="O54" s="319">
        <v>-113104</v>
      </c>
      <c r="P54" s="319">
        <v>-104274</v>
      </c>
      <c r="Q54" s="319">
        <v>-85217</v>
      </c>
      <c r="R54" s="319">
        <v>-74984</v>
      </c>
      <c r="S54" s="319">
        <v>-78753</v>
      </c>
      <c r="T54" s="319">
        <v>-86745</v>
      </c>
      <c r="U54" s="319">
        <v>-92257</v>
      </c>
      <c r="V54" s="319">
        <v>-89474</v>
      </c>
      <c r="W54" s="319">
        <v>-98306</v>
      </c>
      <c r="X54" s="319">
        <v>-133374</v>
      </c>
      <c r="Y54" s="319">
        <v>-154203</v>
      </c>
      <c r="Z54" s="319"/>
    </row>
    <row r="55" spans="1:214" x14ac:dyDescent="0.2">
      <c r="A55" s="20" t="s">
        <v>184</v>
      </c>
      <c r="C55" s="121">
        <v>-72275</v>
      </c>
      <c r="D55" s="144">
        <v>-83694</v>
      </c>
      <c r="E55" s="144">
        <v>-92698</v>
      </c>
      <c r="F55" s="144">
        <v>-103816</v>
      </c>
      <c r="G55" s="144">
        <v>-117320</v>
      </c>
      <c r="H55" s="144">
        <v>-126952</v>
      </c>
      <c r="I55" s="144">
        <v>-136609</v>
      </c>
      <c r="J55" s="144">
        <v>-146925</v>
      </c>
      <c r="K55" s="144">
        <v>-162333</v>
      </c>
      <c r="L55" s="144">
        <v>-174463</v>
      </c>
      <c r="M55" s="144">
        <v>-182809</v>
      </c>
      <c r="N55" s="144">
        <v>-188289</v>
      </c>
      <c r="O55" s="319">
        <v>-202284</v>
      </c>
      <c r="P55" s="319">
        <v>-202284</v>
      </c>
      <c r="Q55" s="319">
        <v>-227190</v>
      </c>
      <c r="R55" s="319">
        <v>-268238</v>
      </c>
      <c r="S55" s="319">
        <v>-297253</v>
      </c>
      <c r="T55" s="319">
        <v>-325662</v>
      </c>
      <c r="U55" s="319">
        <v>-336552</v>
      </c>
      <c r="V55" s="319">
        <v>-369289</v>
      </c>
      <c r="W55" s="319">
        <v>-400674</v>
      </c>
      <c r="X55" s="319">
        <v>-429480</v>
      </c>
      <c r="Y55" s="319">
        <v>-441001</v>
      </c>
      <c r="Z55" s="319"/>
    </row>
    <row r="56" spans="1:214" x14ac:dyDescent="0.2">
      <c r="A56" s="118" t="s">
        <v>117</v>
      </c>
      <c r="B56" s="44"/>
      <c r="C56" s="117">
        <f t="shared" ref="C56:Q56" si="14">SUM(C48:C55)</f>
        <v>562504</v>
      </c>
      <c r="D56" s="117">
        <f t="shared" si="14"/>
        <v>579719</v>
      </c>
      <c r="E56" s="117">
        <f t="shared" si="14"/>
        <v>596159</v>
      </c>
      <c r="F56" s="117">
        <f t="shared" si="14"/>
        <v>599821</v>
      </c>
      <c r="G56" s="117">
        <f t="shared" si="14"/>
        <v>601474</v>
      </c>
      <c r="H56" s="117">
        <f t="shared" si="14"/>
        <v>585246</v>
      </c>
      <c r="I56" s="117">
        <f t="shared" si="14"/>
        <v>574206</v>
      </c>
      <c r="J56" s="117">
        <f t="shared" si="14"/>
        <v>618069</v>
      </c>
      <c r="K56" s="117">
        <f t="shared" si="14"/>
        <v>630576</v>
      </c>
      <c r="L56" s="117">
        <f t="shared" si="14"/>
        <v>641353</v>
      </c>
      <c r="M56" s="117">
        <f t="shared" si="14"/>
        <v>647683</v>
      </c>
      <c r="N56" s="117">
        <f t="shared" si="14"/>
        <v>670001</v>
      </c>
      <c r="O56" s="117">
        <f t="shared" si="14"/>
        <v>655904</v>
      </c>
      <c r="P56" s="117">
        <f t="shared" si="14"/>
        <v>680928</v>
      </c>
      <c r="Q56" s="117">
        <f t="shared" si="14"/>
        <v>709928</v>
      </c>
      <c r="R56" s="117">
        <f>ROUND(SUM(R48:R55),0)</f>
        <v>719172</v>
      </c>
      <c r="S56" s="117">
        <f t="shared" ref="S56:Y56" si="15">SUM(S48:S55)</f>
        <v>726225</v>
      </c>
      <c r="T56" s="117">
        <f t="shared" si="15"/>
        <v>728014</v>
      </c>
      <c r="U56" s="117">
        <f t="shared" si="15"/>
        <v>684985</v>
      </c>
      <c r="V56" s="117">
        <f t="shared" si="15"/>
        <v>693156</v>
      </c>
      <c r="W56" s="117">
        <f t="shared" si="15"/>
        <v>700341</v>
      </c>
      <c r="X56" s="117">
        <f t="shared" si="15"/>
        <v>685653</v>
      </c>
      <c r="Y56" s="117">
        <f t="shared" si="15"/>
        <v>704584</v>
      </c>
      <c r="Z56" s="98"/>
    </row>
    <row r="57" spans="1:214" x14ac:dyDescent="0.2">
      <c r="A57" s="120" t="s">
        <v>133</v>
      </c>
      <c r="B57" s="1"/>
      <c r="C57" s="2">
        <v>205</v>
      </c>
      <c r="D57" s="144">
        <v>203</v>
      </c>
      <c r="E57" s="2">
        <v>207</v>
      </c>
      <c r="F57" s="2">
        <v>224</v>
      </c>
      <c r="G57" s="2">
        <v>231</v>
      </c>
      <c r="H57" s="2">
        <v>233</v>
      </c>
      <c r="I57" s="144">
        <v>242</v>
      </c>
      <c r="J57" s="144">
        <v>250</v>
      </c>
      <c r="K57" s="144">
        <v>259</v>
      </c>
      <c r="L57" s="144">
        <v>0</v>
      </c>
      <c r="M57" s="144">
        <v>0</v>
      </c>
      <c r="N57" s="144">
        <v>0</v>
      </c>
      <c r="O57" s="323">
        <v>0</v>
      </c>
      <c r="P57" s="323">
        <v>0</v>
      </c>
      <c r="Q57" s="323">
        <v>0</v>
      </c>
      <c r="R57" s="323">
        <v>0</v>
      </c>
      <c r="S57" s="323">
        <v>0</v>
      </c>
      <c r="T57" s="323">
        <v>0</v>
      </c>
      <c r="U57" s="323">
        <v>0</v>
      </c>
      <c r="V57" s="323">
        <v>0</v>
      </c>
      <c r="W57" s="319">
        <v>0</v>
      </c>
      <c r="X57" s="319">
        <v>0</v>
      </c>
      <c r="Y57" s="319">
        <v>0</v>
      </c>
      <c r="Z57" s="319"/>
    </row>
    <row r="58" spans="1:214" x14ac:dyDescent="0.2">
      <c r="A58" s="118" t="s">
        <v>118</v>
      </c>
      <c r="B58" s="44"/>
      <c r="C58" s="117">
        <f t="shared" ref="C58:R58" si="16">SUM(C56:C57)</f>
        <v>562709</v>
      </c>
      <c r="D58" s="117">
        <f t="shared" si="16"/>
        <v>579922</v>
      </c>
      <c r="E58" s="117">
        <f t="shared" si="16"/>
        <v>596366</v>
      </c>
      <c r="F58" s="117">
        <f t="shared" si="16"/>
        <v>600045</v>
      </c>
      <c r="G58" s="117">
        <f t="shared" si="16"/>
        <v>601705</v>
      </c>
      <c r="H58" s="117">
        <f t="shared" si="16"/>
        <v>585479</v>
      </c>
      <c r="I58" s="117">
        <f t="shared" si="16"/>
        <v>574448</v>
      </c>
      <c r="J58" s="117">
        <f t="shared" si="16"/>
        <v>618319</v>
      </c>
      <c r="K58" s="117">
        <f t="shared" si="16"/>
        <v>630835</v>
      </c>
      <c r="L58" s="117">
        <f t="shared" si="16"/>
        <v>641353</v>
      </c>
      <c r="M58" s="117">
        <f t="shared" si="16"/>
        <v>647683</v>
      </c>
      <c r="N58" s="117">
        <f t="shared" si="16"/>
        <v>670001</v>
      </c>
      <c r="O58" s="117">
        <f t="shared" si="16"/>
        <v>655904</v>
      </c>
      <c r="P58" s="117">
        <f t="shared" si="16"/>
        <v>680928</v>
      </c>
      <c r="Q58" s="117">
        <f t="shared" si="16"/>
        <v>709928</v>
      </c>
      <c r="R58" s="117">
        <f t="shared" si="16"/>
        <v>719172</v>
      </c>
      <c r="S58" s="117">
        <f t="shared" ref="S58:T58" si="17">SUM(S56:S57)</f>
        <v>726225</v>
      </c>
      <c r="T58" s="117">
        <f t="shared" si="17"/>
        <v>728014</v>
      </c>
      <c r="U58" s="117">
        <f t="shared" ref="U58:X58" si="18">SUM(U56:U57)</f>
        <v>684985</v>
      </c>
      <c r="V58" s="117">
        <f t="shared" si="18"/>
        <v>693156</v>
      </c>
      <c r="W58" s="117">
        <f t="shared" si="18"/>
        <v>700341</v>
      </c>
      <c r="X58" s="117">
        <f t="shared" si="18"/>
        <v>685653</v>
      </c>
      <c r="Y58" s="117">
        <f t="shared" ref="Y58" si="19">SUM(Y56:Y57)</f>
        <v>704584</v>
      </c>
      <c r="Z58" s="98"/>
    </row>
    <row r="59" spans="1:214" x14ac:dyDescent="0.2">
      <c r="A59" s="22" t="s">
        <v>20</v>
      </c>
      <c r="D59" s="144"/>
      <c r="Z59" s="98"/>
    </row>
    <row r="60" spans="1:214" s="48" customFormat="1" x14ac:dyDescent="0.2">
      <c r="A60" s="46" t="s">
        <v>105</v>
      </c>
      <c r="B60" s="47"/>
      <c r="C60" s="115">
        <f t="shared" ref="C60:Q60" si="20">C58+C46</f>
        <v>726693</v>
      </c>
      <c r="D60" s="115">
        <f t="shared" si="20"/>
        <v>747431</v>
      </c>
      <c r="E60" s="115">
        <f t="shared" si="20"/>
        <v>769004</v>
      </c>
      <c r="F60" s="115">
        <f t="shared" si="20"/>
        <v>825470</v>
      </c>
      <c r="G60" s="115">
        <f t="shared" si="20"/>
        <v>798270</v>
      </c>
      <c r="H60" s="115">
        <f t="shared" si="20"/>
        <v>790263</v>
      </c>
      <c r="I60" s="115">
        <f t="shared" si="20"/>
        <v>1045137</v>
      </c>
      <c r="J60" s="115">
        <f t="shared" si="20"/>
        <v>1061936</v>
      </c>
      <c r="K60" s="115">
        <f t="shared" si="20"/>
        <v>1182582</v>
      </c>
      <c r="L60" s="115">
        <f t="shared" si="20"/>
        <v>1137467</v>
      </c>
      <c r="M60" s="115">
        <f t="shared" si="20"/>
        <v>1145978</v>
      </c>
      <c r="N60" s="115">
        <f t="shared" si="20"/>
        <v>1183088</v>
      </c>
      <c r="O60" s="115">
        <f t="shared" si="20"/>
        <v>1267259</v>
      </c>
      <c r="P60" s="115">
        <f t="shared" si="20"/>
        <v>1193613</v>
      </c>
      <c r="Q60" s="115">
        <f t="shared" si="20"/>
        <v>1219481</v>
      </c>
      <c r="R60" s="115">
        <f>ROUND(R58+R46,0)</f>
        <v>1247857</v>
      </c>
      <c r="S60" s="115">
        <f t="shared" ref="S60:Y60" si="21">S58+S46</f>
        <v>1226366</v>
      </c>
      <c r="T60" s="115">
        <f t="shared" si="21"/>
        <v>1169346</v>
      </c>
      <c r="U60" s="115">
        <f t="shared" si="21"/>
        <v>1168070</v>
      </c>
      <c r="V60" s="115">
        <f t="shared" si="21"/>
        <v>1282904</v>
      </c>
      <c r="W60" s="115">
        <f t="shared" si="21"/>
        <v>1274549</v>
      </c>
      <c r="X60" s="115">
        <f t="shared" si="21"/>
        <v>1290934</v>
      </c>
      <c r="Y60" s="115">
        <f t="shared" si="21"/>
        <v>1318728</v>
      </c>
      <c r="Z60" s="98"/>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row>
    <row r="61" spans="1:214" hidden="1" x14ac:dyDescent="0.2"/>
    <row r="62" spans="1:214" hidden="1" x14ac:dyDescent="0.2"/>
    <row r="63" spans="1:214" hidden="1" x14ac:dyDescent="0.2"/>
    <row r="64" spans="1:214" hidden="1" x14ac:dyDescent="0.2"/>
    <row r="65" spans="1:25" x14ac:dyDescent="0.2">
      <c r="C65" s="98"/>
    </row>
    <row r="66" spans="1:25" x14ac:dyDescent="0.2">
      <c r="C66" s="197"/>
      <c r="D66" s="197"/>
      <c r="E66" s="197"/>
      <c r="F66" s="197"/>
      <c r="G66" s="197"/>
      <c r="H66" s="197"/>
      <c r="I66" s="144"/>
      <c r="J66" s="144"/>
      <c r="K66" s="144"/>
      <c r="L66" s="144"/>
      <c r="M66" s="144"/>
      <c r="N66" s="144"/>
      <c r="O66" s="144"/>
      <c r="P66" s="144"/>
      <c r="Q66" s="144"/>
      <c r="R66" s="144"/>
      <c r="S66" s="144"/>
      <c r="T66" s="144"/>
      <c r="U66" s="144"/>
      <c r="V66" s="144"/>
      <c r="W66" s="144"/>
      <c r="X66" s="144"/>
      <c r="Y66" s="144"/>
    </row>
    <row r="68" spans="1:25" x14ac:dyDescent="0.2">
      <c r="A68" s="2"/>
    </row>
    <row r="69" spans="1:25" x14ac:dyDescent="0.2">
      <c r="A69" s="2"/>
    </row>
    <row r="70" spans="1:25" x14ac:dyDescent="0.2">
      <c r="A70" s="2"/>
    </row>
    <row r="71" spans="1:25" x14ac:dyDescent="0.2">
      <c r="A71" s="2"/>
    </row>
  </sheetData>
  <phoneticPr fontId="16" type="noConversion"/>
  <pageMargins left="0.7" right="0.7" top="0.33" bottom="0.38" header="0.3" footer="0.3"/>
  <pageSetup paperSize="9" scale="6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outlinePr showOutlineSymbols="0"/>
    <pageSetUpPr fitToPage="1"/>
  </sheetPr>
  <dimension ref="A1:GX101"/>
  <sheetViews>
    <sheetView showGridLines="0" showOutlineSymbols="0" view="pageBreakPreview" zoomScale="90" zoomScaleNormal="90" zoomScaleSheetLayoutView="90" workbookViewId="0">
      <pane xSplit="1" ySplit="5" topLeftCell="X78" activePane="bottomRight" state="frozen"/>
      <selection activeCell="I106" sqref="I106"/>
      <selection pane="topRight" activeCell="I106" sqref="I106"/>
      <selection pane="bottomLeft" activeCell="I106" sqref="I106"/>
      <selection pane="bottomRight" activeCell="AF99" sqref="AF99"/>
    </sheetView>
  </sheetViews>
  <sheetFormatPr defaultColWidth="9.140625" defaultRowHeight="12.75" outlineLevelCol="5" x14ac:dyDescent="0.2"/>
  <cols>
    <col min="1" max="1" width="75.7109375" style="2" customWidth="1"/>
    <col min="2" max="2" width="13.42578125" style="92" hidden="1" customWidth="1" outlineLevel="1"/>
    <col min="3" max="5" width="10.7109375" style="55" hidden="1" customWidth="1" outlineLevel="1"/>
    <col min="6" max="6" width="13" style="184" hidden="1" customWidth="1" collapsed="1"/>
    <col min="7" max="10" width="13" style="184" hidden="1" customWidth="1" outlineLevel="1"/>
    <col min="11" max="11" width="10.7109375" style="92" hidden="1" customWidth="1" collapsed="1"/>
    <col min="12" max="12" width="10.7109375" style="92" hidden="1" customWidth="1" outlineLevel="1"/>
    <col min="13" max="15" width="11.42578125" style="92" hidden="1" customWidth="1" outlineLevel="1"/>
    <col min="16" max="16" width="11" style="92" customWidth="1" collapsed="1"/>
    <col min="17" max="17" width="11" style="97" hidden="1" customWidth="1"/>
    <col min="18" max="21" width="11" style="97" customWidth="1" outlineLevel="1"/>
    <col min="22" max="28" width="11" style="97" customWidth="1"/>
    <col min="29" max="29" width="10" style="55" bestFit="1" customWidth="1"/>
    <col min="30" max="30" width="11.7109375" style="55" bestFit="1" customWidth="1"/>
    <col min="31" max="31" width="9.140625" style="55" customWidth="1" outlineLevel="3"/>
    <col min="32" max="32" width="9.140625" style="55" customWidth="1" outlineLevel="5"/>
    <col min="33" max="33" width="11.7109375" style="55" customWidth="1" outlineLevel="3"/>
    <col min="34" max="34" width="9.140625" style="55"/>
    <col min="35" max="16384" width="9.140625" style="2"/>
  </cols>
  <sheetData>
    <row r="1" spans="1:63" x14ac:dyDescent="0.2">
      <c r="A1" s="11"/>
      <c r="AE1" s="386"/>
    </row>
    <row r="2" spans="1:63" ht="18.75" customHeight="1" x14ac:dyDescent="0.2">
      <c r="A2" s="12"/>
    </row>
    <row r="3" spans="1:63" ht="28.5" customHeight="1" x14ac:dyDescent="0.2">
      <c r="B3" s="368"/>
      <c r="G3" s="369"/>
    </row>
    <row r="4" spans="1:63" x14ac:dyDescent="0.2">
      <c r="A4" s="9" t="s">
        <v>44</v>
      </c>
      <c r="B4" s="205" t="s">
        <v>169</v>
      </c>
      <c r="C4" s="205" t="s">
        <v>169</v>
      </c>
      <c r="D4" s="205" t="s">
        <v>169</v>
      </c>
      <c r="E4" s="205" t="s">
        <v>169</v>
      </c>
      <c r="F4" s="205" t="s">
        <v>169</v>
      </c>
      <c r="G4" s="3">
        <v>2018</v>
      </c>
      <c r="H4" s="3">
        <v>2018</v>
      </c>
      <c r="I4" s="3">
        <v>2018</v>
      </c>
      <c r="J4" s="3">
        <v>2018</v>
      </c>
      <c r="K4" s="153">
        <v>2018</v>
      </c>
      <c r="L4" s="153">
        <v>2019</v>
      </c>
      <c r="M4" s="153">
        <v>2019</v>
      </c>
      <c r="N4" s="153">
        <v>2019</v>
      </c>
      <c r="O4" s="153">
        <v>2019</v>
      </c>
      <c r="P4" s="153">
        <v>2019</v>
      </c>
      <c r="R4" s="325">
        <v>2020</v>
      </c>
      <c r="S4" s="325">
        <v>2020</v>
      </c>
      <c r="T4" s="325">
        <v>2020</v>
      </c>
      <c r="U4" s="325">
        <v>2020</v>
      </c>
      <c r="V4" s="325">
        <v>2020</v>
      </c>
      <c r="W4" s="325">
        <v>2021</v>
      </c>
      <c r="X4" s="325">
        <v>2021</v>
      </c>
      <c r="Y4" s="325">
        <v>2021</v>
      </c>
      <c r="Z4" s="325">
        <v>2021</v>
      </c>
      <c r="AA4" s="325">
        <v>2021</v>
      </c>
      <c r="AB4" s="325">
        <v>2022</v>
      </c>
      <c r="AC4" s="325">
        <v>2022</v>
      </c>
      <c r="AD4" s="325">
        <v>2022</v>
      </c>
    </row>
    <row r="5" spans="1:63" ht="14.25" x14ac:dyDescent="0.2">
      <c r="A5" s="25" t="s">
        <v>64</v>
      </c>
      <c r="B5" s="261" t="s">
        <v>187</v>
      </c>
      <c r="C5" s="261" t="s">
        <v>186</v>
      </c>
      <c r="D5" s="261" t="s">
        <v>188</v>
      </c>
      <c r="E5" s="261" t="s">
        <v>189</v>
      </c>
      <c r="F5" s="261" t="s">
        <v>190</v>
      </c>
      <c r="G5" s="6" t="s">
        <v>156</v>
      </c>
      <c r="H5" s="6" t="s">
        <v>157</v>
      </c>
      <c r="I5" s="6" t="s">
        <v>158</v>
      </c>
      <c r="J5" s="6" t="s">
        <v>161</v>
      </c>
      <c r="K5" s="281" t="s">
        <v>12</v>
      </c>
      <c r="L5" s="6" t="s">
        <v>156</v>
      </c>
      <c r="M5" s="6" t="s">
        <v>157</v>
      </c>
      <c r="N5" s="281" t="s">
        <v>158</v>
      </c>
      <c r="O5" s="281" t="s">
        <v>161</v>
      </c>
      <c r="P5" s="281" t="s">
        <v>12</v>
      </c>
      <c r="R5" s="81" t="s">
        <v>156</v>
      </c>
      <c r="S5" s="81" t="s">
        <v>157</v>
      </c>
      <c r="T5" s="81" t="s">
        <v>158</v>
      </c>
      <c r="U5" s="81" t="s">
        <v>161</v>
      </c>
      <c r="V5" s="81" t="s">
        <v>12</v>
      </c>
      <c r="W5" s="81" t="s">
        <v>156</v>
      </c>
      <c r="X5" s="81" t="s">
        <v>157</v>
      </c>
      <c r="Y5" s="81" t="s">
        <v>158</v>
      </c>
      <c r="Z5" s="81" t="s">
        <v>161</v>
      </c>
      <c r="AA5" s="81" t="s">
        <v>12</v>
      </c>
      <c r="AB5" s="81" t="s">
        <v>8</v>
      </c>
      <c r="AC5" s="81" t="s">
        <v>9</v>
      </c>
      <c r="AD5" s="81" t="s">
        <v>10</v>
      </c>
    </row>
    <row r="6" spans="1:63" s="8" customFormat="1" x14ac:dyDescent="0.2">
      <c r="B6" s="262"/>
      <c r="C6" s="262"/>
      <c r="D6" s="262"/>
      <c r="E6" s="262"/>
      <c r="F6" s="262"/>
      <c r="G6" s="154"/>
      <c r="H6" s="154"/>
      <c r="I6" s="154"/>
      <c r="J6" s="154"/>
      <c r="K6" s="151"/>
      <c r="L6" s="151"/>
      <c r="M6" s="151"/>
      <c r="N6" s="151"/>
      <c r="O6" s="151"/>
      <c r="P6" s="151"/>
      <c r="R6" s="326"/>
      <c r="S6" s="326"/>
      <c r="T6" s="326"/>
      <c r="U6" s="326"/>
      <c r="V6" s="326"/>
      <c r="W6" s="326"/>
      <c r="X6" s="326"/>
      <c r="Y6" s="326"/>
      <c r="Z6" s="326"/>
      <c r="AA6" s="326"/>
      <c r="AB6" s="326"/>
      <c r="AC6" s="1"/>
      <c r="AD6" s="1"/>
      <c r="AE6" s="1"/>
      <c r="AF6" s="1"/>
      <c r="AG6" s="1"/>
      <c r="AH6" s="1"/>
    </row>
    <row r="7" spans="1:63" x14ac:dyDescent="0.2">
      <c r="A7" s="13" t="s">
        <v>106</v>
      </c>
      <c r="B7" s="263"/>
      <c r="C7" s="263"/>
      <c r="D7" s="263"/>
      <c r="E7" s="263"/>
      <c r="F7" s="263"/>
      <c r="AF7" s="100"/>
    </row>
    <row r="8" spans="1:63" x14ac:dyDescent="0.2">
      <c r="A8" s="14" t="s">
        <v>33</v>
      </c>
      <c r="B8" s="264">
        <v>16788</v>
      </c>
      <c r="C8" s="264">
        <v>20378.064520000004</v>
      </c>
      <c r="D8" s="264">
        <v>21076.999999999996</v>
      </c>
      <c r="E8" s="264">
        <v>-9355.0645199999999</v>
      </c>
      <c r="F8" s="264">
        <v>48888</v>
      </c>
      <c r="G8" s="185">
        <v>23158</v>
      </c>
      <c r="H8" s="185">
        <v>14462</v>
      </c>
      <c r="I8" s="185">
        <v>15249</v>
      </c>
      <c r="J8" s="185">
        <f>+K8-SUM(G8:I8)</f>
        <v>3857</v>
      </c>
      <c r="K8" s="283">
        <v>56726</v>
      </c>
      <c r="L8" s="283">
        <v>14695</v>
      </c>
      <c r="M8" s="327">
        <v>12564</v>
      </c>
      <c r="N8" s="283">
        <v>19044</v>
      </c>
      <c r="O8" s="185">
        <f>+P8-SUM(L8:N8)</f>
        <v>21356</v>
      </c>
      <c r="P8" s="283">
        <v>67659</v>
      </c>
      <c r="Q8" s="318">
        <f>SUM(L8:O8)-P8</f>
        <v>0</v>
      </c>
      <c r="R8" s="327">
        <v>22411</v>
      </c>
      <c r="S8" s="327">
        <v>8429</v>
      </c>
      <c r="T8" s="327">
        <v>26418</v>
      </c>
      <c r="U8" s="327">
        <f>+V8-SUM(R8:T8)</f>
        <v>32218</v>
      </c>
      <c r="V8" s="327">
        <v>89476</v>
      </c>
      <c r="W8" s="327">
        <v>31931</v>
      </c>
      <c r="X8" s="327">
        <v>28021</v>
      </c>
      <c r="Y8" s="327">
        <v>26507</v>
      </c>
      <c r="Z8" s="327">
        <f>+AA8-SUM(W8:Y8)</f>
        <v>28299</v>
      </c>
      <c r="AA8" s="327">
        <v>114758</v>
      </c>
      <c r="AB8" s="327">
        <v>36178</v>
      </c>
      <c r="AC8" s="327">
        <v>35846</v>
      </c>
      <c r="AD8" s="327">
        <v>39095</v>
      </c>
      <c r="AF8" s="100"/>
      <c r="AG8" s="404"/>
    </row>
    <row r="9" spans="1:63" x14ac:dyDescent="0.2">
      <c r="A9" s="15" t="s">
        <v>50</v>
      </c>
      <c r="B9" s="265"/>
      <c r="C9" s="265"/>
      <c r="D9" s="265"/>
      <c r="E9" s="265"/>
      <c r="F9" s="265"/>
      <c r="K9" s="280"/>
      <c r="L9" s="280"/>
      <c r="M9" s="328"/>
      <c r="N9" s="280"/>
      <c r="O9" s="280"/>
      <c r="P9" s="280"/>
      <c r="Q9" s="55"/>
      <c r="R9" s="328"/>
      <c r="S9" s="328"/>
      <c r="T9" s="328"/>
      <c r="U9" s="328"/>
      <c r="V9" s="328"/>
      <c r="W9" s="328"/>
      <c r="X9" s="328"/>
      <c r="Y9" s="328"/>
      <c r="Z9" s="328"/>
      <c r="AA9" s="328"/>
      <c r="AB9" s="328"/>
      <c r="AC9" s="328"/>
      <c r="AD9" s="328"/>
      <c r="AF9" s="100"/>
    </row>
    <row r="10" spans="1:63" x14ac:dyDescent="0.2">
      <c r="A10" s="36" t="s">
        <v>51</v>
      </c>
      <c r="B10" s="265"/>
      <c r="C10" s="265"/>
      <c r="D10" s="265"/>
      <c r="E10" s="265"/>
      <c r="F10" s="265"/>
      <c r="K10" s="280"/>
      <c r="L10" s="280"/>
      <c r="M10" s="328"/>
      <c r="N10" s="280"/>
      <c r="O10" s="280"/>
      <c r="P10" s="280"/>
      <c r="Q10" s="55"/>
      <c r="R10" s="328"/>
      <c r="S10" s="328"/>
      <c r="T10" s="328"/>
      <c r="U10" s="328"/>
      <c r="V10" s="328"/>
      <c r="W10" s="328"/>
      <c r="X10" s="328"/>
      <c r="Y10" s="328"/>
      <c r="Z10" s="328"/>
      <c r="AA10" s="328"/>
      <c r="AB10" s="328"/>
      <c r="AC10" s="328"/>
      <c r="AD10" s="328"/>
      <c r="AF10" s="318"/>
    </row>
    <row r="11" spans="1:63" x14ac:dyDescent="0.2">
      <c r="A11" s="36" t="s">
        <v>5</v>
      </c>
      <c r="B11" s="266">
        <v>9426</v>
      </c>
      <c r="C11" s="266">
        <v>9637</v>
      </c>
      <c r="D11" s="266">
        <v>9708</v>
      </c>
      <c r="E11" s="266">
        <v>10213</v>
      </c>
      <c r="F11" s="266">
        <v>38984</v>
      </c>
      <c r="G11" s="243">
        <v>10655</v>
      </c>
      <c r="H11" s="243">
        <v>10625</v>
      </c>
      <c r="I11" s="243">
        <v>14065</v>
      </c>
      <c r="J11" s="243">
        <f t="shared" ref="J11:J28" si="0">+K11-SUM(G11:I11)</f>
        <v>13374</v>
      </c>
      <c r="K11" s="282">
        <v>48719</v>
      </c>
      <c r="L11" s="282">
        <v>13724</v>
      </c>
      <c r="M11" s="317">
        <v>12808</v>
      </c>
      <c r="N11" s="282">
        <v>13101</v>
      </c>
      <c r="O11" s="282">
        <f t="shared" ref="O11:O26" si="1">+P11-SUM(L11:N11)</f>
        <v>12560</v>
      </c>
      <c r="P11" s="282">
        <v>52193</v>
      </c>
      <c r="Q11" s="318">
        <f t="shared" ref="Q11:Q29" si="2">SUM(L11:O11)-P11</f>
        <v>0</v>
      </c>
      <c r="R11" s="317">
        <v>12472</v>
      </c>
      <c r="S11" s="317">
        <v>12334</v>
      </c>
      <c r="T11" s="317">
        <v>12443</v>
      </c>
      <c r="U11" s="317">
        <f t="shared" ref="U11:U29" si="3">+V11-SUM(R11:T11)</f>
        <v>13264</v>
      </c>
      <c r="V11" s="317">
        <v>50513</v>
      </c>
      <c r="W11" s="317">
        <v>12266</v>
      </c>
      <c r="X11" s="317">
        <v>12468</v>
      </c>
      <c r="Y11" s="317">
        <v>12425</v>
      </c>
      <c r="Z11" s="317">
        <f t="shared" ref="Z11:Z12" si="4">+AA11-SUM(W11:Y11)</f>
        <v>12497</v>
      </c>
      <c r="AA11" s="317">
        <v>49656</v>
      </c>
      <c r="AB11" s="317">
        <v>13669</v>
      </c>
      <c r="AC11" s="317">
        <v>14070</v>
      </c>
      <c r="AD11" s="317">
        <v>14254</v>
      </c>
      <c r="AF11" s="318"/>
      <c r="AG11" s="399"/>
    </row>
    <row r="12" spans="1:63" s="24" customFormat="1" hidden="1" x14ac:dyDescent="0.2">
      <c r="A12" s="36" t="s">
        <v>34</v>
      </c>
      <c r="B12" s="265"/>
      <c r="C12" s="265"/>
      <c r="D12" s="265"/>
      <c r="E12" s="265"/>
      <c r="F12" s="265"/>
      <c r="G12" s="102"/>
      <c r="H12" s="277"/>
      <c r="I12" s="277"/>
      <c r="J12" s="277"/>
      <c r="K12" s="28"/>
      <c r="L12" s="28"/>
      <c r="M12" s="30"/>
      <c r="N12" s="28"/>
      <c r="O12" s="28"/>
      <c r="P12" s="30"/>
      <c r="Q12" s="318">
        <f t="shared" si="2"/>
        <v>0</v>
      </c>
      <c r="R12" s="30">
        <v>0</v>
      </c>
      <c r="S12" s="30">
        <v>0</v>
      </c>
      <c r="T12" s="30">
        <v>0</v>
      </c>
      <c r="U12" s="30">
        <f t="shared" si="3"/>
        <v>0</v>
      </c>
      <c r="V12" s="30">
        <v>0</v>
      </c>
      <c r="W12" s="30">
        <v>0</v>
      </c>
      <c r="X12" s="30">
        <v>0</v>
      </c>
      <c r="Y12" s="30">
        <v>0</v>
      </c>
      <c r="Z12" s="317">
        <f t="shared" si="4"/>
        <v>0</v>
      </c>
      <c r="AA12" s="30">
        <v>0</v>
      </c>
      <c r="AB12" s="30">
        <v>0</v>
      </c>
      <c r="AC12" s="30">
        <v>0</v>
      </c>
      <c r="AD12" s="30">
        <v>0</v>
      </c>
      <c r="AE12" s="92"/>
      <c r="AF12" s="318"/>
      <c r="AG12" s="92"/>
      <c r="AH12" s="92"/>
      <c r="AQ12" s="2"/>
      <c r="AR12" s="2"/>
      <c r="AS12" s="2"/>
      <c r="AT12" s="2"/>
      <c r="AU12" s="2"/>
      <c r="AV12" s="2"/>
      <c r="AW12" s="2"/>
      <c r="AX12" s="2"/>
      <c r="AY12" s="2"/>
      <c r="AZ12" s="2"/>
      <c r="BA12" s="2"/>
      <c r="BB12" s="2"/>
      <c r="BC12" s="2"/>
      <c r="BD12" s="2"/>
      <c r="BE12" s="2"/>
      <c r="BF12" s="2"/>
      <c r="BG12" s="2"/>
      <c r="BH12" s="2"/>
      <c r="BI12" s="2"/>
      <c r="BJ12" s="2"/>
      <c r="BK12" s="2"/>
    </row>
    <row r="13" spans="1:63" s="24" customFormat="1" x14ac:dyDescent="0.2">
      <c r="A13" s="36" t="s">
        <v>196</v>
      </c>
      <c r="B13" s="265"/>
      <c r="C13" s="265"/>
      <c r="D13" s="265"/>
      <c r="E13" s="265"/>
      <c r="F13" s="265">
        <v>0</v>
      </c>
      <c r="G13" s="277">
        <v>0</v>
      </c>
      <c r="H13" s="277">
        <v>0</v>
      </c>
      <c r="I13" s="277">
        <v>0</v>
      </c>
      <c r="J13" s="277">
        <f t="shared" si="0"/>
        <v>600.47593517868052</v>
      </c>
      <c r="K13" s="28">
        <v>600.47593517868052</v>
      </c>
      <c r="L13" s="28">
        <v>600.47593517868052</v>
      </c>
      <c r="M13" s="30">
        <v>617.52406482131948</v>
      </c>
      <c r="N13" s="28">
        <v>618</v>
      </c>
      <c r="O13" s="28">
        <f t="shared" si="1"/>
        <v>636</v>
      </c>
      <c r="P13" s="30">
        <v>2472</v>
      </c>
      <c r="Q13" s="318">
        <f t="shared" si="2"/>
        <v>0</v>
      </c>
      <c r="R13" s="30">
        <v>635</v>
      </c>
      <c r="S13" s="30">
        <v>654</v>
      </c>
      <c r="T13" s="30">
        <v>654</v>
      </c>
      <c r="U13" s="30">
        <f t="shared" si="3"/>
        <v>673</v>
      </c>
      <c r="V13" s="30">
        <v>2616</v>
      </c>
      <c r="W13" s="30">
        <v>673</v>
      </c>
      <c r="X13" s="30">
        <v>691</v>
      </c>
      <c r="Y13" s="317">
        <v>431</v>
      </c>
      <c r="Z13" s="317">
        <f t="shared" ref="Z13:Z16" si="5">+AA13-SUM(W13:Y13)</f>
        <v>0</v>
      </c>
      <c r="AA13" s="317">
        <v>1795</v>
      </c>
      <c r="AB13" s="317">
        <v>0</v>
      </c>
      <c r="AC13" s="317">
        <v>0</v>
      </c>
      <c r="AD13" s="317">
        <v>0</v>
      </c>
      <c r="AE13" s="92"/>
      <c r="AF13" s="318"/>
      <c r="AG13" s="399"/>
      <c r="AH13" s="92"/>
      <c r="AQ13" s="2"/>
      <c r="AR13" s="2"/>
      <c r="AS13" s="2"/>
      <c r="AT13" s="2"/>
      <c r="AU13" s="2"/>
      <c r="AV13" s="2"/>
      <c r="AW13" s="2"/>
      <c r="AX13" s="2"/>
      <c r="AY13" s="2"/>
      <c r="AZ13" s="2"/>
      <c r="BA13" s="2"/>
      <c r="BB13" s="2"/>
      <c r="BC13" s="2"/>
      <c r="BD13" s="2"/>
      <c r="BE13" s="2"/>
      <c r="BF13" s="2"/>
      <c r="BG13" s="2"/>
      <c r="BH13" s="2"/>
      <c r="BI13" s="2"/>
      <c r="BJ13" s="2"/>
      <c r="BK13" s="2"/>
    </row>
    <row r="14" spans="1:63" s="24" customFormat="1" x14ac:dyDescent="0.2">
      <c r="A14" s="36" t="s">
        <v>107</v>
      </c>
      <c r="B14" s="265">
        <v>5956</v>
      </c>
      <c r="C14" s="265">
        <v>5107</v>
      </c>
      <c r="D14" s="265">
        <v>5708</v>
      </c>
      <c r="E14" s="265">
        <v>6270</v>
      </c>
      <c r="F14" s="265">
        <v>23041</v>
      </c>
      <c r="G14" s="102">
        <v>5074</v>
      </c>
      <c r="H14" s="277">
        <v>6892</v>
      </c>
      <c r="I14" s="277">
        <v>5345</v>
      </c>
      <c r="J14" s="277">
        <f t="shared" si="0"/>
        <v>6590</v>
      </c>
      <c r="K14" s="282">
        <v>23901</v>
      </c>
      <c r="L14" s="282">
        <v>6956</v>
      </c>
      <c r="M14" s="317">
        <v>7155</v>
      </c>
      <c r="N14" s="282">
        <v>7427</v>
      </c>
      <c r="O14" s="282">
        <f t="shared" si="1"/>
        <v>4532</v>
      </c>
      <c r="P14" s="282">
        <v>26070</v>
      </c>
      <c r="Q14" s="318">
        <f t="shared" si="2"/>
        <v>0</v>
      </c>
      <c r="R14" s="317">
        <v>4778</v>
      </c>
      <c r="S14" s="317">
        <v>7726</v>
      </c>
      <c r="T14" s="317">
        <v>8346</v>
      </c>
      <c r="U14" s="317">
        <f t="shared" si="3"/>
        <v>7385</v>
      </c>
      <c r="V14" s="317">
        <v>28235</v>
      </c>
      <c r="W14" s="317">
        <v>7832</v>
      </c>
      <c r="X14" s="317">
        <v>10070</v>
      </c>
      <c r="Y14" s="317">
        <v>10894</v>
      </c>
      <c r="Z14" s="317">
        <f t="shared" si="5"/>
        <v>9825</v>
      </c>
      <c r="AA14" s="317">
        <v>38621</v>
      </c>
      <c r="AB14" s="317">
        <v>11224</v>
      </c>
      <c r="AC14" s="317">
        <v>13340</v>
      </c>
      <c r="AD14" s="317">
        <v>12186</v>
      </c>
      <c r="AE14" s="92"/>
      <c r="AF14" s="318"/>
      <c r="AG14" s="399"/>
      <c r="AH14" s="92"/>
      <c r="AQ14" s="2"/>
      <c r="AR14" s="2"/>
      <c r="AS14" s="2"/>
      <c r="AT14" s="2"/>
      <c r="AU14" s="2"/>
      <c r="AV14" s="2"/>
      <c r="AW14" s="2"/>
      <c r="AX14" s="2"/>
      <c r="AY14" s="2"/>
      <c r="AZ14" s="2"/>
      <c r="BA14" s="2"/>
      <c r="BB14" s="2"/>
      <c r="BC14" s="2"/>
      <c r="BD14" s="2"/>
      <c r="BE14" s="2"/>
      <c r="BF14" s="2"/>
      <c r="BG14" s="2"/>
      <c r="BH14" s="2"/>
      <c r="BI14" s="2"/>
      <c r="BJ14" s="2"/>
      <c r="BK14" s="2"/>
    </row>
    <row r="15" spans="1:63" s="24" customFormat="1" x14ac:dyDescent="0.2">
      <c r="A15" s="36" t="s">
        <v>249</v>
      </c>
      <c r="B15" s="265"/>
      <c r="C15" s="265"/>
      <c r="D15" s="265"/>
      <c r="E15" s="265"/>
      <c r="F15" s="265">
        <v>0</v>
      </c>
      <c r="G15" s="102"/>
      <c r="H15" s="277"/>
      <c r="I15" s="277"/>
      <c r="J15" s="277"/>
      <c r="K15" s="282">
        <v>0</v>
      </c>
      <c r="L15" s="282">
        <v>0</v>
      </c>
      <c r="M15" s="317">
        <v>0</v>
      </c>
      <c r="N15" s="282">
        <v>0</v>
      </c>
      <c r="O15" s="282">
        <v>0</v>
      </c>
      <c r="P15" s="282">
        <v>0</v>
      </c>
      <c r="Q15" s="318">
        <v>0</v>
      </c>
      <c r="R15" s="317">
        <v>0</v>
      </c>
      <c r="S15" s="317">
        <v>0</v>
      </c>
      <c r="T15" s="317">
        <v>0</v>
      </c>
      <c r="U15" s="317">
        <v>0</v>
      </c>
      <c r="V15" s="317">
        <v>0</v>
      </c>
      <c r="W15" s="317">
        <v>0</v>
      </c>
      <c r="X15" s="317">
        <v>0</v>
      </c>
      <c r="Y15" s="317">
        <v>12845</v>
      </c>
      <c r="Z15" s="317">
        <f t="shared" si="5"/>
        <v>0</v>
      </c>
      <c r="AA15" s="317">
        <v>12845</v>
      </c>
      <c r="AB15" s="317">
        <v>0</v>
      </c>
      <c r="AC15" s="317">
        <v>0</v>
      </c>
      <c r="AD15" s="317">
        <v>0</v>
      </c>
      <c r="AE15" s="92"/>
      <c r="AF15" s="318"/>
      <c r="AG15" s="92"/>
      <c r="AH15" s="92"/>
      <c r="AQ15" s="2"/>
      <c r="AR15" s="2"/>
      <c r="AS15" s="2"/>
      <c r="AT15" s="2"/>
      <c r="AU15" s="2"/>
      <c r="AV15" s="2"/>
      <c r="AW15" s="2"/>
      <c r="AX15" s="2"/>
      <c r="AY15" s="2"/>
      <c r="AZ15" s="2"/>
      <c r="BA15" s="2"/>
      <c r="BB15" s="2"/>
      <c r="BC15" s="2"/>
      <c r="BD15" s="2"/>
      <c r="BE15" s="2"/>
      <c r="BF15" s="2"/>
      <c r="BG15" s="2"/>
      <c r="BH15" s="2"/>
      <c r="BI15" s="2"/>
      <c r="BJ15" s="2"/>
      <c r="BK15" s="2"/>
    </row>
    <row r="16" spans="1:63" s="24" customFormat="1" x14ac:dyDescent="0.2">
      <c r="A16" s="36" t="s">
        <v>246</v>
      </c>
      <c r="B16" s="265"/>
      <c r="C16" s="265">
        <v>0</v>
      </c>
      <c r="D16" s="265">
        <v>0</v>
      </c>
      <c r="E16" s="265">
        <v>0</v>
      </c>
      <c r="F16" s="265">
        <v>0</v>
      </c>
      <c r="G16" s="199">
        <v>56</v>
      </c>
      <c r="H16" s="199">
        <v>58</v>
      </c>
      <c r="I16" s="199">
        <v>62</v>
      </c>
      <c r="J16" s="199">
        <f t="shared" si="0"/>
        <v>71</v>
      </c>
      <c r="K16" s="28">
        <v>247</v>
      </c>
      <c r="L16" s="28">
        <v>67</v>
      </c>
      <c r="M16" s="30">
        <v>62</v>
      </c>
      <c r="N16" s="28">
        <v>69</v>
      </c>
      <c r="O16" s="28">
        <f t="shared" si="1"/>
        <v>71</v>
      </c>
      <c r="P16" s="28">
        <v>269</v>
      </c>
      <c r="Q16" s="318">
        <f t="shared" si="2"/>
        <v>0</v>
      </c>
      <c r="R16" s="30">
        <v>55</v>
      </c>
      <c r="S16" s="30">
        <v>66</v>
      </c>
      <c r="T16" s="30">
        <v>72</v>
      </c>
      <c r="U16" s="30">
        <f t="shared" si="3"/>
        <v>34</v>
      </c>
      <c r="V16" s="30">
        <v>227</v>
      </c>
      <c r="W16" s="30">
        <v>36</v>
      </c>
      <c r="X16" s="30">
        <v>-8</v>
      </c>
      <c r="Y16" s="30">
        <v>-28</v>
      </c>
      <c r="Z16" s="30">
        <f t="shared" si="5"/>
        <v>-47</v>
      </c>
      <c r="AA16" s="30">
        <v>-47</v>
      </c>
      <c r="AB16" s="30">
        <v>-114</v>
      </c>
      <c r="AC16" s="30">
        <v>-143</v>
      </c>
      <c r="AD16" s="30">
        <v>-109</v>
      </c>
      <c r="AE16" s="92"/>
      <c r="AF16" s="318"/>
      <c r="AG16" s="399"/>
      <c r="AH16" s="92"/>
      <c r="AQ16" s="2"/>
      <c r="AR16" s="2"/>
      <c r="AS16" s="2"/>
      <c r="AT16" s="2"/>
      <c r="AU16" s="2"/>
      <c r="AV16" s="2"/>
      <c r="AW16" s="2"/>
      <c r="AX16" s="2"/>
      <c r="AY16" s="2"/>
      <c r="AZ16" s="2"/>
      <c r="BA16" s="2"/>
      <c r="BB16" s="2"/>
      <c r="BC16" s="2"/>
      <c r="BD16" s="2"/>
      <c r="BE16" s="2"/>
      <c r="BF16" s="2"/>
      <c r="BG16" s="2"/>
      <c r="BH16" s="2"/>
      <c r="BI16" s="2"/>
      <c r="BJ16" s="2"/>
      <c r="BK16" s="2"/>
    </row>
    <row r="17" spans="1:63" s="24" customFormat="1" hidden="1" x14ac:dyDescent="0.2">
      <c r="A17" s="36" t="s">
        <v>35</v>
      </c>
      <c r="B17" s="265"/>
      <c r="C17" s="265">
        <v>0</v>
      </c>
      <c r="D17" s="265">
        <v>0</v>
      </c>
      <c r="E17" s="265">
        <v>0</v>
      </c>
      <c r="F17" s="265">
        <v>0</v>
      </c>
      <c r="G17" s="199">
        <v>0</v>
      </c>
      <c r="H17" s="199">
        <v>0</v>
      </c>
      <c r="I17" s="199">
        <v>0</v>
      </c>
      <c r="J17" s="199">
        <f t="shared" si="0"/>
        <v>0</v>
      </c>
      <c r="K17" s="199">
        <v>0</v>
      </c>
      <c r="L17" s="199">
        <v>0</v>
      </c>
      <c r="M17" s="199">
        <v>0</v>
      </c>
      <c r="N17" s="199">
        <v>0</v>
      </c>
      <c r="O17" s="199">
        <v>0</v>
      </c>
      <c r="P17" s="199">
        <v>0</v>
      </c>
      <c r="Q17" s="318">
        <f t="shared" si="2"/>
        <v>0</v>
      </c>
      <c r="R17" s="199">
        <v>0</v>
      </c>
      <c r="S17" s="199">
        <v>0</v>
      </c>
      <c r="T17" s="199">
        <v>0</v>
      </c>
      <c r="U17" s="199">
        <v>0</v>
      </c>
      <c r="V17" s="199">
        <v>0</v>
      </c>
      <c r="W17" s="199">
        <v>0</v>
      </c>
      <c r="X17" s="199">
        <v>0</v>
      </c>
      <c r="Y17" s="199">
        <v>0</v>
      </c>
      <c r="Z17" s="199"/>
      <c r="AA17" s="199"/>
      <c r="AB17" s="199"/>
      <c r="AC17" s="199"/>
      <c r="AD17" s="199"/>
      <c r="AE17" s="92"/>
      <c r="AF17" s="318"/>
      <c r="AG17" s="92"/>
      <c r="AH17" s="92"/>
      <c r="AQ17" s="2"/>
      <c r="AR17" s="2"/>
      <c r="AS17" s="2"/>
      <c r="AT17" s="2"/>
      <c r="AU17" s="2"/>
      <c r="AV17" s="2"/>
      <c r="AW17" s="2"/>
      <c r="AX17" s="2"/>
      <c r="AY17" s="2"/>
      <c r="AZ17" s="2"/>
      <c r="BA17" s="2"/>
      <c r="BB17" s="2"/>
      <c r="BC17" s="2"/>
      <c r="BD17" s="2"/>
      <c r="BE17" s="2"/>
      <c r="BF17" s="2"/>
      <c r="BG17" s="2"/>
      <c r="BH17" s="2"/>
      <c r="BI17" s="2"/>
      <c r="BJ17" s="2"/>
      <c r="BK17" s="2"/>
    </row>
    <row r="18" spans="1:63" s="24" customFormat="1" hidden="1" x14ac:dyDescent="0.2">
      <c r="A18" s="36" t="s">
        <v>120</v>
      </c>
      <c r="B18" s="265"/>
      <c r="C18" s="265"/>
      <c r="D18" s="265"/>
      <c r="E18" s="265"/>
      <c r="F18" s="265"/>
      <c r="G18" s="102"/>
      <c r="H18" s="277"/>
      <c r="I18" s="277"/>
      <c r="J18" s="277"/>
      <c r="K18" s="28"/>
      <c r="L18" s="28"/>
      <c r="M18" s="30"/>
      <c r="N18" s="28"/>
      <c r="O18" s="28"/>
      <c r="P18" s="30"/>
      <c r="Q18" s="318">
        <f t="shared" si="2"/>
        <v>0</v>
      </c>
      <c r="R18" s="30">
        <v>0</v>
      </c>
      <c r="S18" s="30">
        <v>0</v>
      </c>
      <c r="T18" s="30">
        <v>0</v>
      </c>
      <c r="U18" s="30">
        <f t="shared" si="3"/>
        <v>0</v>
      </c>
      <c r="V18" s="30">
        <v>0</v>
      </c>
      <c r="W18" s="30">
        <v>0</v>
      </c>
      <c r="X18" s="30">
        <v>0</v>
      </c>
      <c r="Y18" s="30">
        <v>0</v>
      </c>
      <c r="Z18" s="30"/>
      <c r="AA18" s="30"/>
      <c r="AB18" s="30"/>
      <c r="AC18" s="30"/>
      <c r="AD18" s="30"/>
      <c r="AE18" s="92"/>
      <c r="AF18" s="318"/>
      <c r="AG18" s="92"/>
      <c r="AH18" s="92"/>
      <c r="AQ18" s="2"/>
      <c r="AR18" s="2"/>
      <c r="AS18" s="2"/>
      <c r="AT18" s="2"/>
      <c r="AU18" s="2"/>
      <c r="AV18" s="2"/>
      <c r="AW18" s="2"/>
      <c r="AX18" s="2"/>
      <c r="AY18" s="2"/>
      <c r="AZ18" s="2"/>
      <c r="BA18" s="2"/>
      <c r="BB18" s="2"/>
      <c r="BC18" s="2"/>
      <c r="BD18" s="2"/>
      <c r="BE18" s="2"/>
      <c r="BF18" s="2"/>
      <c r="BG18" s="2"/>
      <c r="BH18" s="2"/>
      <c r="BI18" s="2"/>
      <c r="BJ18" s="2"/>
      <c r="BK18" s="2"/>
    </row>
    <row r="19" spans="1:63" s="24" customFormat="1" hidden="1" x14ac:dyDescent="0.2">
      <c r="A19" s="36" t="s">
        <v>136</v>
      </c>
      <c r="B19" s="265"/>
      <c r="C19" s="265">
        <v>0</v>
      </c>
      <c r="D19" s="265">
        <v>0</v>
      </c>
      <c r="E19" s="265">
        <v>0</v>
      </c>
      <c r="F19" s="265">
        <v>0</v>
      </c>
      <c r="G19" s="199">
        <v>0</v>
      </c>
      <c r="H19" s="199">
        <v>0</v>
      </c>
      <c r="I19" s="199">
        <v>0</v>
      </c>
      <c r="J19" s="199">
        <f t="shared" si="0"/>
        <v>0</v>
      </c>
      <c r="K19" s="199">
        <v>0</v>
      </c>
      <c r="L19" s="199">
        <v>0</v>
      </c>
      <c r="M19" s="199">
        <v>0</v>
      </c>
      <c r="N19" s="199">
        <v>0</v>
      </c>
      <c r="O19" s="199">
        <v>0</v>
      </c>
      <c r="P19" s="199">
        <v>0</v>
      </c>
      <c r="Q19" s="318">
        <f t="shared" si="2"/>
        <v>0</v>
      </c>
      <c r="R19" s="199">
        <v>0</v>
      </c>
      <c r="S19" s="199">
        <v>0</v>
      </c>
      <c r="T19" s="199">
        <v>0</v>
      </c>
      <c r="U19" s="199">
        <v>0</v>
      </c>
      <c r="V19" s="199">
        <v>0</v>
      </c>
      <c r="W19" s="199">
        <v>0</v>
      </c>
      <c r="X19" s="199">
        <v>0</v>
      </c>
      <c r="Y19" s="199">
        <v>0</v>
      </c>
      <c r="Z19" s="199"/>
      <c r="AA19" s="199"/>
      <c r="AB19" s="199"/>
      <c r="AC19" s="199"/>
      <c r="AD19" s="199"/>
      <c r="AE19" s="92"/>
      <c r="AF19" s="318"/>
      <c r="AG19" s="92"/>
      <c r="AH19" s="92"/>
      <c r="AQ19" s="2"/>
      <c r="AR19" s="2"/>
      <c r="AS19" s="2"/>
      <c r="AT19" s="2"/>
      <c r="AU19" s="2"/>
      <c r="AV19" s="2"/>
      <c r="AW19" s="2"/>
      <c r="AX19" s="2"/>
      <c r="AY19" s="2"/>
      <c r="AZ19" s="2"/>
      <c r="BA19" s="2"/>
      <c r="BB19" s="2"/>
      <c r="BC19" s="2"/>
      <c r="BD19" s="2"/>
      <c r="BE19" s="2"/>
      <c r="BF19" s="2"/>
      <c r="BG19" s="2"/>
      <c r="BH19" s="2"/>
      <c r="BI19" s="2"/>
      <c r="BJ19" s="2"/>
      <c r="BK19" s="2"/>
    </row>
    <row r="20" spans="1:63" s="24" customFormat="1" x14ac:dyDescent="0.2">
      <c r="A20" s="36" t="s">
        <v>36</v>
      </c>
      <c r="B20" s="265">
        <v>2225</v>
      </c>
      <c r="C20" s="265">
        <v>-582</v>
      </c>
      <c r="D20" s="265">
        <v>-1197</v>
      </c>
      <c r="E20" s="265">
        <v>1077</v>
      </c>
      <c r="F20" s="265">
        <v>1523</v>
      </c>
      <c r="G20" s="102">
        <f>ROUND(-3318.50205594496,0)</f>
        <v>-3319</v>
      </c>
      <c r="H20" s="277">
        <f>ROUND(-4463.49794405504,0)</f>
        <v>-4463</v>
      </c>
      <c r="I20" s="277">
        <v>-6593</v>
      </c>
      <c r="J20" s="277">
        <f t="shared" si="0"/>
        <v>5755</v>
      </c>
      <c r="K20" s="282">
        <v>-8620</v>
      </c>
      <c r="L20" s="282">
        <v>127</v>
      </c>
      <c r="M20" s="317">
        <v>1840</v>
      </c>
      <c r="N20" s="282">
        <v>-1948</v>
      </c>
      <c r="O20" s="282">
        <f t="shared" si="1"/>
        <v>-340</v>
      </c>
      <c r="P20" s="282">
        <v>-321</v>
      </c>
      <c r="Q20" s="318">
        <f t="shared" si="2"/>
        <v>0</v>
      </c>
      <c r="R20" s="317">
        <v>-6490</v>
      </c>
      <c r="S20" s="317">
        <v>3112</v>
      </c>
      <c r="T20" s="317">
        <v>2894</v>
      </c>
      <c r="U20" s="317">
        <f t="shared" si="3"/>
        <v>886</v>
      </c>
      <c r="V20" s="317">
        <v>402</v>
      </c>
      <c r="W20" s="317">
        <v>-1139</v>
      </c>
      <c r="X20" s="317">
        <v>-1495</v>
      </c>
      <c r="Y20" s="317">
        <v>-1165</v>
      </c>
      <c r="Z20" s="317">
        <f t="shared" ref="Z20:Z22" si="6">+AA20-SUM(W20:Y20)</f>
        <v>-22</v>
      </c>
      <c r="AA20" s="317">
        <v>-3821</v>
      </c>
      <c r="AB20" s="317">
        <v>-3165</v>
      </c>
      <c r="AC20" s="317">
        <v>-7115</v>
      </c>
      <c r="AD20" s="317">
        <v>-6533</v>
      </c>
      <c r="AE20" s="92"/>
      <c r="AF20" s="318"/>
      <c r="AG20" s="399"/>
      <c r="AH20" s="92"/>
      <c r="AQ20" s="2"/>
      <c r="AR20" s="2"/>
      <c r="AS20" s="2"/>
      <c r="AT20" s="2"/>
      <c r="AU20" s="2"/>
      <c r="AV20" s="2"/>
      <c r="AW20" s="2"/>
      <c r="AX20" s="2"/>
      <c r="AY20" s="2"/>
      <c r="AZ20" s="2"/>
      <c r="BA20" s="2"/>
      <c r="BB20" s="2"/>
      <c r="BC20" s="2"/>
      <c r="BD20" s="2"/>
      <c r="BE20" s="2"/>
      <c r="BF20" s="2"/>
      <c r="BG20" s="2"/>
      <c r="BH20" s="2"/>
      <c r="BI20" s="2"/>
      <c r="BJ20" s="2"/>
      <c r="BK20" s="2"/>
    </row>
    <row r="21" spans="1:63" s="24" customFormat="1" x14ac:dyDescent="0.2">
      <c r="A21" s="36" t="s">
        <v>232</v>
      </c>
      <c r="B21" s="265"/>
      <c r="C21" s="265">
        <v>-2246</v>
      </c>
      <c r="D21" s="265">
        <v>-2191</v>
      </c>
      <c r="E21" s="265">
        <v>4437</v>
      </c>
      <c r="F21" s="265">
        <v>0</v>
      </c>
      <c r="G21" s="102">
        <v>-2842</v>
      </c>
      <c r="H21" s="277">
        <v>-1098</v>
      </c>
      <c r="I21" s="277">
        <v>-1483</v>
      </c>
      <c r="J21" s="277">
        <f t="shared" si="0"/>
        <v>-2273</v>
      </c>
      <c r="K21" s="282">
        <v>-7696</v>
      </c>
      <c r="L21" s="282">
        <v>-3185</v>
      </c>
      <c r="M21" s="317">
        <v>-1177</v>
      </c>
      <c r="N21" s="282">
        <v>-3081</v>
      </c>
      <c r="O21" s="282">
        <f t="shared" si="1"/>
        <v>-2673</v>
      </c>
      <c r="P21" s="282">
        <v>-10116</v>
      </c>
      <c r="Q21" s="318">
        <f t="shared" si="2"/>
        <v>0</v>
      </c>
      <c r="R21" s="317">
        <v>267</v>
      </c>
      <c r="S21" s="317">
        <v>-3109</v>
      </c>
      <c r="T21" s="317">
        <v>-1965</v>
      </c>
      <c r="U21" s="317">
        <f t="shared" si="3"/>
        <v>-2367</v>
      </c>
      <c r="V21" s="317">
        <v>-7174</v>
      </c>
      <c r="W21" s="317">
        <v>-1103</v>
      </c>
      <c r="X21" s="317">
        <v>7880</v>
      </c>
      <c r="Y21" s="317">
        <v>-790</v>
      </c>
      <c r="Z21" s="317">
        <f t="shared" si="6"/>
        <v>-848</v>
      </c>
      <c r="AA21" s="317">
        <v>5139</v>
      </c>
      <c r="AB21" s="317">
        <v>-384</v>
      </c>
      <c r="AC21" s="317">
        <v>109</v>
      </c>
      <c r="AD21" s="317">
        <v>-200</v>
      </c>
      <c r="AE21" s="92"/>
      <c r="AF21" s="318"/>
      <c r="AG21" s="399"/>
      <c r="AH21" s="92"/>
      <c r="AQ21" s="2"/>
      <c r="AR21" s="2"/>
      <c r="AS21" s="2"/>
      <c r="AT21" s="2"/>
      <c r="AU21" s="2"/>
      <c r="AV21" s="2"/>
      <c r="AW21" s="2"/>
      <c r="AX21" s="2"/>
      <c r="AY21" s="2"/>
      <c r="AZ21" s="2"/>
      <c r="BA21" s="2"/>
      <c r="BB21" s="2"/>
      <c r="BC21" s="2"/>
      <c r="BD21" s="2"/>
      <c r="BE21" s="2"/>
      <c r="BF21" s="2"/>
      <c r="BG21" s="2"/>
      <c r="BH21" s="2"/>
      <c r="BI21" s="2"/>
      <c r="BJ21" s="2"/>
      <c r="BK21" s="2"/>
    </row>
    <row r="22" spans="1:63" s="24" customFormat="1" x14ac:dyDescent="0.2">
      <c r="A22" s="36" t="s">
        <v>176</v>
      </c>
      <c r="B22" s="265">
        <v>-4256</v>
      </c>
      <c r="C22" s="265">
        <v>1138</v>
      </c>
      <c r="D22" s="265">
        <v>-2299</v>
      </c>
      <c r="E22" s="265">
        <v>6148</v>
      </c>
      <c r="F22" s="265">
        <v>731</v>
      </c>
      <c r="G22" s="102">
        <v>3433</v>
      </c>
      <c r="H22" s="277">
        <v>-2890</v>
      </c>
      <c r="I22" s="277">
        <v>-1529</v>
      </c>
      <c r="J22" s="277">
        <f t="shared" si="0"/>
        <v>361</v>
      </c>
      <c r="K22" s="282">
        <v>-625</v>
      </c>
      <c r="L22" s="282">
        <v>1049</v>
      </c>
      <c r="M22" s="317">
        <v>-3680</v>
      </c>
      <c r="N22" s="282">
        <v>-4228</v>
      </c>
      <c r="O22" s="282">
        <f t="shared" si="1"/>
        <v>-5486</v>
      </c>
      <c r="P22" s="282">
        <v>-12345</v>
      </c>
      <c r="Q22" s="318">
        <f t="shared" si="2"/>
        <v>0</v>
      </c>
      <c r="R22" s="317">
        <v>3539</v>
      </c>
      <c r="S22" s="317">
        <v>-4202</v>
      </c>
      <c r="T22" s="317">
        <v>-909</v>
      </c>
      <c r="U22" s="317">
        <f t="shared" si="3"/>
        <v>4269</v>
      </c>
      <c r="V22" s="317">
        <v>2697</v>
      </c>
      <c r="W22" s="317">
        <v>-2695</v>
      </c>
      <c r="X22" s="317">
        <v>-12042</v>
      </c>
      <c r="Y22" s="317">
        <v>-2637</v>
      </c>
      <c r="Z22" s="317">
        <f t="shared" si="6"/>
        <v>-2953</v>
      </c>
      <c r="AA22" s="317">
        <v>-20327</v>
      </c>
      <c r="AB22" s="317">
        <v>-193</v>
      </c>
      <c r="AC22" s="317">
        <v>-1269</v>
      </c>
      <c r="AD22" s="317">
        <v>-4159</v>
      </c>
      <c r="AE22" s="92"/>
      <c r="AF22" s="318"/>
      <c r="AG22" s="399"/>
      <c r="AH22" s="92"/>
      <c r="AQ22" s="2"/>
      <c r="AR22" s="2"/>
      <c r="AS22" s="2"/>
      <c r="AT22" s="2"/>
      <c r="AU22" s="2"/>
      <c r="AV22" s="2"/>
      <c r="AW22" s="2"/>
      <c r="AX22" s="2"/>
      <c r="AY22" s="2"/>
      <c r="AZ22" s="2"/>
      <c r="BA22" s="2"/>
      <c r="BB22" s="2"/>
      <c r="BC22" s="2"/>
      <c r="BD22" s="2"/>
      <c r="BE22" s="2"/>
      <c r="BF22" s="2"/>
      <c r="BG22" s="2"/>
      <c r="BH22" s="2"/>
      <c r="BI22" s="2"/>
      <c r="BJ22" s="2"/>
      <c r="BK22" s="2"/>
    </row>
    <row r="23" spans="1:63" s="24" customFormat="1" hidden="1" x14ac:dyDescent="0.2">
      <c r="A23" s="36" t="s">
        <v>177</v>
      </c>
      <c r="B23" s="265"/>
      <c r="C23" s="265">
        <v>0</v>
      </c>
      <c r="D23" s="265">
        <v>0</v>
      </c>
      <c r="E23" s="265">
        <v>0</v>
      </c>
      <c r="F23" s="265">
        <v>0</v>
      </c>
      <c r="G23" s="199">
        <v>0</v>
      </c>
      <c r="H23" s="199">
        <v>0</v>
      </c>
      <c r="I23" s="199">
        <v>0</v>
      </c>
      <c r="J23" s="277">
        <f t="shared" si="0"/>
        <v>0</v>
      </c>
      <c r="K23" s="282">
        <v>0</v>
      </c>
      <c r="L23" s="282">
        <v>0</v>
      </c>
      <c r="M23" s="317">
        <v>0</v>
      </c>
      <c r="N23" s="282">
        <v>0</v>
      </c>
      <c r="O23" s="282">
        <v>0</v>
      </c>
      <c r="P23" s="282">
        <v>0</v>
      </c>
      <c r="Q23" s="318">
        <f t="shared" si="2"/>
        <v>0</v>
      </c>
      <c r="R23" s="317">
        <v>0</v>
      </c>
      <c r="S23" s="317">
        <v>0</v>
      </c>
      <c r="T23" s="317">
        <v>0</v>
      </c>
      <c r="U23" s="317">
        <v>0</v>
      </c>
      <c r="V23" s="317">
        <v>0</v>
      </c>
      <c r="W23" s="317">
        <v>0</v>
      </c>
      <c r="X23" s="317">
        <v>0</v>
      </c>
      <c r="Y23" s="317">
        <v>0</v>
      </c>
      <c r="Z23" s="317"/>
      <c r="AA23" s="317"/>
      <c r="AB23" s="317"/>
      <c r="AC23" s="317"/>
      <c r="AD23" s="317"/>
      <c r="AE23" s="92"/>
      <c r="AF23" s="318"/>
      <c r="AG23" s="92"/>
      <c r="AH23" s="92"/>
      <c r="AQ23" s="2"/>
      <c r="AR23" s="2"/>
      <c r="AS23" s="2"/>
      <c r="AT23" s="2"/>
      <c r="AU23" s="2"/>
      <c r="AV23" s="2"/>
      <c r="AW23" s="2"/>
      <c r="AX23" s="2"/>
      <c r="AY23" s="2"/>
      <c r="AZ23" s="2"/>
      <c r="BA23" s="2"/>
      <c r="BB23" s="2"/>
      <c r="BC23" s="2"/>
      <c r="BD23" s="2"/>
      <c r="BE23" s="2"/>
      <c r="BF23" s="2"/>
      <c r="BG23" s="2"/>
      <c r="BH23" s="2"/>
      <c r="BI23" s="2"/>
      <c r="BJ23" s="2"/>
      <c r="BK23" s="2"/>
    </row>
    <row r="24" spans="1:63" s="24" customFormat="1" x14ac:dyDescent="0.2">
      <c r="A24" s="36" t="s">
        <v>193</v>
      </c>
      <c r="B24" s="265"/>
      <c r="C24" s="265"/>
      <c r="D24" s="265"/>
      <c r="E24" s="265"/>
      <c r="F24" s="265">
        <v>0</v>
      </c>
      <c r="G24" s="199">
        <v>0</v>
      </c>
      <c r="H24" s="199">
        <v>0</v>
      </c>
      <c r="I24" s="199">
        <v>0</v>
      </c>
      <c r="J24" s="277">
        <f t="shared" si="0"/>
        <v>20056</v>
      </c>
      <c r="K24" s="282">
        <v>20056</v>
      </c>
      <c r="L24" s="282">
        <v>1227</v>
      </c>
      <c r="M24" s="317">
        <v>1940</v>
      </c>
      <c r="N24" s="282">
        <v>0</v>
      </c>
      <c r="O24" s="282">
        <f>+P24-SUM(L24:N24)</f>
        <v>460</v>
      </c>
      <c r="P24" s="282">
        <v>3627</v>
      </c>
      <c r="Q24" s="318">
        <f t="shared" si="2"/>
        <v>0</v>
      </c>
      <c r="R24" s="317">
        <v>0</v>
      </c>
      <c r="S24" s="317">
        <v>0</v>
      </c>
      <c r="T24" s="317">
        <v>0</v>
      </c>
      <c r="U24" s="317">
        <f t="shared" si="3"/>
        <v>0</v>
      </c>
      <c r="V24" s="317">
        <v>0</v>
      </c>
      <c r="W24" s="317">
        <v>0</v>
      </c>
      <c r="X24" s="317">
        <v>0</v>
      </c>
      <c r="Y24" s="317">
        <v>0</v>
      </c>
      <c r="Z24" s="317">
        <f t="shared" ref="Z24" si="7">+AA24-SUM(W24:Y24)</f>
        <v>0</v>
      </c>
      <c r="AA24" s="317">
        <v>0</v>
      </c>
      <c r="AB24" s="317">
        <v>0</v>
      </c>
      <c r="AC24" s="317">
        <v>0</v>
      </c>
      <c r="AD24" s="317">
        <v>0</v>
      </c>
      <c r="AE24" s="92"/>
      <c r="AF24" s="318"/>
      <c r="AG24" s="92"/>
      <c r="AH24" s="92"/>
      <c r="AQ24" s="2"/>
      <c r="AR24" s="2"/>
      <c r="AS24" s="2"/>
      <c r="AT24" s="2"/>
      <c r="AU24" s="2"/>
      <c r="AV24" s="2"/>
      <c r="AW24" s="2"/>
      <c r="AX24" s="2"/>
      <c r="AY24" s="2"/>
      <c r="AZ24" s="2"/>
      <c r="BA24" s="2"/>
      <c r="BB24" s="2"/>
      <c r="BC24" s="2"/>
      <c r="BD24" s="2"/>
      <c r="BE24" s="2"/>
      <c r="BF24" s="2"/>
      <c r="BG24" s="2"/>
      <c r="BH24" s="2"/>
      <c r="BI24" s="2"/>
      <c r="BJ24" s="2"/>
      <c r="BK24" s="2"/>
    </row>
    <row r="25" spans="1:63" s="24" customFormat="1" hidden="1" x14ac:dyDescent="0.2">
      <c r="A25" s="36" t="s">
        <v>146</v>
      </c>
      <c r="B25" s="265"/>
      <c r="C25" s="265">
        <v>0</v>
      </c>
      <c r="D25" s="265">
        <v>0</v>
      </c>
      <c r="E25" s="265">
        <v>0</v>
      </c>
      <c r="F25" s="265">
        <v>0</v>
      </c>
      <c r="G25" s="199">
        <v>0</v>
      </c>
      <c r="H25" s="199">
        <v>0</v>
      </c>
      <c r="I25" s="199">
        <v>0</v>
      </c>
      <c r="J25" s="199">
        <f t="shared" si="0"/>
        <v>0</v>
      </c>
      <c r="K25" s="199">
        <v>0</v>
      </c>
      <c r="L25" s="199">
        <v>0</v>
      </c>
      <c r="M25" s="199">
        <v>0</v>
      </c>
      <c r="N25" s="199">
        <v>0</v>
      </c>
      <c r="O25" s="199">
        <v>0</v>
      </c>
      <c r="P25" s="199">
        <v>0</v>
      </c>
      <c r="Q25" s="318">
        <f t="shared" si="2"/>
        <v>0</v>
      </c>
      <c r="R25" s="199">
        <v>0</v>
      </c>
      <c r="S25" s="199">
        <v>0</v>
      </c>
      <c r="T25" s="199">
        <v>0</v>
      </c>
      <c r="U25" s="199">
        <v>0</v>
      </c>
      <c r="V25" s="199">
        <v>0</v>
      </c>
      <c r="W25" s="199">
        <v>0</v>
      </c>
      <c r="X25" s="199">
        <v>0</v>
      </c>
      <c r="Y25" s="199">
        <v>0</v>
      </c>
      <c r="Z25" s="199"/>
      <c r="AA25" s="199"/>
      <c r="AB25" s="199"/>
      <c r="AC25" s="199"/>
      <c r="AD25" s="199"/>
      <c r="AE25" s="92"/>
      <c r="AF25" s="318"/>
      <c r="AG25" s="92"/>
      <c r="AH25" s="92"/>
      <c r="AQ25" s="2"/>
      <c r="AR25" s="2"/>
      <c r="AS25" s="2"/>
      <c r="AT25" s="2"/>
      <c r="AU25" s="2"/>
      <c r="AV25" s="2"/>
      <c r="AW25" s="2"/>
      <c r="AX25" s="2"/>
      <c r="AY25" s="2"/>
      <c r="AZ25" s="2"/>
      <c r="BA25" s="2"/>
      <c r="BB25" s="2"/>
      <c r="BC25" s="2"/>
      <c r="BD25" s="2"/>
      <c r="BE25" s="2"/>
      <c r="BF25" s="2"/>
      <c r="BG25" s="2"/>
      <c r="BH25" s="2"/>
      <c r="BI25" s="2"/>
      <c r="BJ25" s="2"/>
      <c r="BK25" s="2"/>
    </row>
    <row r="26" spans="1:63" s="24" customFormat="1" x14ac:dyDescent="0.2">
      <c r="A26" s="36" t="s">
        <v>243</v>
      </c>
      <c r="B26" s="265">
        <v>331.16800000000001</v>
      </c>
      <c r="C26" s="265">
        <v>552.93804</v>
      </c>
      <c r="D26" s="265">
        <v>1821.8939599999999</v>
      </c>
      <c r="E26" s="265">
        <v>110</v>
      </c>
      <c r="F26" s="265">
        <v>2816</v>
      </c>
      <c r="G26" s="199">
        <v>-612</v>
      </c>
      <c r="H26" s="199">
        <v>22</v>
      </c>
      <c r="I26" s="199">
        <v>-30</v>
      </c>
      <c r="J26" s="199">
        <f t="shared" si="0"/>
        <v>47</v>
      </c>
      <c r="K26" s="282">
        <v>-573</v>
      </c>
      <c r="L26" s="282">
        <v>298</v>
      </c>
      <c r="M26" s="317">
        <v>-17</v>
      </c>
      <c r="N26" s="282">
        <v>152</v>
      </c>
      <c r="O26" s="282">
        <f t="shared" si="1"/>
        <v>181</v>
      </c>
      <c r="P26" s="282">
        <v>614</v>
      </c>
      <c r="Q26" s="318">
        <f t="shared" si="2"/>
        <v>0</v>
      </c>
      <c r="R26" s="317">
        <v>195</v>
      </c>
      <c r="S26" s="317">
        <v>194</v>
      </c>
      <c r="T26" s="317">
        <v>-36</v>
      </c>
      <c r="U26" s="317">
        <f t="shared" si="3"/>
        <v>-56</v>
      </c>
      <c r="V26" s="317">
        <v>297</v>
      </c>
      <c r="W26" s="317">
        <v>48</v>
      </c>
      <c r="X26" s="317">
        <v>-438</v>
      </c>
      <c r="Y26" s="317">
        <v>-15</v>
      </c>
      <c r="Z26" s="317">
        <f t="shared" ref="Z26:Z28" si="8">+AA26-SUM(W26:Y26)</f>
        <v>-59</v>
      </c>
      <c r="AA26" s="317">
        <v>-464</v>
      </c>
      <c r="AB26" s="317">
        <v>34</v>
      </c>
      <c r="AC26" s="317">
        <v>136</v>
      </c>
      <c r="AD26" s="317">
        <v>7</v>
      </c>
      <c r="AE26" s="92"/>
      <c r="AF26" s="318"/>
      <c r="AG26" s="399"/>
      <c r="AH26" s="92"/>
      <c r="AQ26" s="2"/>
      <c r="AR26" s="2"/>
      <c r="AS26" s="2"/>
      <c r="AT26" s="2"/>
      <c r="AU26" s="2"/>
      <c r="AV26" s="2"/>
      <c r="AW26" s="2"/>
      <c r="AX26" s="2"/>
      <c r="AY26" s="2"/>
      <c r="AZ26" s="2"/>
      <c r="BA26" s="2"/>
      <c r="BB26" s="2"/>
      <c r="BC26" s="2"/>
      <c r="BD26" s="2"/>
      <c r="BE26" s="2"/>
      <c r="BF26" s="2"/>
      <c r="BG26" s="2"/>
      <c r="BH26" s="2"/>
      <c r="BI26" s="2"/>
      <c r="BJ26" s="2"/>
      <c r="BK26" s="2"/>
    </row>
    <row r="27" spans="1:63" s="24" customFormat="1" x14ac:dyDescent="0.2">
      <c r="A27" s="36" t="s">
        <v>244</v>
      </c>
      <c r="B27" s="265">
        <v>-8</v>
      </c>
      <c r="C27" s="265">
        <v>34.462940571428604</v>
      </c>
      <c r="D27" s="265">
        <v>-14.864699999999999</v>
      </c>
      <c r="E27" s="265">
        <v>240.40175942857138</v>
      </c>
      <c r="F27" s="265">
        <v>252</v>
      </c>
      <c r="G27" s="199">
        <v>28</v>
      </c>
      <c r="H27" s="199">
        <v>95</v>
      </c>
      <c r="I27" s="199">
        <v>70</v>
      </c>
      <c r="J27" s="199">
        <v>110</v>
      </c>
      <c r="K27" s="282">
        <v>303</v>
      </c>
      <c r="L27" s="282">
        <v>416</v>
      </c>
      <c r="M27" s="317">
        <v>544.57432654008653</v>
      </c>
      <c r="N27" s="282">
        <v>-1109.1716799999977</v>
      </c>
      <c r="O27" s="282">
        <v>-1056.4026465400889</v>
      </c>
      <c r="P27" s="317">
        <v>-1205</v>
      </c>
      <c r="Q27" s="318">
        <f t="shared" si="2"/>
        <v>0</v>
      </c>
      <c r="R27" s="30">
        <v>-26</v>
      </c>
      <c r="S27" s="30">
        <v>-1178</v>
      </c>
      <c r="T27" s="30">
        <v>269</v>
      </c>
      <c r="U27" s="30">
        <f t="shared" si="3"/>
        <v>393</v>
      </c>
      <c r="V27" s="30">
        <v>-542</v>
      </c>
      <c r="W27" s="30">
        <v>216</v>
      </c>
      <c r="X27" s="30">
        <v>-72</v>
      </c>
      <c r="Y27" s="317">
        <v>446</v>
      </c>
      <c r="Z27" s="317">
        <f t="shared" si="8"/>
        <v>-374</v>
      </c>
      <c r="AA27" s="317">
        <v>216</v>
      </c>
      <c r="AB27" s="317">
        <v>819</v>
      </c>
      <c r="AC27" s="317">
        <v>-36</v>
      </c>
      <c r="AD27" s="317">
        <v>823</v>
      </c>
      <c r="AE27" s="92"/>
      <c r="AF27" s="318"/>
      <c r="AG27" s="399"/>
      <c r="AH27" s="92"/>
      <c r="AQ27" s="2"/>
      <c r="AR27" s="2"/>
      <c r="AS27" s="2"/>
      <c r="AT27" s="2"/>
      <c r="AU27" s="2"/>
      <c r="AV27" s="2"/>
      <c r="AW27" s="2"/>
      <c r="AX27" s="2"/>
      <c r="AY27" s="2"/>
      <c r="AZ27" s="2"/>
      <c r="BA27" s="2"/>
      <c r="BB27" s="2"/>
      <c r="BC27" s="2"/>
      <c r="BD27" s="2"/>
      <c r="BE27" s="2"/>
      <c r="BF27" s="2"/>
      <c r="BG27" s="2"/>
      <c r="BH27" s="2"/>
      <c r="BI27" s="2"/>
      <c r="BJ27" s="2"/>
      <c r="BK27" s="2"/>
    </row>
    <row r="28" spans="1:63" ht="12.75" customHeight="1" x14ac:dyDescent="0.2">
      <c r="A28" s="36" t="s">
        <v>274</v>
      </c>
      <c r="B28" s="265"/>
      <c r="C28" s="265">
        <v>0</v>
      </c>
      <c r="D28" s="265">
        <v>0</v>
      </c>
      <c r="E28" s="265">
        <v>0</v>
      </c>
      <c r="F28" s="265">
        <v>0</v>
      </c>
      <c r="G28" s="199">
        <v>0</v>
      </c>
      <c r="H28" s="199">
        <v>0</v>
      </c>
      <c r="I28" s="199">
        <v>0</v>
      </c>
      <c r="J28" s="199">
        <f t="shared" si="0"/>
        <v>0</v>
      </c>
      <c r="K28" s="199">
        <v>0</v>
      </c>
      <c r="L28" s="199">
        <v>0</v>
      </c>
      <c r="M28" s="199">
        <v>0</v>
      </c>
      <c r="N28" s="199">
        <v>0</v>
      </c>
      <c r="O28" s="199">
        <v>0</v>
      </c>
      <c r="P28" s="199">
        <v>0</v>
      </c>
      <c r="Q28" s="318">
        <f t="shared" si="2"/>
        <v>0</v>
      </c>
      <c r="R28" s="199">
        <v>0</v>
      </c>
      <c r="S28" s="199">
        <v>0</v>
      </c>
      <c r="T28" s="199">
        <v>0</v>
      </c>
      <c r="U28" s="199">
        <v>0</v>
      </c>
      <c r="V28" s="199">
        <v>0</v>
      </c>
      <c r="W28" s="199">
        <v>0</v>
      </c>
      <c r="X28" s="199">
        <v>0</v>
      </c>
      <c r="Y28" s="199">
        <v>0</v>
      </c>
      <c r="Z28" s="317">
        <f t="shared" si="8"/>
        <v>0</v>
      </c>
      <c r="AA28" s="199">
        <v>0</v>
      </c>
      <c r="AB28" s="199">
        <v>0</v>
      </c>
      <c r="AC28" s="317">
        <v>1000</v>
      </c>
      <c r="AD28" s="317">
        <v>0</v>
      </c>
      <c r="AF28" s="318"/>
      <c r="AG28" s="399"/>
    </row>
    <row r="29" spans="1:63" x14ac:dyDescent="0.2">
      <c r="A29" s="36" t="s">
        <v>206</v>
      </c>
      <c r="B29" s="265"/>
      <c r="C29" s="265"/>
      <c r="D29" s="265"/>
      <c r="E29" s="265"/>
      <c r="F29" s="265">
        <v>0</v>
      </c>
      <c r="G29" s="199">
        <v>0</v>
      </c>
      <c r="H29" s="199">
        <v>0</v>
      </c>
      <c r="I29" s="199">
        <v>0</v>
      </c>
      <c r="J29" s="199">
        <v>0</v>
      </c>
      <c r="K29" s="199">
        <v>0</v>
      </c>
      <c r="L29" s="199">
        <v>0</v>
      </c>
      <c r="M29" s="199">
        <v>13701</v>
      </c>
      <c r="N29" s="199">
        <v>6843</v>
      </c>
      <c r="O29" s="282">
        <f>+P29-SUM(L29:N29)</f>
        <v>6791</v>
      </c>
      <c r="P29" s="199">
        <v>27335</v>
      </c>
      <c r="Q29" s="318">
        <f t="shared" si="2"/>
        <v>0</v>
      </c>
      <c r="R29" s="199">
        <v>6853</v>
      </c>
      <c r="S29" s="199">
        <v>6850</v>
      </c>
      <c r="T29" s="199">
        <v>6781</v>
      </c>
      <c r="U29" s="199">
        <f t="shared" si="3"/>
        <v>6662</v>
      </c>
      <c r="V29" s="199">
        <v>27146</v>
      </c>
      <c r="W29" s="199">
        <v>6761</v>
      </c>
      <c r="X29" s="199">
        <v>6871</v>
      </c>
      <c r="Y29" s="199">
        <v>6380</v>
      </c>
      <c r="Z29" s="199">
        <f t="shared" ref="Z29:Z39" si="9">+AA29-SUM(W29:Y29)</f>
        <v>6314</v>
      </c>
      <c r="AA29" s="199">
        <v>26326</v>
      </c>
      <c r="AB29" s="199">
        <v>6043</v>
      </c>
      <c r="AC29" s="199">
        <v>5962</v>
      </c>
      <c r="AD29" s="199">
        <v>5360</v>
      </c>
      <c r="AF29" s="318"/>
      <c r="AG29" s="399"/>
    </row>
    <row r="30" spans="1:63" x14ac:dyDescent="0.2">
      <c r="A30" s="45" t="s">
        <v>67</v>
      </c>
      <c r="B30" s="266"/>
      <c r="C30" s="266">
        <v>0</v>
      </c>
      <c r="D30" s="266"/>
      <c r="E30" s="266"/>
      <c r="F30" s="266"/>
      <c r="G30" s="199"/>
      <c r="H30" s="199"/>
      <c r="I30" s="199"/>
      <c r="J30" s="199"/>
      <c r="K30" s="282"/>
      <c r="L30" s="282"/>
      <c r="M30" s="282"/>
      <c r="N30" s="282"/>
      <c r="O30" s="282"/>
      <c r="P30" s="282"/>
      <c r="Q30" s="318"/>
      <c r="R30" s="317"/>
      <c r="S30" s="317"/>
      <c r="T30" s="317"/>
      <c r="U30" s="317"/>
      <c r="V30" s="317"/>
      <c r="W30" s="317"/>
      <c r="X30" s="317"/>
      <c r="Y30" s="317"/>
      <c r="Z30" s="317"/>
      <c r="AA30" s="317"/>
      <c r="AB30" s="317"/>
      <c r="AC30" s="317"/>
      <c r="AD30" s="317"/>
      <c r="AF30" s="318"/>
    </row>
    <row r="31" spans="1:63" hidden="1" x14ac:dyDescent="0.2">
      <c r="A31" s="36" t="s">
        <v>18</v>
      </c>
      <c r="B31" s="266">
        <v>0</v>
      </c>
      <c r="C31" s="266">
        <v>0</v>
      </c>
      <c r="D31" s="266">
        <v>0</v>
      </c>
      <c r="E31" s="266">
        <v>0</v>
      </c>
      <c r="F31" s="266"/>
      <c r="G31" s="199">
        <v>0</v>
      </c>
      <c r="H31" s="199">
        <v>0</v>
      </c>
      <c r="I31" s="199">
        <v>0</v>
      </c>
      <c r="J31" s="199">
        <f t="shared" ref="J31:J38" si="10">+K31-SUM(G31:I31)</f>
        <v>0</v>
      </c>
      <c r="K31" s="199">
        <v>0</v>
      </c>
      <c r="L31" s="199">
        <v>0</v>
      </c>
      <c r="M31" s="199">
        <v>0</v>
      </c>
      <c r="N31" s="199">
        <v>0</v>
      </c>
      <c r="O31" s="199">
        <f t="shared" ref="O31:O39" si="11">+P31-SUM(L31:N31)</f>
        <v>0</v>
      </c>
      <c r="P31" s="199">
        <v>0</v>
      </c>
      <c r="Q31" s="318"/>
      <c r="R31" s="199">
        <v>0</v>
      </c>
      <c r="S31" s="199">
        <v>0</v>
      </c>
      <c r="T31" s="199">
        <v>0</v>
      </c>
      <c r="U31" s="199">
        <v>0</v>
      </c>
      <c r="V31" s="199">
        <v>0</v>
      </c>
      <c r="W31" s="199">
        <v>0</v>
      </c>
      <c r="X31" s="199">
        <v>0</v>
      </c>
      <c r="Y31" s="199">
        <v>0</v>
      </c>
      <c r="Z31" s="199">
        <f t="shared" si="9"/>
        <v>0</v>
      </c>
      <c r="AA31" s="199">
        <v>0</v>
      </c>
      <c r="AB31" s="199">
        <v>0</v>
      </c>
      <c r="AC31" s="199">
        <v>0</v>
      </c>
      <c r="AD31" s="199">
        <v>0</v>
      </c>
      <c r="AF31" s="318"/>
    </row>
    <row r="32" spans="1:63" x14ac:dyDescent="0.2">
      <c r="A32" s="36" t="s">
        <v>19</v>
      </c>
      <c r="B32" s="265">
        <v>-6671</v>
      </c>
      <c r="C32" s="265">
        <v>-3988</v>
      </c>
      <c r="D32" s="265">
        <v>-11405</v>
      </c>
      <c r="E32" s="265">
        <v>1582</v>
      </c>
      <c r="F32" s="265">
        <v>-20482</v>
      </c>
      <c r="G32" s="200">
        <v>-590</v>
      </c>
      <c r="H32" s="200">
        <v>-11129</v>
      </c>
      <c r="I32" s="200">
        <v>2365</v>
      </c>
      <c r="J32" s="200">
        <f t="shared" si="10"/>
        <v>-692</v>
      </c>
      <c r="K32" s="282">
        <v>-10046</v>
      </c>
      <c r="L32" s="282">
        <v>-12016</v>
      </c>
      <c r="M32" s="282">
        <v>-4462</v>
      </c>
      <c r="N32" s="282">
        <v>3</v>
      </c>
      <c r="O32" s="282">
        <f t="shared" si="11"/>
        <v>9382</v>
      </c>
      <c r="P32" s="282">
        <v>-7093</v>
      </c>
      <c r="Q32" s="318">
        <f t="shared" ref="Q32:Q40" si="12">SUM(L32:O32)-P32</f>
        <v>0</v>
      </c>
      <c r="R32" s="317">
        <v>-17518</v>
      </c>
      <c r="S32" s="317">
        <v>29898</v>
      </c>
      <c r="T32" s="317">
        <v>3698</v>
      </c>
      <c r="U32" s="317">
        <f t="shared" ref="U32:U39" si="13">+V32-SUM(R32:T32)</f>
        <v>8618</v>
      </c>
      <c r="V32" s="317">
        <v>24696</v>
      </c>
      <c r="W32" s="317">
        <v>-11818</v>
      </c>
      <c r="X32" s="317">
        <v>-22334</v>
      </c>
      <c r="Y32" s="317">
        <v>-10719</v>
      </c>
      <c r="Z32" s="317">
        <f t="shared" si="9"/>
        <v>7187</v>
      </c>
      <c r="AA32" s="317">
        <v>-37684</v>
      </c>
      <c r="AB32" s="317">
        <v>-45659</v>
      </c>
      <c r="AC32" s="317">
        <v>-726</v>
      </c>
      <c r="AD32" s="317">
        <v>-21681</v>
      </c>
      <c r="AF32" s="318"/>
      <c r="AG32" s="399"/>
    </row>
    <row r="33" spans="1:206" x14ac:dyDescent="0.2">
      <c r="A33" s="36" t="s">
        <v>278</v>
      </c>
      <c r="B33" s="265">
        <v>-1285</v>
      </c>
      <c r="C33" s="265">
        <v>8446</v>
      </c>
      <c r="D33" s="265">
        <v>-1967</v>
      </c>
      <c r="E33" s="265">
        <v>-4976</v>
      </c>
      <c r="F33" s="265">
        <v>218</v>
      </c>
      <c r="G33" s="200">
        <v>-2164</v>
      </c>
      <c r="H33" s="200">
        <v>-266</v>
      </c>
      <c r="I33" s="200">
        <v>-914</v>
      </c>
      <c r="J33" s="200">
        <f t="shared" si="10"/>
        <v>-1165</v>
      </c>
      <c r="K33" s="282">
        <v>-4509</v>
      </c>
      <c r="L33" s="282">
        <v>591</v>
      </c>
      <c r="M33" s="282">
        <v>-2624</v>
      </c>
      <c r="N33" s="282">
        <v>2785</v>
      </c>
      <c r="O33" s="282">
        <f t="shared" si="11"/>
        <v>463</v>
      </c>
      <c r="P33" s="282">
        <v>1215</v>
      </c>
      <c r="Q33" s="318">
        <f t="shared" si="12"/>
        <v>0</v>
      </c>
      <c r="R33" s="317">
        <v>-1871</v>
      </c>
      <c r="S33" s="317">
        <v>965</v>
      </c>
      <c r="T33" s="317">
        <v>2703</v>
      </c>
      <c r="U33" s="317">
        <f t="shared" si="13"/>
        <v>-6930</v>
      </c>
      <c r="V33" s="317">
        <v>-5133</v>
      </c>
      <c r="W33" s="317">
        <v>-21</v>
      </c>
      <c r="X33" s="317">
        <v>210</v>
      </c>
      <c r="Y33" s="317">
        <v>2844</v>
      </c>
      <c r="Z33" s="317">
        <f t="shared" si="9"/>
        <v>-4212</v>
      </c>
      <c r="AA33" s="317">
        <v>-1179</v>
      </c>
      <c r="AB33" s="317">
        <v>-1116</v>
      </c>
      <c r="AC33" s="317">
        <v>3977</v>
      </c>
      <c r="AD33" s="317">
        <v>-308</v>
      </c>
      <c r="AF33" s="318"/>
      <c r="AG33" s="399"/>
    </row>
    <row r="34" spans="1:206" x14ac:dyDescent="0.2">
      <c r="A34" s="36" t="s">
        <v>24</v>
      </c>
      <c r="B34" s="265">
        <v>2185</v>
      </c>
      <c r="C34" s="265">
        <v>3110</v>
      </c>
      <c r="D34" s="265">
        <v>-4924</v>
      </c>
      <c r="E34" s="265">
        <v>1335</v>
      </c>
      <c r="F34" s="265">
        <v>1706</v>
      </c>
      <c r="G34" s="200">
        <v>-1726</v>
      </c>
      <c r="H34" s="200">
        <v>383</v>
      </c>
      <c r="I34" s="200">
        <v>-71</v>
      </c>
      <c r="J34" s="200">
        <f t="shared" si="10"/>
        <v>1054</v>
      </c>
      <c r="K34" s="282">
        <v>-360</v>
      </c>
      <c r="L34" s="282">
        <v>-1159</v>
      </c>
      <c r="M34" s="282">
        <v>-955</v>
      </c>
      <c r="N34" s="282">
        <v>267</v>
      </c>
      <c r="O34" s="282">
        <f t="shared" si="11"/>
        <v>1981</v>
      </c>
      <c r="P34" s="282">
        <v>134</v>
      </c>
      <c r="Q34" s="318">
        <f t="shared" si="12"/>
        <v>0</v>
      </c>
      <c r="R34" s="317">
        <v>1400</v>
      </c>
      <c r="S34" s="317">
        <v>543</v>
      </c>
      <c r="T34" s="317">
        <v>-2433</v>
      </c>
      <c r="U34" s="317">
        <f t="shared" si="13"/>
        <v>733</v>
      </c>
      <c r="V34" s="317">
        <v>243</v>
      </c>
      <c r="W34" s="317">
        <v>1902</v>
      </c>
      <c r="X34" s="317">
        <v>-4360</v>
      </c>
      <c r="Y34" s="317">
        <v>125</v>
      </c>
      <c r="Z34" s="317">
        <f t="shared" si="9"/>
        <v>1719</v>
      </c>
      <c r="AA34" s="317">
        <v>-614</v>
      </c>
      <c r="AB34" s="317">
        <v>-808</v>
      </c>
      <c r="AC34" s="317">
        <v>-299</v>
      </c>
      <c r="AD34" s="317">
        <v>-820</v>
      </c>
      <c r="AF34" s="318"/>
      <c r="AG34" s="399"/>
    </row>
    <row r="35" spans="1:206" x14ac:dyDescent="0.2">
      <c r="A35" s="36" t="s">
        <v>25</v>
      </c>
      <c r="B35" s="265">
        <v>1480</v>
      </c>
      <c r="C35" s="265">
        <v>-3847</v>
      </c>
      <c r="D35" s="265">
        <v>-5788</v>
      </c>
      <c r="E35" s="265">
        <v>1530</v>
      </c>
      <c r="F35" s="265">
        <v>-6625</v>
      </c>
      <c r="G35" s="200">
        <v>877</v>
      </c>
      <c r="H35" s="200">
        <v>-1076</v>
      </c>
      <c r="I35" s="200">
        <v>-5000</v>
      </c>
      <c r="J35" s="200">
        <f t="shared" si="10"/>
        <v>270</v>
      </c>
      <c r="K35" s="282">
        <v>-4929</v>
      </c>
      <c r="L35" s="282">
        <v>3262</v>
      </c>
      <c r="M35" s="282">
        <v>2392</v>
      </c>
      <c r="N35" s="282">
        <v>-2407</v>
      </c>
      <c r="O35" s="282">
        <f t="shared" si="11"/>
        <v>3432</v>
      </c>
      <c r="P35" s="282">
        <v>6679</v>
      </c>
      <c r="Q35" s="318">
        <f t="shared" si="12"/>
        <v>0</v>
      </c>
      <c r="R35" s="317">
        <v>2579</v>
      </c>
      <c r="S35" s="317">
        <v>487</v>
      </c>
      <c r="T35" s="317">
        <v>-2771</v>
      </c>
      <c r="U35" s="317">
        <f t="shared" si="13"/>
        <v>17927</v>
      </c>
      <c r="V35" s="317">
        <v>18222</v>
      </c>
      <c r="W35" s="317">
        <v>-17986</v>
      </c>
      <c r="X35" s="317">
        <v>-2846</v>
      </c>
      <c r="Y35" s="317">
        <v>-364</v>
      </c>
      <c r="Z35" s="317">
        <f t="shared" si="9"/>
        <v>8463</v>
      </c>
      <c r="AA35" s="317">
        <v>-12733</v>
      </c>
      <c r="AB35" s="317">
        <v>3707</v>
      </c>
      <c r="AC35" s="317">
        <v>569</v>
      </c>
      <c r="AD35" s="317">
        <v>-2173</v>
      </c>
      <c r="AF35" s="318"/>
      <c r="AG35" s="399"/>
    </row>
    <row r="36" spans="1:206" x14ac:dyDescent="0.2">
      <c r="A36" s="36" t="s">
        <v>38</v>
      </c>
      <c r="B36" s="265">
        <v>-20247</v>
      </c>
      <c r="C36" s="265">
        <v>2561</v>
      </c>
      <c r="D36" s="265">
        <v>17038</v>
      </c>
      <c r="E36" s="265">
        <v>13942</v>
      </c>
      <c r="F36" s="265">
        <v>13294</v>
      </c>
      <c r="G36" s="200">
        <v>-24338</v>
      </c>
      <c r="H36" s="200">
        <v>6380</v>
      </c>
      <c r="I36" s="200">
        <v>9842</v>
      </c>
      <c r="J36" s="200">
        <f t="shared" si="10"/>
        <v>8304</v>
      </c>
      <c r="K36" s="282">
        <v>188</v>
      </c>
      <c r="L36" s="282">
        <v>-16599</v>
      </c>
      <c r="M36" s="282">
        <v>9232</v>
      </c>
      <c r="N36" s="282">
        <v>22947</v>
      </c>
      <c r="O36" s="282">
        <f t="shared" si="11"/>
        <v>15476</v>
      </c>
      <c r="P36" s="282">
        <v>31056</v>
      </c>
      <c r="Q36" s="318">
        <f t="shared" si="12"/>
        <v>0</v>
      </c>
      <c r="R36" s="317">
        <v>-36074</v>
      </c>
      <c r="S36" s="317">
        <v>8272</v>
      </c>
      <c r="T36" s="317">
        <v>15587</v>
      </c>
      <c r="U36" s="317">
        <f t="shared" si="13"/>
        <v>2655</v>
      </c>
      <c r="V36" s="317">
        <v>-9560</v>
      </c>
      <c r="W36" s="317">
        <v>-15155</v>
      </c>
      <c r="X36" s="317">
        <v>31278</v>
      </c>
      <c r="Y36" s="317">
        <v>13795</v>
      </c>
      <c r="Z36" s="317">
        <f t="shared" si="9"/>
        <v>19491</v>
      </c>
      <c r="AA36" s="317">
        <v>49409</v>
      </c>
      <c r="AB36" s="317">
        <v>-44361</v>
      </c>
      <c r="AC36" s="317">
        <v>21535</v>
      </c>
      <c r="AD36" s="317">
        <v>24733</v>
      </c>
      <c r="AF36" s="318"/>
      <c r="AG36" s="405"/>
    </row>
    <row r="37" spans="1:206" x14ac:dyDescent="0.2">
      <c r="A37" s="36" t="s">
        <v>212</v>
      </c>
      <c r="B37" s="265">
        <v>-1471</v>
      </c>
      <c r="C37" s="265">
        <v>354</v>
      </c>
      <c r="D37" s="265">
        <v>-1490</v>
      </c>
      <c r="E37" s="265">
        <v>13644</v>
      </c>
      <c r="F37" s="265">
        <v>11037</v>
      </c>
      <c r="G37" s="200">
        <v>-13906</v>
      </c>
      <c r="H37" s="200">
        <v>6301</v>
      </c>
      <c r="I37" s="200">
        <v>3377</v>
      </c>
      <c r="J37" s="200">
        <f t="shared" si="10"/>
        <v>-9919</v>
      </c>
      <c r="K37" s="282">
        <v>-14147</v>
      </c>
      <c r="L37" s="282">
        <v>-2099</v>
      </c>
      <c r="M37" s="282">
        <v>3444</v>
      </c>
      <c r="N37" s="282">
        <v>4867</v>
      </c>
      <c r="O37" s="282">
        <f t="shared" si="11"/>
        <v>982</v>
      </c>
      <c r="P37" s="282">
        <v>7194</v>
      </c>
      <c r="Q37" s="318">
        <f t="shared" si="12"/>
        <v>0</v>
      </c>
      <c r="R37" s="317">
        <v>-1109</v>
      </c>
      <c r="S37" s="317">
        <v>5555</v>
      </c>
      <c r="T37" s="317">
        <v>2555</v>
      </c>
      <c r="U37" s="317">
        <f t="shared" si="13"/>
        <v>-6305</v>
      </c>
      <c r="V37" s="317">
        <v>696</v>
      </c>
      <c r="W37" s="317">
        <v>9057</v>
      </c>
      <c r="X37" s="317">
        <v>-9018</v>
      </c>
      <c r="Y37" s="317">
        <v>-5724</v>
      </c>
      <c r="Z37" s="317">
        <f t="shared" si="9"/>
        <v>-6377</v>
      </c>
      <c r="AA37" s="317">
        <v>-12062</v>
      </c>
      <c r="AB37" s="317">
        <v>6185</v>
      </c>
      <c r="AC37" s="317">
        <v>2499</v>
      </c>
      <c r="AD37" s="317">
        <v>-4641</v>
      </c>
      <c r="AF37" s="318"/>
      <c r="AG37" s="399"/>
    </row>
    <row r="38" spans="1:206" x14ac:dyDescent="0.2">
      <c r="A38" s="36" t="s">
        <v>30</v>
      </c>
      <c r="B38" s="265">
        <v>1569</v>
      </c>
      <c r="C38" s="265">
        <v>-1605</v>
      </c>
      <c r="D38" s="265">
        <v>1277</v>
      </c>
      <c r="E38" s="265">
        <v>-3465</v>
      </c>
      <c r="F38" s="265">
        <v>-2224</v>
      </c>
      <c r="G38" s="200">
        <v>-1789</v>
      </c>
      <c r="H38" s="200">
        <v>-2498</v>
      </c>
      <c r="I38" s="200">
        <v>-1697</v>
      </c>
      <c r="J38" s="200">
        <f t="shared" si="10"/>
        <v>-816</v>
      </c>
      <c r="K38" s="282">
        <v>-6800</v>
      </c>
      <c r="L38" s="282">
        <v>388</v>
      </c>
      <c r="M38" s="282">
        <v>-262</v>
      </c>
      <c r="N38" s="282">
        <v>-1433</v>
      </c>
      <c r="O38" s="282">
        <f t="shared" si="11"/>
        <v>-897</v>
      </c>
      <c r="P38" s="282">
        <v>-2204</v>
      </c>
      <c r="Q38" s="318">
        <f t="shared" si="12"/>
        <v>0</v>
      </c>
      <c r="R38" s="317">
        <v>925</v>
      </c>
      <c r="S38" s="317">
        <v>2121</v>
      </c>
      <c r="T38" s="317">
        <v>50</v>
      </c>
      <c r="U38" s="317">
        <f t="shared" si="13"/>
        <v>3409</v>
      </c>
      <c r="V38" s="317">
        <v>6505</v>
      </c>
      <c r="W38" s="317">
        <v>1268</v>
      </c>
      <c r="X38" s="317">
        <v>321</v>
      </c>
      <c r="Y38" s="317">
        <v>896</v>
      </c>
      <c r="Z38" s="317">
        <f t="shared" si="9"/>
        <v>-2258</v>
      </c>
      <c r="AA38" s="317">
        <v>227</v>
      </c>
      <c r="AB38" s="317">
        <v>-2924</v>
      </c>
      <c r="AC38" s="317">
        <v>-3660</v>
      </c>
      <c r="AD38" s="317">
        <v>-1844</v>
      </c>
      <c r="AF38" s="318"/>
      <c r="AG38" s="399"/>
    </row>
    <row r="39" spans="1:206" x14ac:dyDescent="0.2">
      <c r="A39" s="36" t="s">
        <v>207</v>
      </c>
      <c r="B39" s="265"/>
      <c r="C39" s="265"/>
      <c r="D39" s="265"/>
      <c r="E39" s="265"/>
      <c r="F39" s="265">
        <v>0</v>
      </c>
      <c r="G39" s="282">
        <v>0</v>
      </c>
      <c r="H39" s="282">
        <v>0</v>
      </c>
      <c r="I39" s="282">
        <v>0</v>
      </c>
      <c r="J39" s="282">
        <v>0</v>
      </c>
      <c r="K39" s="282">
        <v>0</v>
      </c>
      <c r="L39" s="282">
        <v>0</v>
      </c>
      <c r="M39" s="282">
        <v>-13749</v>
      </c>
      <c r="N39" s="282">
        <v>-5679</v>
      </c>
      <c r="O39" s="282">
        <f t="shared" si="11"/>
        <v>-5385</v>
      </c>
      <c r="P39" s="282">
        <v>-24813</v>
      </c>
      <c r="Q39" s="318">
        <f t="shared" si="12"/>
        <v>0</v>
      </c>
      <c r="R39" s="317">
        <v>-6576</v>
      </c>
      <c r="S39" s="317">
        <v>-6255</v>
      </c>
      <c r="T39" s="317">
        <v>-6949</v>
      </c>
      <c r="U39" s="317">
        <f t="shared" si="13"/>
        <v>-6809</v>
      </c>
      <c r="V39" s="317">
        <v>-26589</v>
      </c>
      <c r="W39" s="317">
        <v>-6868</v>
      </c>
      <c r="X39" s="317">
        <v>-6459</v>
      </c>
      <c r="Y39" s="317">
        <v>-6327</v>
      </c>
      <c r="Z39" s="317">
        <f t="shared" si="9"/>
        <v>-6020</v>
      </c>
      <c r="AA39" s="317">
        <v>-25674</v>
      </c>
      <c r="AB39" s="317">
        <v>-6005</v>
      </c>
      <c r="AC39" s="317">
        <v>-5917</v>
      </c>
      <c r="AD39" s="317">
        <v>-5909</v>
      </c>
      <c r="AF39" s="100"/>
      <c r="AG39" s="399"/>
    </row>
    <row r="40" spans="1:206" s="8" customFormat="1" x14ac:dyDescent="0.2">
      <c r="A40" s="53" t="s">
        <v>108</v>
      </c>
      <c r="B40" s="267">
        <f t="shared" ref="B40:P40" si="14">SUM(B8:B39)</f>
        <v>6022.1680000000015</v>
      </c>
      <c r="C40" s="267">
        <f t="shared" si="14"/>
        <v>39050.46550057143</v>
      </c>
      <c r="D40" s="267">
        <f t="shared" si="14"/>
        <v>25354.029260000003</v>
      </c>
      <c r="E40" s="267">
        <f t="shared" si="14"/>
        <v>42732.337239428569</v>
      </c>
      <c r="F40" s="267">
        <f t="shared" si="14"/>
        <v>113159</v>
      </c>
      <c r="G40" s="186">
        <f t="shared" si="14"/>
        <v>-8005</v>
      </c>
      <c r="H40" s="186">
        <f t="shared" si="14"/>
        <v>21798</v>
      </c>
      <c r="I40" s="186">
        <f t="shared" si="14"/>
        <v>33058</v>
      </c>
      <c r="J40" s="186">
        <f t="shared" si="14"/>
        <v>45584.475935178678</v>
      </c>
      <c r="K40" s="186">
        <f t="shared" si="14"/>
        <v>92435.475935178692</v>
      </c>
      <c r="L40" s="186">
        <f t="shared" si="14"/>
        <v>8342.4759351786779</v>
      </c>
      <c r="M40" s="186">
        <f t="shared" si="14"/>
        <v>39374.098391361404</v>
      </c>
      <c r="N40" s="186">
        <f t="shared" si="14"/>
        <v>58237.828320000001</v>
      </c>
      <c r="O40" s="186">
        <f t="shared" si="14"/>
        <v>62465.597353459918</v>
      </c>
      <c r="P40" s="186">
        <f t="shared" si="14"/>
        <v>168420</v>
      </c>
      <c r="Q40" s="318">
        <f t="shared" si="12"/>
        <v>0</v>
      </c>
      <c r="R40" s="329">
        <f t="shared" ref="R40:AB40" si="15">SUM(R8:R39)</f>
        <v>-13555</v>
      </c>
      <c r="S40" s="329">
        <f t="shared" si="15"/>
        <v>72462</v>
      </c>
      <c r="T40" s="329">
        <f t="shared" si="15"/>
        <v>67407</v>
      </c>
      <c r="U40" s="329">
        <f t="shared" si="15"/>
        <v>76659</v>
      </c>
      <c r="V40" s="329">
        <f t="shared" si="15"/>
        <v>202973</v>
      </c>
      <c r="W40" s="329">
        <f t="shared" si="15"/>
        <v>15205</v>
      </c>
      <c r="X40" s="329">
        <f t="shared" si="15"/>
        <v>38738</v>
      </c>
      <c r="Y40" s="329">
        <f t="shared" si="15"/>
        <v>59819</v>
      </c>
      <c r="Z40" s="329">
        <f t="shared" ref="Z40" si="16">SUM(Z8:Z39)</f>
        <v>70625</v>
      </c>
      <c r="AA40" s="329">
        <f t="shared" si="15"/>
        <v>184387</v>
      </c>
      <c r="AB40" s="329">
        <f t="shared" si="15"/>
        <v>-26870</v>
      </c>
      <c r="AC40" s="329">
        <f t="shared" ref="AC40:AD40" si="17">SUM(AC8:AC39)</f>
        <v>79878</v>
      </c>
      <c r="AD40" s="329">
        <f t="shared" si="17"/>
        <v>48081</v>
      </c>
      <c r="AE40" s="1"/>
      <c r="AF40" s="318"/>
      <c r="AG40" s="100"/>
      <c r="AH40" s="1"/>
      <c r="AQ40" s="2"/>
      <c r="AR40" s="2"/>
      <c r="AS40" s="2"/>
      <c r="AT40" s="2"/>
      <c r="AU40" s="2"/>
      <c r="AV40" s="2"/>
      <c r="AW40" s="2"/>
      <c r="AX40" s="2"/>
      <c r="AY40" s="2"/>
      <c r="AZ40" s="2"/>
      <c r="BA40" s="2"/>
      <c r="BB40" s="2"/>
      <c r="BC40" s="2"/>
      <c r="BD40" s="2"/>
      <c r="BE40" s="2"/>
      <c r="BF40" s="2"/>
      <c r="BG40" s="2"/>
      <c r="BH40" s="2"/>
      <c r="BI40" s="2"/>
      <c r="BJ40" s="2"/>
      <c r="BK40" s="2"/>
    </row>
    <row r="41" spans="1:206" x14ac:dyDescent="0.2">
      <c r="A41" s="16"/>
      <c r="B41" s="266"/>
      <c r="C41" s="266"/>
      <c r="D41" s="266"/>
      <c r="E41" s="266"/>
      <c r="F41" s="266"/>
      <c r="K41" s="282"/>
      <c r="L41" s="282"/>
      <c r="M41" s="282"/>
      <c r="N41" s="282"/>
      <c r="O41" s="282"/>
      <c r="P41" s="282"/>
      <c r="Q41" s="55"/>
      <c r="R41" s="317"/>
      <c r="S41" s="317"/>
      <c r="T41" s="317"/>
      <c r="U41" s="317"/>
      <c r="V41" s="317"/>
      <c r="W41" s="317"/>
      <c r="X41" s="317"/>
      <c r="Y41" s="317"/>
      <c r="Z41" s="317"/>
      <c r="AA41" s="317"/>
      <c r="AB41" s="317"/>
      <c r="AC41" s="317"/>
      <c r="AD41" s="317"/>
      <c r="AF41" s="100"/>
    </row>
    <row r="42" spans="1:206" x14ac:dyDescent="0.2">
      <c r="A42" s="51" t="s">
        <v>109</v>
      </c>
      <c r="B42" s="269">
        <f t="shared" ref="B42:S42" si="18">SUM(B40:B40)</f>
        <v>6022.1680000000015</v>
      </c>
      <c r="C42" s="269">
        <f t="shared" si="18"/>
        <v>39050.46550057143</v>
      </c>
      <c r="D42" s="269">
        <f t="shared" si="18"/>
        <v>25354.029260000003</v>
      </c>
      <c r="E42" s="269">
        <f t="shared" si="18"/>
        <v>42732.337239428569</v>
      </c>
      <c r="F42" s="269">
        <f t="shared" si="18"/>
        <v>113159</v>
      </c>
      <c r="G42" s="188">
        <f t="shared" si="18"/>
        <v>-8005</v>
      </c>
      <c r="H42" s="188">
        <f t="shared" si="18"/>
        <v>21798</v>
      </c>
      <c r="I42" s="188">
        <f t="shared" si="18"/>
        <v>33058</v>
      </c>
      <c r="J42" s="188">
        <f t="shared" si="18"/>
        <v>45584.475935178678</v>
      </c>
      <c r="K42" s="188">
        <f t="shared" si="18"/>
        <v>92435.475935178692</v>
      </c>
      <c r="L42" s="188">
        <f t="shared" si="18"/>
        <v>8342.4759351786779</v>
      </c>
      <c r="M42" s="188">
        <f t="shared" si="18"/>
        <v>39374.098391361404</v>
      </c>
      <c r="N42" s="188">
        <f t="shared" si="18"/>
        <v>58237.828320000001</v>
      </c>
      <c r="O42" s="188">
        <f t="shared" si="18"/>
        <v>62465.597353459918</v>
      </c>
      <c r="P42" s="188">
        <f t="shared" si="18"/>
        <v>168420</v>
      </c>
      <c r="Q42" s="318"/>
      <c r="R42" s="188">
        <f>SUM(R40:R40)</f>
        <v>-13555</v>
      </c>
      <c r="S42" s="188">
        <f t="shared" si="18"/>
        <v>72462</v>
      </c>
      <c r="T42" s="188">
        <f t="shared" ref="T42:AC42" si="19">SUM(T40:T40)</f>
        <v>67407</v>
      </c>
      <c r="U42" s="188">
        <f t="shared" si="19"/>
        <v>76659</v>
      </c>
      <c r="V42" s="188">
        <f t="shared" si="19"/>
        <v>202973</v>
      </c>
      <c r="W42" s="188">
        <f t="shared" si="19"/>
        <v>15205</v>
      </c>
      <c r="X42" s="188">
        <f t="shared" si="19"/>
        <v>38738</v>
      </c>
      <c r="Y42" s="188">
        <f t="shared" si="19"/>
        <v>59819</v>
      </c>
      <c r="Z42" s="188">
        <f t="shared" ref="Z42" si="20">SUM(Z40:Z40)</f>
        <v>70625</v>
      </c>
      <c r="AA42" s="188">
        <f t="shared" si="19"/>
        <v>184387</v>
      </c>
      <c r="AB42" s="188">
        <f t="shared" si="19"/>
        <v>-26870</v>
      </c>
      <c r="AC42" s="188">
        <f t="shared" si="19"/>
        <v>79878</v>
      </c>
      <c r="AD42" s="188">
        <f t="shared" ref="AD42" si="21">SUM(AD40:AD40)</f>
        <v>48081</v>
      </c>
      <c r="AE42" s="119"/>
      <c r="AF42" s="318"/>
      <c r="AG42" s="119"/>
      <c r="AH42" s="119"/>
      <c r="AI42" s="119"/>
      <c r="AJ42" s="119"/>
      <c r="AK42" s="119"/>
      <c r="AL42" s="119"/>
      <c r="AM42" s="119"/>
      <c r="AN42" s="119"/>
      <c r="AO42" s="119"/>
      <c r="AP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19"/>
      <c r="DV42" s="119"/>
      <c r="DW42" s="119"/>
      <c r="DX42" s="119"/>
      <c r="DY42" s="119"/>
      <c r="DZ42" s="119"/>
      <c r="EA42" s="119"/>
      <c r="EB42" s="119"/>
      <c r="EC42" s="119"/>
      <c r="ED42" s="119"/>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row>
    <row r="43" spans="1:206" x14ac:dyDescent="0.2">
      <c r="A43" s="17" t="s">
        <v>20</v>
      </c>
      <c r="B43" s="263"/>
      <c r="C43" s="263"/>
      <c r="D43" s="263"/>
      <c r="E43" s="263"/>
      <c r="F43" s="263"/>
      <c r="K43" s="282"/>
      <c r="L43" s="282"/>
      <c r="M43" s="282"/>
      <c r="N43" s="282"/>
      <c r="O43" s="282"/>
      <c r="P43" s="282"/>
      <c r="Q43" s="55"/>
      <c r="R43" s="317"/>
      <c r="S43" s="317"/>
      <c r="T43" s="317"/>
      <c r="U43" s="317"/>
      <c r="V43" s="317"/>
      <c r="W43" s="317"/>
      <c r="X43" s="317"/>
      <c r="Y43" s="317"/>
      <c r="Z43" s="317"/>
      <c r="AA43" s="317"/>
      <c r="AB43" s="317"/>
      <c r="AC43" s="317"/>
      <c r="AD43" s="317"/>
      <c r="AF43" s="100"/>
    </row>
    <row r="44" spans="1:206" x14ac:dyDescent="0.2">
      <c r="A44" s="13" t="s">
        <v>110</v>
      </c>
      <c r="B44" s="270"/>
      <c r="C44" s="270"/>
      <c r="D44" s="270"/>
      <c r="E44" s="270"/>
      <c r="F44" s="270"/>
      <c r="K44" s="282"/>
      <c r="L44" s="282"/>
      <c r="M44" s="282"/>
      <c r="N44" s="282"/>
      <c r="O44" s="282"/>
      <c r="P44" s="282"/>
      <c r="Q44" s="55"/>
      <c r="R44" s="317"/>
      <c r="S44" s="317"/>
      <c r="T44" s="317"/>
      <c r="U44" s="317"/>
      <c r="V44" s="317"/>
      <c r="W44" s="317"/>
      <c r="X44" s="317"/>
      <c r="Y44" s="317"/>
      <c r="Z44" s="317"/>
      <c r="AA44" s="317"/>
      <c r="AB44" s="317"/>
      <c r="AC44" s="317"/>
      <c r="AD44" s="317"/>
      <c r="AF44" s="318"/>
    </row>
    <row r="45" spans="1:206" x14ac:dyDescent="0.2">
      <c r="A45" s="15" t="s">
        <v>178</v>
      </c>
      <c r="B45" s="266">
        <v>-10114</v>
      </c>
      <c r="C45" s="266">
        <v>-10333</v>
      </c>
      <c r="D45" s="266">
        <v>-6312</v>
      </c>
      <c r="E45" s="266">
        <v>-8395</v>
      </c>
      <c r="F45" s="266">
        <v>-35154</v>
      </c>
      <c r="G45" s="244">
        <v>-12680</v>
      </c>
      <c r="H45" s="244">
        <v>-6616</v>
      </c>
      <c r="I45" s="244">
        <v>-10774</v>
      </c>
      <c r="J45" s="244">
        <f t="shared" ref="J45:J51" si="22">+K45-SUM(G45:I45)</f>
        <v>-10719</v>
      </c>
      <c r="K45" s="282">
        <v>-40789</v>
      </c>
      <c r="L45" s="282">
        <v>-10878</v>
      </c>
      <c r="M45" s="282">
        <v>-11409</v>
      </c>
      <c r="N45" s="282">
        <f>-10021</f>
        <v>-10021</v>
      </c>
      <c r="O45" s="282">
        <f t="shared" ref="O45:O50" si="23">+P45-SUM(L45:N45)</f>
        <v>-8237</v>
      </c>
      <c r="P45" s="282">
        <v>-40545</v>
      </c>
      <c r="Q45" s="318">
        <f t="shared" ref="Q45:Q52" si="24">SUM(L45:O45)-P45</f>
        <v>0</v>
      </c>
      <c r="R45" s="317">
        <v>-12347</v>
      </c>
      <c r="S45" s="317">
        <v>-10004</v>
      </c>
      <c r="T45" s="317">
        <v>-12263</v>
      </c>
      <c r="U45" s="317">
        <f t="shared" ref="U45:U50" si="25">+V45-SUM(R45:T45)</f>
        <v>-7610</v>
      </c>
      <c r="V45" s="317">
        <v>-42224</v>
      </c>
      <c r="W45" s="317">
        <v>-12680</v>
      </c>
      <c r="X45" s="317">
        <v>-7223</v>
      </c>
      <c r="Y45" s="317">
        <v>-9123</v>
      </c>
      <c r="Z45" s="317">
        <f t="shared" ref="Z45:Z51" si="26">+AA45-SUM(W45:Y45)</f>
        <v>-8222</v>
      </c>
      <c r="AA45" s="317">
        <v>-37248</v>
      </c>
      <c r="AB45" s="317">
        <v>-16101</v>
      </c>
      <c r="AC45" s="317">
        <v>-8953</v>
      </c>
      <c r="AD45" s="317">
        <v>-7045</v>
      </c>
      <c r="AF45" s="318"/>
      <c r="AG45" s="318"/>
    </row>
    <row r="46" spans="1:206" x14ac:dyDescent="0.2">
      <c r="A46" s="15" t="s">
        <v>236</v>
      </c>
      <c r="B46" s="266"/>
      <c r="C46" s="266"/>
      <c r="D46" s="266"/>
      <c r="E46" s="266"/>
      <c r="F46" s="350">
        <v>0</v>
      </c>
      <c r="G46" s="244"/>
      <c r="H46" s="244"/>
      <c r="I46" s="244"/>
      <c r="J46" s="244">
        <f>K46</f>
        <v>352</v>
      </c>
      <c r="K46" s="282">
        <v>352</v>
      </c>
      <c r="L46" s="282">
        <v>0</v>
      </c>
      <c r="M46" s="282">
        <v>0</v>
      </c>
      <c r="N46" s="282">
        <v>0</v>
      </c>
      <c r="O46" s="282">
        <f>P46</f>
        <v>407</v>
      </c>
      <c r="P46" s="282">
        <v>407</v>
      </c>
      <c r="Q46" s="318"/>
      <c r="R46" s="317">
        <v>73</v>
      </c>
      <c r="S46" s="317">
        <v>227</v>
      </c>
      <c r="T46" s="317">
        <v>324</v>
      </c>
      <c r="U46" s="317">
        <f t="shared" si="25"/>
        <v>292</v>
      </c>
      <c r="V46" s="317">
        <v>916</v>
      </c>
      <c r="W46" s="317">
        <v>129</v>
      </c>
      <c r="X46" s="317">
        <v>398</v>
      </c>
      <c r="Y46" s="317">
        <v>298</v>
      </c>
      <c r="Z46" s="317">
        <f t="shared" si="26"/>
        <v>475</v>
      </c>
      <c r="AA46" s="317">
        <v>1300</v>
      </c>
      <c r="AB46" s="317">
        <v>63</v>
      </c>
      <c r="AC46" s="317">
        <v>91</v>
      </c>
      <c r="AD46" s="317">
        <v>43</v>
      </c>
      <c r="AF46" s="318"/>
      <c r="AG46" s="318"/>
    </row>
    <row r="47" spans="1:206" x14ac:dyDescent="0.2">
      <c r="A47" s="15" t="s">
        <v>174</v>
      </c>
      <c r="B47" s="220">
        <v>0</v>
      </c>
      <c r="C47" s="220">
        <v>0</v>
      </c>
      <c r="D47" s="220">
        <v>0</v>
      </c>
      <c r="E47" s="220">
        <v>-3000</v>
      </c>
      <c r="F47" s="209">
        <v>-3000</v>
      </c>
      <c r="G47" s="199">
        <v>0</v>
      </c>
      <c r="H47" s="199">
        <v>0</v>
      </c>
      <c r="I47" s="199">
        <v>0</v>
      </c>
      <c r="J47" s="199">
        <f t="shared" si="22"/>
        <v>0</v>
      </c>
      <c r="K47" s="282">
        <v>0</v>
      </c>
      <c r="L47" s="282">
        <v>0</v>
      </c>
      <c r="M47" s="282">
        <v>0</v>
      </c>
      <c r="N47" s="282">
        <v>0</v>
      </c>
      <c r="O47" s="282">
        <f t="shared" si="23"/>
        <v>0</v>
      </c>
      <c r="P47" s="282">
        <v>0</v>
      </c>
      <c r="Q47" s="318">
        <f t="shared" si="24"/>
        <v>0</v>
      </c>
      <c r="R47" s="317">
        <v>-700</v>
      </c>
      <c r="S47" s="317">
        <v>0</v>
      </c>
      <c r="T47" s="317">
        <v>0</v>
      </c>
      <c r="U47" s="317">
        <f t="shared" si="25"/>
        <v>0</v>
      </c>
      <c r="V47" s="317">
        <v>-700</v>
      </c>
      <c r="W47" s="317">
        <v>0</v>
      </c>
      <c r="X47" s="317">
        <v>0</v>
      </c>
      <c r="Y47" s="317">
        <v>0</v>
      </c>
      <c r="Z47" s="317">
        <f t="shared" si="26"/>
        <v>0</v>
      </c>
      <c r="AA47" s="317">
        <v>0</v>
      </c>
      <c r="AB47" s="317">
        <v>0</v>
      </c>
      <c r="AC47" s="317">
        <v>0</v>
      </c>
      <c r="AD47" s="317">
        <v>0</v>
      </c>
      <c r="AF47" s="318"/>
      <c r="AG47" s="318"/>
    </row>
    <row r="48" spans="1:206" x14ac:dyDescent="0.2">
      <c r="A48" s="15" t="s">
        <v>167</v>
      </c>
      <c r="B48" s="265">
        <v>0</v>
      </c>
      <c r="C48" s="265">
        <v>0</v>
      </c>
      <c r="D48" s="265">
        <v>-724</v>
      </c>
      <c r="E48" s="265">
        <v>-22576</v>
      </c>
      <c r="F48" s="265">
        <v>-23300</v>
      </c>
      <c r="G48" s="200">
        <v>-380</v>
      </c>
      <c r="H48" s="200">
        <v>-115</v>
      </c>
      <c r="I48" s="200">
        <v>-231423</v>
      </c>
      <c r="J48" s="200">
        <f t="shared" si="22"/>
        <v>89</v>
      </c>
      <c r="K48" s="282">
        <v>-231829</v>
      </c>
      <c r="L48" s="282">
        <v>0</v>
      </c>
      <c r="M48" s="282">
        <v>0</v>
      </c>
      <c r="N48" s="282">
        <v>0</v>
      </c>
      <c r="O48" s="282">
        <f t="shared" si="23"/>
        <v>0</v>
      </c>
      <c r="P48" s="282">
        <v>0</v>
      </c>
      <c r="Q48" s="318">
        <f t="shared" si="24"/>
        <v>0</v>
      </c>
      <c r="R48" s="317">
        <v>0</v>
      </c>
      <c r="S48" s="317">
        <v>0</v>
      </c>
      <c r="T48" s="317">
        <v>0</v>
      </c>
      <c r="U48" s="317">
        <f t="shared" si="25"/>
        <v>0</v>
      </c>
      <c r="V48" s="317">
        <v>0</v>
      </c>
      <c r="W48" s="317">
        <v>0</v>
      </c>
      <c r="X48" s="317">
        <v>0</v>
      </c>
      <c r="Y48" s="317">
        <v>0</v>
      </c>
      <c r="Z48" s="317">
        <f t="shared" si="26"/>
        <v>-76831</v>
      </c>
      <c r="AA48" s="317">
        <v>-76831</v>
      </c>
      <c r="AB48" s="317">
        <v>-1367</v>
      </c>
      <c r="AC48" s="317">
        <v>-1205</v>
      </c>
      <c r="AD48" s="317">
        <v>-750</v>
      </c>
      <c r="AF48" s="399"/>
      <c r="AG48" s="318"/>
    </row>
    <row r="49" spans="1:206" x14ac:dyDescent="0.2">
      <c r="A49" s="15" t="s">
        <v>205</v>
      </c>
      <c r="B49" s="265"/>
      <c r="C49" s="265"/>
      <c r="D49" s="265"/>
      <c r="E49" s="265"/>
      <c r="F49" s="265"/>
      <c r="G49" s="33">
        <v>0</v>
      </c>
      <c r="H49" s="33">
        <v>0</v>
      </c>
      <c r="I49" s="33">
        <v>0</v>
      </c>
      <c r="J49" s="33">
        <v>0</v>
      </c>
      <c r="K49" s="33">
        <v>0</v>
      </c>
      <c r="L49" s="33">
        <v>0</v>
      </c>
      <c r="M49" s="282">
        <v>-241</v>
      </c>
      <c r="N49" s="282">
        <v>0</v>
      </c>
      <c r="O49" s="282">
        <f t="shared" si="23"/>
        <v>0</v>
      </c>
      <c r="P49" s="282">
        <v>-241</v>
      </c>
      <c r="Q49" s="318">
        <f t="shared" si="24"/>
        <v>0</v>
      </c>
      <c r="R49" s="317">
        <v>0</v>
      </c>
      <c r="S49" s="317">
        <v>0</v>
      </c>
      <c r="T49" s="317">
        <v>0</v>
      </c>
      <c r="U49" s="317">
        <f t="shared" si="25"/>
        <v>0</v>
      </c>
      <c r="V49" s="317">
        <v>0</v>
      </c>
      <c r="W49" s="317">
        <v>0</v>
      </c>
      <c r="X49" s="317">
        <v>0</v>
      </c>
      <c r="Y49" s="317">
        <v>0</v>
      </c>
      <c r="Z49" s="317">
        <f t="shared" si="26"/>
        <v>0</v>
      </c>
      <c r="AA49" s="317">
        <v>0</v>
      </c>
      <c r="AB49" s="317">
        <v>0</v>
      </c>
      <c r="AC49" s="317">
        <v>0</v>
      </c>
      <c r="AD49" s="317">
        <v>0</v>
      </c>
      <c r="AF49" s="318"/>
    </row>
    <row r="50" spans="1:206" x14ac:dyDescent="0.2">
      <c r="A50" s="15" t="s">
        <v>115</v>
      </c>
      <c r="B50" s="265">
        <v>-129837</v>
      </c>
      <c r="C50" s="265">
        <v>-39585</v>
      </c>
      <c r="D50" s="265">
        <v>-28475</v>
      </c>
      <c r="E50" s="265">
        <v>-204824</v>
      </c>
      <c r="F50" s="265">
        <v>-402721</v>
      </c>
      <c r="G50" s="200">
        <v>-20310</v>
      </c>
      <c r="H50" s="200">
        <v>-20353</v>
      </c>
      <c r="I50" s="200">
        <v>-17294</v>
      </c>
      <c r="J50" s="200">
        <f t="shared" si="22"/>
        <v>-75477</v>
      </c>
      <c r="K50" s="282">
        <v>-133434</v>
      </c>
      <c r="L50" s="282">
        <v>-47683</v>
      </c>
      <c r="M50" s="282">
        <v>-20505</v>
      </c>
      <c r="N50" s="282">
        <v>-49746</v>
      </c>
      <c r="O50" s="282">
        <f t="shared" si="23"/>
        <v>-70040</v>
      </c>
      <c r="P50" s="282">
        <v>-187974</v>
      </c>
      <c r="Q50" s="318">
        <f t="shared" si="24"/>
        <v>0</v>
      </c>
      <c r="R50" s="317">
        <v>-23830</v>
      </c>
      <c r="S50" s="317">
        <v>-25197</v>
      </c>
      <c r="T50" s="317">
        <v>-8938</v>
      </c>
      <c r="U50" s="317">
        <f t="shared" si="25"/>
        <v>-44497</v>
      </c>
      <c r="V50" s="317">
        <v>-102462</v>
      </c>
      <c r="W50" s="317">
        <v>-18835</v>
      </c>
      <c r="X50" s="317">
        <v>-14152</v>
      </c>
      <c r="Y50" s="317">
        <v>-43513</v>
      </c>
      <c r="Z50" s="317">
        <f t="shared" si="26"/>
        <v>-19511</v>
      </c>
      <c r="AA50" s="317">
        <v>-96011</v>
      </c>
      <c r="AB50" s="317">
        <v>-36804</v>
      </c>
      <c r="AC50" s="317">
        <v>-59278</v>
      </c>
      <c r="AD50" s="317">
        <v>-68231</v>
      </c>
      <c r="AF50" s="318"/>
      <c r="AG50" s="318"/>
    </row>
    <row r="51" spans="1:206" x14ac:dyDescent="0.2">
      <c r="A51" s="15" t="s">
        <v>116</v>
      </c>
      <c r="B51" s="265">
        <v>22879</v>
      </c>
      <c r="C51" s="265">
        <v>16596</v>
      </c>
      <c r="D51" s="265">
        <v>14763</v>
      </c>
      <c r="E51" s="265">
        <v>187201</v>
      </c>
      <c r="F51" s="265">
        <v>241439</v>
      </c>
      <c r="G51" s="200">
        <v>30358</v>
      </c>
      <c r="H51" s="200">
        <v>30453</v>
      </c>
      <c r="I51" s="200">
        <v>18725</v>
      </c>
      <c r="J51" s="200">
        <f t="shared" si="22"/>
        <v>48672</v>
      </c>
      <c r="K51" s="282">
        <v>128208</v>
      </c>
      <c r="L51" s="282">
        <v>21361</v>
      </c>
      <c r="M51" s="282">
        <v>70308</v>
      </c>
      <c r="N51" s="282">
        <v>37474</v>
      </c>
      <c r="O51" s="282">
        <f>+P51-SUM(L51:N51)</f>
        <v>47825</v>
      </c>
      <c r="P51" s="282">
        <v>176968</v>
      </c>
      <c r="Q51" s="318">
        <f t="shared" si="24"/>
        <v>0</v>
      </c>
      <c r="R51" s="317">
        <v>72844</v>
      </c>
      <c r="S51" s="317">
        <v>0</v>
      </c>
      <c r="T51" s="317">
        <v>30874</v>
      </c>
      <c r="U51" s="317">
        <f>+V51-SUM(R51:T51)</f>
        <v>22436</v>
      </c>
      <c r="V51" s="317">
        <v>126154</v>
      </c>
      <c r="W51" s="317">
        <v>5357</v>
      </c>
      <c r="X51" s="317">
        <v>58674</v>
      </c>
      <c r="Y51" s="317">
        <v>19152</v>
      </c>
      <c r="Z51" s="317">
        <f t="shared" si="26"/>
        <v>11337</v>
      </c>
      <c r="AA51" s="317">
        <v>94520</v>
      </c>
      <c r="AB51" s="317">
        <v>49515</v>
      </c>
      <c r="AC51" s="317">
        <v>33052</v>
      </c>
      <c r="AD51" s="317">
        <v>41788</v>
      </c>
      <c r="AF51" s="100"/>
      <c r="AG51" s="318"/>
    </row>
    <row r="52" spans="1:206" s="8" customFormat="1" x14ac:dyDescent="0.2">
      <c r="A52" s="53" t="s">
        <v>75</v>
      </c>
      <c r="B52" s="267">
        <f>SUM(B45:B51)</f>
        <v>-117072</v>
      </c>
      <c r="C52" s="267">
        <f>SUM(C45:C51)</f>
        <v>-33322</v>
      </c>
      <c r="D52" s="267">
        <f>SUM(D45:D51)</f>
        <v>-20748</v>
      </c>
      <c r="E52" s="267">
        <f>SUM(E45:E51)</f>
        <v>-51594</v>
      </c>
      <c r="F52" s="267">
        <f>SUM(F45:F51)</f>
        <v>-222736</v>
      </c>
      <c r="G52" s="186">
        <f t="shared" ref="G52:M52" si="27">SUM(G45:G51)</f>
        <v>-3012</v>
      </c>
      <c r="H52" s="186">
        <f t="shared" si="27"/>
        <v>3369</v>
      </c>
      <c r="I52" s="186">
        <f t="shared" si="27"/>
        <v>-240766</v>
      </c>
      <c r="J52" s="186">
        <f t="shared" si="27"/>
        <v>-37083</v>
      </c>
      <c r="K52" s="186">
        <f t="shared" si="27"/>
        <v>-277492</v>
      </c>
      <c r="L52" s="186">
        <f t="shared" si="27"/>
        <v>-37200</v>
      </c>
      <c r="M52" s="186">
        <f t="shared" si="27"/>
        <v>38153</v>
      </c>
      <c r="N52" s="186">
        <f>SUM(N45:N51)</f>
        <v>-22293</v>
      </c>
      <c r="O52" s="186">
        <f>SUM(O45:O51)</f>
        <v>-30045</v>
      </c>
      <c r="P52" s="186">
        <f>SUM(P45:P51)</f>
        <v>-51385</v>
      </c>
      <c r="Q52" s="318">
        <f t="shared" si="24"/>
        <v>0</v>
      </c>
      <c r="R52" s="329">
        <f t="shared" ref="R52:X52" si="28">SUM(R45:R51)</f>
        <v>36040</v>
      </c>
      <c r="S52" s="329">
        <f t="shared" si="28"/>
        <v>-34974</v>
      </c>
      <c r="T52" s="329">
        <f t="shared" si="28"/>
        <v>9997</v>
      </c>
      <c r="U52" s="329">
        <f t="shared" si="28"/>
        <v>-29379</v>
      </c>
      <c r="V52" s="329">
        <f t="shared" si="28"/>
        <v>-18316</v>
      </c>
      <c r="W52" s="329">
        <f t="shared" si="28"/>
        <v>-26029</v>
      </c>
      <c r="X52" s="329">
        <f t="shared" si="28"/>
        <v>37697</v>
      </c>
      <c r="Y52" s="329">
        <f t="shared" ref="Y52:AB52" si="29">SUM(Y45:Y51)</f>
        <v>-33186</v>
      </c>
      <c r="Z52" s="329">
        <f t="shared" ref="Z52" si="30">SUM(Z45:Z51)</f>
        <v>-92752</v>
      </c>
      <c r="AA52" s="329">
        <f t="shared" si="29"/>
        <v>-114270</v>
      </c>
      <c r="AB52" s="329">
        <f t="shared" si="29"/>
        <v>-4694</v>
      </c>
      <c r="AC52" s="329">
        <f t="shared" ref="AC52:AD52" si="31">SUM(AC45:AC51)</f>
        <v>-36293</v>
      </c>
      <c r="AD52" s="329">
        <f t="shared" si="31"/>
        <v>-34195</v>
      </c>
      <c r="AE52" s="1"/>
      <c r="AF52" s="399"/>
      <c r="AG52" s="318"/>
      <c r="AH52" s="1"/>
      <c r="AQ52" s="2"/>
      <c r="AR52" s="2"/>
      <c r="AS52" s="2"/>
      <c r="AT52" s="2"/>
      <c r="AU52" s="2"/>
      <c r="AV52" s="2"/>
      <c r="AW52" s="2"/>
      <c r="AX52" s="2"/>
      <c r="AY52" s="2"/>
      <c r="AZ52" s="2"/>
      <c r="BA52" s="2"/>
      <c r="BB52" s="2"/>
      <c r="BC52" s="2"/>
      <c r="BD52" s="2"/>
      <c r="BE52" s="2"/>
      <c r="BF52" s="2"/>
      <c r="BG52" s="2"/>
      <c r="BH52" s="2"/>
      <c r="BI52" s="2"/>
      <c r="BJ52" s="2"/>
      <c r="BK52" s="2"/>
    </row>
    <row r="53" spans="1:206" s="8" customFormat="1" x14ac:dyDescent="0.2">
      <c r="A53" s="54" t="s">
        <v>76</v>
      </c>
      <c r="B53" s="268">
        <v>0</v>
      </c>
      <c r="C53" s="268">
        <v>0</v>
      </c>
      <c r="D53" s="268">
        <v>0</v>
      </c>
      <c r="E53" s="268">
        <v>0</v>
      </c>
      <c r="F53" s="268">
        <v>0</v>
      </c>
      <c r="G53" s="201">
        <v>0</v>
      </c>
      <c r="H53" s="201">
        <v>0</v>
      </c>
      <c r="I53" s="201">
        <v>0</v>
      </c>
      <c r="J53" s="201">
        <v>0</v>
      </c>
      <c r="K53" s="201">
        <v>0</v>
      </c>
      <c r="L53" s="201">
        <v>0</v>
      </c>
      <c r="M53" s="201">
        <v>0</v>
      </c>
      <c r="N53" s="201">
        <v>0</v>
      </c>
      <c r="O53" s="201">
        <v>0</v>
      </c>
      <c r="P53" s="201">
        <v>0</v>
      </c>
      <c r="Q53" s="1"/>
      <c r="R53" s="330">
        <v>0</v>
      </c>
      <c r="S53" s="330">
        <v>0</v>
      </c>
      <c r="T53" s="330">
        <v>0</v>
      </c>
      <c r="U53" s="330">
        <v>0</v>
      </c>
      <c r="V53" s="330">
        <v>0</v>
      </c>
      <c r="W53" s="330">
        <v>0</v>
      </c>
      <c r="X53" s="330">
        <v>0</v>
      </c>
      <c r="Y53" s="330">
        <v>0</v>
      </c>
      <c r="Z53" s="330">
        <v>0</v>
      </c>
      <c r="AA53" s="330">
        <v>0</v>
      </c>
      <c r="AB53" s="330">
        <v>0</v>
      </c>
      <c r="AC53" s="330">
        <v>0</v>
      </c>
      <c r="AD53" s="330">
        <v>0</v>
      </c>
      <c r="AE53" s="1"/>
      <c r="AF53" s="100"/>
      <c r="AG53" s="1"/>
      <c r="AH53" s="1"/>
      <c r="AQ53" s="2"/>
      <c r="AR53" s="2"/>
      <c r="AS53" s="2"/>
      <c r="AT53" s="2"/>
      <c r="AU53" s="2"/>
      <c r="AV53" s="2"/>
      <c r="AW53" s="2"/>
      <c r="AX53" s="2"/>
      <c r="AY53" s="2"/>
      <c r="AZ53" s="2"/>
      <c r="BA53" s="2"/>
      <c r="BB53" s="2"/>
      <c r="BC53" s="2"/>
      <c r="BD53" s="2"/>
      <c r="BE53" s="2"/>
      <c r="BF53" s="2"/>
      <c r="BG53" s="2"/>
      <c r="BH53" s="2"/>
      <c r="BI53" s="2"/>
      <c r="BJ53" s="2"/>
      <c r="BK53" s="2"/>
    </row>
    <row r="54" spans="1:206" x14ac:dyDescent="0.2">
      <c r="A54" s="16"/>
      <c r="B54" s="266"/>
      <c r="C54" s="266"/>
      <c r="D54" s="266"/>
      <c r="E54" s="266"/>
      <c r="F54" s="266"/>
      <c r="K54" s="184"/>
      <c r="L54" s="184"/>
      <c r="M54" s="184"/>
      <c r="N54" s="311"/>
      <c r="O54" s="311"/>
      <c r="P54" s="311"/>
      <c r="Q54" s="55"/>
      <c r="R54" s="331"/>
      <c r="S54" s="331"/>
      <c r="T54" s="331"/>
      <c r="U54" s="331"/>
      <c r="V54" s="331"/>
      <c r="W54" s="331"/>
      <c r="X54" s="331"/>
      <c r="Y54" s="331"/>
      <c r="Z54" s="331"/>
      <c r="AA54" s="331"/>
      <c r="AB54" s="331"/>
      <c r="AC54" s="331"/>
      <c r="AD54" s="331"/>
      <c r="AF54" s="100"/>
    </row>
    <row r="55" spans="1:206" x14ac:dyDescent="0.2">
      <c r="A55" s="51" t="s">
        <v>197</v>
      </c>
      <c r="B55" s="269">
        <f t="shared" ref="B55:P55" si="32">SUM(B52:B53)</f>
        <v>-117072</v>
      </c>
      <c r="C55" s="269">
        <f t="shared" si="32"/>
        <v>-33322</v>
      </c>
      <c r="D55" s="269">
        <f t="shared" si="32"/>
        <v>-20748</v>
      </c>
      <c r="E55" s="269">
        <f t="shared" si="32"/>
        <v>-51594</v>
      </c>
      <c r="F55" s="269">
        <f t="shared" si="32"/>
        <v>-222736</v>
      </c>
      <c r="G55" s="188">
        <f t="shared" si="32"/>
        <v>-3012</v>
      </c>
      <c r="H55" s="188">
        <f t="shared" si="32"/>
        <v>3369</v>
      </c>
      <c r="I55" s="188">
        <f t="shared" si="32"/>
        <v>-240766</v>
      </c>
      <c r="J55" s="188">
        <f t="shared" si="32"/>
        <v>-37083</v>
      </c>
      <c r="K55" s="188">
        <f t="shared" si="32"/>
        <v>-277492</v>
      </c>
      <c r="L55" s="188">
        <f t="shared" si="32"/>
        <v>-37200</v>
      </c>
      <c r="M55" s="188">
        <f t="shared" si="32"/>
        <v>38153</v>
      </c>
      <c r="N55" s="188">
        <f t="shared" si="32"/>
        <v>-22293</v>
      </c>
      <c r="O55" s="188">
        <f t="shared" si="32"/>
        <v>-30045</v>
      </c>
      <c r="P55" s="188">
        <f t="shared" si="32"/>
        <v>-51385</v>
      </c>
      <c r="Q55" s="318">
        <f>SUM(L55:O55)-P55</f>
        <v>0</v>
      </c>
      <c r="R55" s="188">
        <f t="shared" ref="R55:X55" si="33">SUM(R52:R53)</f>
        <v>36040</v>
      </c>
      <c r="S55" s="188">
        <f t="shared" si="33"/>
        <v>-34974</v>
      </c>
      <c r="T55" s="188">
        <f t="shared" si="33"/>
        <v>9997</v>
      </c>
      <c r="U55" s="188">
        <f t="shared" si="33"/>
        <v>-29379</v>
      </c>
      <c r="V55" s="188">
        <f t="shared" si="33"/>
        <v>-18316</v>
      </c>
      <c r="W55" s="188">
        <f t="shared" si="33"/>
        <v>-26029</v>
      </c>
      <c r="X55" s="188">
        <f t="shared" si="33"/>
        <v>37697</v>
      </c>
      <c r="Y55" s="188">
        <f t="shared" ref="Y55:AB55" si="34">SUM(Y52:Y53)</f>
        <v>-33186</v>
      </c>
      <c r="Z55" s="188">
        <f t="shared" ref="Z55" si="35">SUM(Z52:Z53)</f>
        <v>-92752</v>
      </c>
      <c r="AA55" s="188">
        <f t="shared" si="34"/>
        <v>-114270</v>
      </c>
      <c r="AB55" s="188">
        <f t="shared" si="34"/>
        <v>-4694</v>
      </c>
      <c r="AC55" s="188">
        <f t="shared" ref="AC55:AD55" si="36">SUM(AC52:AC53)</f>
        <v>-36293</v>
      </c>
      <c r="AD55" s="188">
        <f t="shared" si="36"/>
        <v>-34195</v>
      </c>
      <c r="AE55" s="119"/>
      <c r="AF55" s="318"/>
      <c r="AG55" s="318"/>
      <c r="AH55" s="119"/>
      <c r="AI55" s="119"/>
      <c r="AJ55" s="119"/>
      <c r="AK55" s="119"/>
      <c r="AL55" s="119"/>
      <c r="AM55" s="119"/>
      <c r="AN55" s="119"/>
      <c r="AO55" s="119"/>
      <c r="AP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119"/>
      <c r="CO55" s="119"/>
      <c r="CP55" s="119"/>
      <c r="CQ55" s="119"/>
      <c r="CR55" s="119"/>
      <c r="CS55" s="119"/>
      <c r="CT55" s="119"/>
      <c r="CU55" s="119"/>
      <c r="CV55" s="119"/>
      <c r="CW55" s="119"/>
      <c r="CX55" s="119"/>
      <c r="CY55" s="119"/>
      <c r="CZ55" s="119"/>
      <c r="DA55" s="119"/>
      <c r="DB55" s="119"/>
      <c r="DC55" s="119"/>
      <c r="DD55" s="119"/>
      <c r="DE55" s="119"/>
      <c r="DF55" s="119"/>
      <c r="DG55" s="119"/>
      <c r="DH55" s="119"/>
      <c r="DI55" s="119"/>
      <c r="DJ55" s="119"/>
      <c r="DK55" s="119"/>
      <c r="DL55" s="119"/>
      <c r="DM55" s="119"/>
      <c r="DN55" s="119"/>
      <c r="DO55" s="119"/>
      <c r="DP55" s="119"/>
      <c r="DQ55" s="119"/>
      <c r="DR55" s="119"/>
      <c r="DS55" s="119"/>
      <c r="DT55" s="119"/>
      <c r="DU55" s="119"/>
      <c r="DV55" s="119"/>
      <c r="DW55" s="119"/>
      <c r="DX55" s="119"/>
      <c r="DY55" s="119"/>
      <c r="DZ55" s="119"/>
      <c r="EA55" s="119"/>
      <c r="EB55" s="119"/>
      <c r="EC55" s="119"/>
      <c r="ED55" s="119"/>
      <c r="EE55" s="119"/>
      <c r="EF55" s="119"/>
      <c r="EG55" s="119"/>
      <c r="EH55" s="119"/>
      <c r="EI55" s="119"/>
      <c r="EJ55" s="119"/>
      <c r="EK55" s="119"/>
      <c r="EL55" s="119"/>
      <c r="EM55" s="119"/>
      <c r="EN55" s="119"/>
      <c r="EO55" s="119"/>
      <c r="EP55" s="119"/>
      <c r="EQ55" s="119"/>
      <c r="ER55" s="119"/>
      <c r="ES55" s="119"/>
      <c r="ET55" s="119"/>
      <c r="EU55" s="119"/>
      <c r="EV55" s="119"/>
      <c r="EW55" s="119"/>
      <c r="EX55" s="119"/>
      <c r="EY55" s="119"/>
      <c r="EZ55" s="119"/>
      <c r="FA55" s="119"/>
      <c r="FB55" s="119"/>
      <c r="FC55" s="119"/>
      <c r="FD55" s="119"/>
      <c r="FE55" s="119"/>
      <c r="FF55" s="119"/>
      <c r="FG55" s="119"/>
      <c r="FH55" s="119"/>
      <c r="FI55" s="119"/>
      <c r="FJ55" s="119"/>
      <c r="FK55" s="119"/>
      <c r="FL55" s="119"/>
      <c r="FM55" s="119"/>
      <c r="FN55" s="119"/>
      <c r="FO55" s="119"/>
      <c r="FP55" s="119"/>
      <c r="FQ55" s="119"/>
      <c r="FR55" s="119"/>
      <c r="FS55" s="119"/>
      <c r="FT55" s="119"/>
      <c r="FU55" s="119"/>
      <c r="FV55" s="119"/>
      <c r="FW55" s="119"/>
      <c r="FX55" s="119"/>
      <c r="FY55" s="119"/>
      <c r="FZ55" s="119"/>
      <c r="GA55" s="119"/>
      <c r="GB55" s="119"/>
      <c r="GC55" s="119"/>
      <c r="GD55" s="119"/>
      <c r="GE55" s="119"/>
      <c r="GF55" s="119"/>
      <c r="GG55" s="119"/>
      <c r="GH55" s="119"/>
      <c r="GI55" s="119"/>
      <c r="GJ55" s="119"/>
      <c r="GK55" s="119"/>
      <c r="GL55" s="119"/>
      <c r="GM55" s="119"/>
      <c r="GN55" s="119"/>
      <c r="GO55" s="119"/>
      <c r="GP55" s="119"/>
      <c r="GQ55" s="119"/>
      <c r="GR55" s="119"/>
      <c r="GS55" s="119"/>
      <c r="GT55" s="119"/>
      <c r="GU55" s="119"/>
      <c r="GV55" s="119"/>
      <c r="GW55" s="119"/>
      <c r="GX55" s="119"/>
    </row>
    <row r="56" spans="1:206" x14ac:dyDescent="0.2">
      <c r="A56" s="17" t="s">
        <v>20</v>
      </c>
      <c r="B56" s="263"/>
      <c r="C56" s="263"/>
      <c r="D56" s="263"/>
      <c r="E56" s="263"/>
      <c r="F56" s="263"/>
      <c r="K56" s="282"/>
      <c r="L56" s="282"/>
      <c r="M56" s="282"/>
      <c r="N56" s="282"/>
      <c r="O56" s="282"/>
      <c r="P56" s="282"/>
      <c r="Q56" s="55"/>
      <c r="R56" s="317"/>
      <c r="S56" s="317"/>
      <c r="T56" s="317"/>
      <c r="U56" s="317"/>
      <c r="V56" s="317"/>
      <c r="W56" s="317"/>
      <c r="X56" s="317"/>
      <c r="Y56" s="317"/>
      <c r="Z56" s="317"/>
      <c r="AA56" s="317"/>
      <c r="AB56" s="317"/>
      <c r="AC56" s="317"/>
      <c r="AD56" s="317"/>
      <c r="AF56" s="100"/>
    </row>
    <row r="57" spans="1:206" x14ac:dyDescent="0.2">
      <c r="A57" s="13" t="s">
        <v>111</v>
      </c>
      <c r="B57" s="263"/>
      <c r="C57" s="263"/>
      <c r="D57" s="263"/>
      <c r="E57" s="263"/>
      <c r="F57" s="263"/>
      <c r="K57" s="282"/>
      <c r="L57" s="282"/>
      <c r="M57" s="282"/>
      <c r="N57" s="282"/>
      <c r="O57" s="282"/>
      <c r="P57" s="282"/>
      <c r="Q57" s="55"/>
      <c r="R57" s="317"/>
      <c r="S57" s="317"/>
      <c r="T57" s="317"/>
      <c r="U57" s="317"/>
      <c r="V57" s="317"/>
      <c r="W57" s="317"/>
      <c r="X57" s="317"/>
      <c r="Y57" s="317"/>
      <c r="Z57" s="317"/>
      <c r="AA57" s="317"/>
      <c r="AB57" s="317"/>
      <c r="AC57" s="317"/>
      <c r="AD57" s="317"/>
      <c r="AF57" s="318"/>
    </row>
    <row r="58" spans="1:206" x14ac:dyDescent="0.2">
      <c r="A58" s="15" t="s">
        <v>39</v>
      </c>
      <c r="B58" s="272">
        <v>0</v>
      </c>
      <c r="C58" s="272">
        <v>0</v>
      </c>
      <c r="D58" s="272">
        <v>0</v>
      </c>
      <c r="E58" s="272">
        <v>0</v>
      </c>
      <c r="F58" s="272">
        <v>0</v>
      </c>
      <c r="G58" s="202">
        <v>0</v>
      </c>
      <c r="H58" s="202">
        <v>0</v>
      </c>
      <c r="I58" s="202">
        <v>0</v>
      </c>
      <c r="J58" s="202">
        <f t="shared" ref="J58:J72" si="37">+K58-SUM(G58:I58)</f>
        <v>0</v>
      </c>
      <c r="K58" s="282">
        <v>0</v>
      </c>
      <c r="L58" s="282">
        <v>0</v>
      </c>
      <c r="M58" s="282">
        <v>0</v>
      </c>
      <c r="N58" s="282">
        <v>0</v>
      </c>
      <c r="O58" s="282">
        <f t="shared" ref="O58:O72" si="38">+P58-SUM(L58:N58)</f>
        <v>0</v>
      </c>
      <c r="P58" s="282">
        <v>0</v>
      </c>
      <c r="Q58" s="318">
        <f t="shared" ref="Q58:Q73" si="39">SUM(L58:O58)-P58</f>
        <v>0</v>
      </c>
      <c r="R58" s="317">
        <v>0</v>
      </c>
      <c r="S58" s="317">
        <v>0</v>
      </c>
      <c r="T58" s="317">
        <v>0</v>
      </c>
      <c r="U58" s="317">
        <v>0</v>
      </c>
      <c r="V58" s="317">
        <v>0</v>
      </c>
      <c r="W58" s="317">
        <v>0</v>
      </c>
      <c r="X58" s="317">
        <v>0</v>
      </c>
      <c r="Y58" s="317">
        <v>0</v>
      </c>
      <c r="Z58" s="317">
        <f t="shared" ref="Z58:Z72" si="40">+AA58-SUM(W58:Y58)</f>
        <v>0</v>
      </c>
      <c r="AA58" s="317">
        <v>0</v>
      </c>
      <c r="AB58" s="317">
        <v>0</v>
      </c>
      <c r="AC58" s="317">
        <v>0</v>
      </c>
      <c r="AD58" s="317">
        <v>0</v>
      </c>
      <c r="AE58" s="2"/>
      <c r="AF58" s="318"/>
      <c r="AG58" s="318"/>
      <c r="AH58" s="2"/>
    </row>
    <row r="59" spans="1:206" x14ac:dyDescent="0.2">
      <c r="A59" s="15" t="s">
        <v>179</v>
      </c>
      <c r="B59" s="265">
        <v>0</v>
      </c>
      <c r="C59" s="265">
        <v>0</v>
      </c>
      <c r="D59" s="265">
        <v>0</v>
      </c>
      <c r="E59" s="265">
        <v>60574</v>
      </c>
      <c r="F59" s="265">
        <v>60574</v>
      </c>
      <c r="G59" s="245">
        <v>12000</v>
      </c>
      <c r="H59" s="245">
        <v>0</v>
      </c>
      <c r="I59" s="245">
        <v>233000</v>
      </c>
      <c r="J59" s="245">
        <f t="shared" si="37"/>
        <v>1614</v>
      </c>
      <c r="K59" s="282">
        <v>246614</v>
      </c>
      <c r="L59" s="282">
        <v>46000</v>
      </c>
      <c r="M59" s="282">
        <v>0</v>
      </c>
      <c r="N59" s="282">
        <v>0</v>
      </c>
      <c r="O59" s="282">
        <f t="shared" si="38"/>
        <v>0</v>
      </c>
      <c r="P59" s="282">
        <v>46000</v>
      </c>
      <c r="Q59" s="318">
        <f t="shared" si="39"/>
        <v>0</v>
      </c>
      <c r="R59" s="317">
        <v>110000</v>
      </c>
      <c r="S59" s="317">
        <v>0</v>
      </c>
      <c r="T59" s="317">
        <v>0</v>
      </c>
      <c r="U59" s="317">
        <f>+V59-SUM(R59:T59)</f>
        <v>0</v>
      </c>
      <c r="V59" s="317">
        <v>110000</v>
      </c>
      <c r="W59" s="317">
        <v>25000</v>
      </c>
      <c r="X59" s="317">
        <v>0</v>
      </c>
      <c r="Y59" s="317">
        <v>200000</v>
      </c>
      <c r="Z59" s="317">
        <f t="shared" si="40"/>
        <v>75000</v>
      </c>
      <c r="AA59" s="317">
        <v>300000</v>
      </c>
      <c r="AB59" s="317">
        <v>35000</v>
      </c>
      <c r="AC59" s="317">
        <v>0</v>
      </c>
      <c r="AD59" s="317">
        <v>0</v>
      </c>
      <c r="AE59" s="2"/>
      <c r="AF59" s="318"/>
      <c r="AG59" s="318"/>
      <c r="AH59" s="2"/>
    </row>
    <row r="60" spans="1:206" x14ac:dyDescent="0.2">
      <c r="A60" s="15" t="s">
        <v>180</v>
      </c>
      <c r="B60" s="265">
        <v>0</v>
      </c>
      <c r="C60" s="265">
        <v>0</v>
      </c>
      <c r="D60" s="265">
        <v>0</v>
      </c>
      <c r="E60" s="265">
        <v>-45192</v>
      </c>
      <c r="F60" s="265">
        <v>-45192</v>
      </c>
      <c r="G60" s="245">
        <v>-5036</v>
      </c>
      <c r="H60" s="245">
        <v>-29</v>
      </c>
      <c r="I60" s="245">
        <v>-18</v>
      </c>
      <c r="J60" s="245">
        <f t="shared" si="37"/>
        <v>-150126</v>
      </c>
      <c r="K60" s="282">
        <v>-155209</v>
      </c>
      <c r="L60" s="282">
        <v>-10572</v>
      </c>
      <c r="M60" s="282">
        <v>-69018</v>
      </c>
      <c r="N60" s="282">
        <v>-8173</v>
      </c>
      <c r="O60" s="282">
        <f t="shared" si="38"/>
        <v>-10484</v>
      </c>
      <c r="P60" s="282">
        <v>-98247</v>
      </c>
      <c r="Q60" s="318">
        <f t="shared" si="39"/>
        <v>0</v>
      </c>
      <c r="R60" s="317">
        <v>-10201</v>
      </c>
      <c r="S60" s="317">
        <v>-100009</v>
      </c>
      <c r="T60" s="317">
        <v>-10183</v>
      </c>
      <c r="U60" s="317">
        <f>+V60-SUM(R60:T60)</f>
        <v>-474</v>
      </c>
      <c r="V60" s="317">
        <v>-120867</v>
      </c>
      <c r="W60" s="317">
        <v>-25000</v>
      </c>
      <c r="X60" s="317">
        <v>-74000</v>
      </c>
      <c r="Y60" s="317">
        <v>-230000</v>
      </c>
      <c r="Z60" s="317">
        <f t="shared" si="40"/>
        <v>-31</v>
      </c>
      <c r="AA60" s="317">
        <v>-329031</v>
      </c>
      <c r="AB60" s="317">
        <v>0</v>
      </c>
      <c r="AC60" s="317">
        <v>-10000</v>
      </c>
      <c r="AD60" s="317">
        <v>-15000</v>
      </c>
      <c r="AE60" s="2"/>
      <c r="AF60" s="318"/>
      <c r="AG60" s="318"/>
      <c r="AH60" s="2"/>
    </row>
    <row r="61" spans="1:206" x14ac:dyDescent="0.2">
      <c r="A61" s="15" t="s">
        <v>192</v>
      </c>
      <c r="B61" s="265"/>
      <c r="C61" s="265"/>
      <c r="D61" s="265"/>
      <c r="E61" s="265"/>
      <c r="F61" s="265"/>
      <c r="G61" s="245"/>
      <c r="H61" s="245"/>
      <c r="I61" s="245"/>
      <c r="J61" s="245">
        <f t="shared" si="37"/>
        <v>149000</v>
      </c>
      <c r="K61" s="282">
        <v>149000</v>
      </c>
      <c r="L61" s="282">
        <v>0</v>
      </c>
      <c r="M61" s="282">
        <v>0</v>
      </c>
      <c r="N61" s="282">
        <v>0</v>
      </c>
      <c r="O61" s="282">
        <f t="shared" si="38"/>
        <v>0</v>
      </c>
      <c r="P61" s="282">
        <v>0</v>
      </c>
      <c r="Q61" s="318">
        <f t="shared" si="39"/>
        <v>0</v>
      </c>
      <c r="R61" s="317">
        <v>0</v>
      </c>
      <c r="S61" s="317">
        <v>0</v>
      </c>
      <c r="T61" s="317">
        <v>0</v>
      </c>
      <c r="U61" s="317">
        <f>+V61-SUM(R61:T61)</f>
        <v>0</v>
      </c>
      <c r="V61" s="317">
        <v>0</v>
      </c>
      <c r="W61" s="317">
        <v>0</v>
      </c>
      <c r="X61" s="317">
        <v>0</v>
      </c>
      <c r="Y61" s="317">
        <v>0</v>
      </c>
      <c r="Z61" s="317">
        <f t="shared" si="40"/>
        <v>0</v>
      </c>
      <c r="AA61" s="317">
        <v>0</v>
      </c>
      <c r="AB61" s="317">
        <v>0</v>
      </c>
      <c r="AC61" s="317">
        <v>0</v>
      </c>
      <c r="AD61" s="317">
        <v>0</v>
      </c>
      <c r="AE61" s="2"/>
      <c r="AF61" s="318"/>
      <c r="AG61" s="2"/>
      <c r="AH61" s="2"/>
    </row>
    <row r="62" spans="1:206" x14ac:dyDescent="0.2">
      <c r="A62" s="15" t="s">
        <v>134</v>
      </c>
      <c r="B62" s="265">
        <v>0</v>
      </c>
      <c r="C62" s="265">
        <v>0</v>
      </c>
      <c r="D62" s="265">
        <v>0</v>
      </c>
      <c r="E62" s="265">
        <v>-790</v>
      </c>
      <c r="F62" s="265">
        <v>-790</v>
      </c>
      <c r="G62" s="199">
        <v>0</v>
      </c>
      <c r="H62" s="199">
        <v>0</v>
      </c>
      <c r="I62" s="199">
        <v>0</v>
      </c>
      <c r="J62" s="199">
        <f t="shared" si="37"/>
        <v>-762</v>
      </c>
      <c r="K62" s="282">
        <v>-762</v>
      </c>
      <c r="L62" s="282">
        <v>-97</v>
      </c>
      <c r="M62" s="282">
        <v>-20</v>
      </c>
      <c r="N62" s="282">
        <v>0</v>
      </c>
      <c r="O62" s="282">
        <f>+P62-SUM(L62:N62)</f>
        <v>0</v>
      </c>
      <c r="P62" s="282">
        <v>-117</v>
      </c>
      <c r="Q62" s="318">
        <f t="shared" si="39"/>
        <v>0</v>
      </c>
      <c r="R62" s="317">
        <v>0</v>
      </c>
      <c r="S62" s="317">
        <v>0</v>
      </c>
      <c r="T62" s="317">
        <v>0</v>
      </c>
      <c r="U62" s="317">
        <f>+V62-SUM(R62:T62)</f>
        <v>0</v>
      </c>
      <c r="V62" s="317">
        <v>0</v>
      </c>
      <c r="W62" s="317">
        <v>0</v>
      </c>
      <c r="X62" s="317">
        <v>0</v>
      </c>
      <c r="Y62" s="317">
        <v>0</v>
      </c>
      <c r="Z62" s="317">
        <f t="shared" si="40"/>
        <v>0</v>
      </c>
      <c r="AA62" s="317">
        <v>0</v>
      </c>
      <c r="AB62" s="317">
        <v>0</v>
      </c>
      <c r="AC62" s="317">
        <v>0</v>
      </c>
      <c r="AD62" s="317">
        <v>0</v>
      </c>
      <c r="AE62" s="2"/>
      <c r="AF62" s="318"/>
      <c r="AG62" s="2"/>
      <c r="AH62" s="2"/>
    </row>
    <row r="63" spans="1:206" x14ac:dyDescent="0.2">
      <c r="A63" s="15" t="s">
        <v>247</v>
      </c>
      <c r="B63" s="265">
        <v>-43</v>
      </c>
      <c r="C63" s="265">
        <v>-51</v>
      </c>
      <c r="D63" s="265">
        <v>-39</v>
      </c>
      <c r="E63" s="265">
        <v>-41</v>
      </c>
      <c r="F63" s="265">
        <v>-174</v>
      </c>
      <c r="G63" s="245">
        <v>-42</v>
      </c>
      <c r="H63" s="245">
        <v>-41</v>
      </c>
      <c r="I63" s="245">
        <v>-22</v>
      </c>
      <c r="J63" s="245">
        <f t="shared" si="37"/>
        <v>-47</v>
      </c>
      <c r="K63" s="282">
        <v>-152</v>
      </c>
      <c r="L63" s="282">
        <v>-137</v>
      </c>
      <c r="M63" s="282">
        <v>-70</v>
      </c>
      <c r="N63" s="282">
        <v>-67</v>
      </c>
      <c r="O63" s="282">
        <f t="shared" si="38"/>
        <v>-62</v>
      </c>
      <c r="P63" s="282">
        <v>-336</v>
      </c>
      <c r="Q63" s="318">
        <f t="shared" si="39"/>
        <v>0</v>
      </c>
      <c r="R63" s="317">
        <v>-67</v>
      </c>
      <c r="S63" s="317">
        <v>-57</v>
      </c>
      <c r="T63" s="317">
        <v>-56</v>
      </c>
      <c r="U63" s="317">
        <f>+V63-SUM(R63:T63)</f>
        <v>-69</v>
      </c>
      <c r="V63" s="317">
        <v>-249</v>
      </c>
      <c r="W63" s="317">
        <v>-57</v>
      </c>
      <c r="X63" s="317">
        <v>-50</v>
      </c>
      <c r="Y63" s="317">
        <v>-50</v>
      </c>
      <c r="Z63" s="317">
        <f t="shared" si="40"/>
        <v>-44</v>
      </c>
      <c r="AA63" s="317">
        <v>-201</v>
      </c>
      <c r="AB63" s="317">
        <v>-39</v>
      </c>
      <c r="AC63" s="317">
        <v>-36</v>
      </c>
      <c r="AD63" s="317">
        <v>-33</v>
      </c>
      <c r="AE63" s="2"/>
      <c r="AF63" s="318"/>
      <c r="AG63" s="318"/>
      <c r="AH63" s="2"/>
    </row>
    <row r="64" spans="1:206" hidden="1" x14ac:dyDescent="0.2">
      <c r="A64" s="15" t="s">
        <v>40</v>
      </c>
      <c r="B64" s="265">
        <v>0</v>
      </c>
      <c r="C64" s="265">
        <v>0</v>
      </c>
      <c r="D64" s="265">
        <v>0</v>
      </c>
      <c r="E64" s="265">
        <v>0</v>
      </c>
      <c r="F64" s="265">
        <v>0</v>
      </c>
      <c r="G64" s="199">
        <v>0</v>
      </c>
      <c r="H64" s="199">
        <v>0</v>
      </c>
      <c r="I64" s="199">
        <v>0</v>
      </c>
      <c r="J64" s="199">
        <f t="shared" si="37"/>
        <v>0</v>
      </c>
      <c r="K64" s="199">
        <v>0</v>
      </c>
      <c r="L64" s="199">
        <v>0</v>
      </c>
      <c r="M64" s="199">
        <v>0</v>
      </c>
      <c r="N64" s="199">
        <v>0</v>
      </c>
      <c r="O64" s="199">
        <f t="shared" si="38"/>
        <v>0</v>
      </c>
      <c r="P64" s="199">
        <v>0</v>
      </c>
      <c r="Q64" s="318">
        <f t="shared" si="39"/>
        <v>0</v>
      </c>
      <c r="R64" s="199">
        <v>0</v>
      </c>
      <c r="S64" s="199">
        <v>0</v>
      </c>
      <c r="T64" s="199">
        <v>0</v>
      </c>
      <c r="U64" s="199">
        <v>0</v>
      </c>
      <c r="V64" s="199">
        <v>0</v>
      </c>
      <c r="W64" s="199">
        <v>0</v>
      </c>
      <c r="X64" s="199">
        <v>0</v>
      </c>
      <c r="Y64" s="199">
        <v>0</v>
      </c>
      <c r="Z64" s="199">
        <f t="shared" si="40"/>
        <v>0</v>
      </c>
      <c r="AA64" s="199">
        <v>0</v>
      </c>
      <c r="AB64" s="199">
        <v>0</v>
      </c>
      <c r="AC64" s="199">
        <v>0</v>
      </c>
      <c r="AD64" s="199">
        <v>0</v>
      </c>
      <c r="AE64" s="2"/>
      <c r="AF64" s="318"/>
      <c r="AG64" s="2"/>
      <c r="AH64" s="2"/>
    </row>
    <row r="65" spans="1:34" hidden="1" x14ac:dyDescent="0.2">
      <c r="A65" s="15" t="s">
        <v>53</v>
      </c>
      <c r="B65" s="265">
        <v>0</v>
      </c>
      <c r="C65" s="265">
        <v>0</v>
      </c>
      <c r="D65" s="265">
        <v>0</v>
      </c>
      <c r="E65" s="265">
        <v>0</v>
      </c>
      <c r="F65" s="265">
        <v>0</v>
      </c>
      <c r="G65" s="199">
        <v>0</v>
      </c>
      <c r="H65" s="199">
        <v>0</v>
      </c>
      <c r="I65" s="199">
        <v>0</v>
      </c>
      <c r="J65" s="199">
        <f t="shared" si="37"/>
        <v>0</v>
      </c>
      <c r="K65" s="199">
        <v>0</v>
      </c>
      <c r="L65" s="199">
        <v>0</v>
      </c>
      <c r="M65" s="199">
        <v>0</v>
      </c>
      <c r="N65" s="199">
        <v>0</v>
      </c>
      <c r="O65" s="199">
        <f t="shared" si="38"/>
        <v>0</v>
      </c>
      <c r="P65" s="199">
        <v>0</v>
      </c>
      <c r="Q65" s="318">
        <f t="shared" si="39"/>
        <v>0</v>
      </c>
      <c r="R65" s="199">
        <v>0</v>
      </c>
      <c r="S65" s="199">
        <v>0</v>
      </c>
      <c r="T65" s="199">
        <v>0</v>
      </c>
      <c r="U65" s="199">
        <v>0</v>
      </c>
      <c r="V65" s="199">
        <v>0</v>
      </c>
      <c r="W65" s="199">
        <v>0</v>
      </c>
      <c r="X65" s="199">
        <v>0</v>
      </c>
      <c r="Y65" s="199">
        <v>0</v>
      </c>
      <c r="Z65" s="199">
        <f t="shared" si="40"/>
        <v>0</v>
      </c>
      <c r="AA65" s="199">
        <v>0</v>
      </c>
      <c r="AB65" s="199">
        <v>0</v>
      </c>
      <c r="AC65" s="199">
        <v>0</v>
      </c>
      <c r="AD65" s="199">
        <v>0</v>
      </c>
      <c r="AE65" s="2"/>
      <c r="AF65" s="318"/>
      <c r="AG65" s="2"/>
      <c r="AH65" s="2"/>
    </row>
    <row r="66" spans="1:34" hidden="1" x14ac:dyDescent="0.2">
      <c r="A66" s="15" t="s">
        <v>52</v>
      </c>
      <c r="B66" s="265">
        <v>0</v>
      </c>
      <c r="C66" s="265">
        <v>0</v>
      </c>
      <c r="D66" s="265">
        <v>0</v>
      </c>
      <c r="E66" s="265">
        <v>0</v>
      </c>
      <c r="F66" s="265">
        <v>0</v>
      </c>
      <c r="G66" s="199">
        <v>0</v>
      </c>
      <c r="H66" s="199">
        <v>0</v>
      </c>
      <c r="I66" s="199">
        <v>0</v>
      </c>
      <c r="J66" s="199">
        <f t="shared" si="37"/>
        <v>0</v>
      </c>
      <c r="K66" s="199">
        <v>0</v>
      </c>
      <c r="L66" s="199">
        <v>0</v>
      </c>
      <c r="M66" s="199">
        <v>0</v>
      </c>
      <c r="N66" s="199">
        <v>0</v>
      </c>
      <c r="O66" s="199">
        <f t="shared" si="38"/>
        <v>0</v>
      </c>
      <c r="P66" s="199">
        <v>0</v>
      </c>
      <c r="Q66" s="318">
        <f t="shared" si="39"/>
        <v>0</v>
      </c>
      <c r="R66" s="199">
        <v>0</v>
      </c>
      <c r="S66" s="199">
        <v>0</v>
      </c>
      <c r="T66" s="199">
        <v>0</v>
      </c>
      <c r="U66" s="199">
        <v>0</v>
      </c>
      <c r="V66" s="199">
        <v>0</v>
      </c>
      <c r="W66" s="199">
        <v>0</v>
      </c>
      <c r="X66" s="199">
        <v>0</v>
      </c>
      <c r="Y66" s="199">
        <v>0</v>
      </c>
      <c r="Z66" s="199">
        <f t="shared" si="40"/>
        <v>0</v>
      </c>
      <c r="AA66" s="199">
        <v>0</v>
      </c>
      <c r="AB66" s="199">
        <v>0</v>
      </c>
      <c r="AC66" s="199">
        <v>0</v>
      </c>
      <c r="AD66" s="199">
        <v>0</v>
      </c>
      <c r="AE66" s="2"/>
      <c r="AF66" s="318"/>
      <c r="AG66" s="2"/>
      <c r="AH66" s="2"/>
    </row>
    <row r="67" spans="1:34" x14ac:dyDescent="0.2">
      <c r="A67" s="15" t="s">
        <v>41</v>
      </c>
      <c r="B67" s="265">
        <v>191</v>
      </c>
      <c r="C67" s="265">
        <v>1587</v>
      </c>
      <c r="D67" s="265">
        <v>2497</v>
      </c>
      <c r="E67" s="265">
        <v>4286</v>
      </c>
      <c r="F67" s="265">
        <v>8561</v>
      </c>
      <c r="G67" s="245">
        <v>431</v>
      </c>
      <c r="H67" s="245">
        <v>0</v>
      </c>
      <c r="I67" s="245">
        <v>653</v>
      </c>
      <c r="J67" s="245">
        <f t="shared" si="37"/>
        <v>313</v>
      </c>
      <c r="K67" s="282">
        <v>1397</v>
      </c>
      <c r="L67" s="282">
        <v>22</v>
      </c>
      <c r="M67" s="282">
        <v>316</v>
      </c>
      <c r="N67" s="282">
        <v>0</v>
      </c>
      <c r="O67" s="282">
        <f t="shared" si="38"/>
        <v>649</v>
      </c>
      <c r="P67" s="282">
        <v>987</v>
      </c>
      <c r="Q67" s="318">
        <f t="shared" si="39"/>
        <v>0</v>
      </c>
      <c r="R67" s="317">
        <v>921</v>
      </c>
      <c r="S67" s="317">
        <v>39</v>
      </c>
      <c r="T67" s="317">
        <v>85</v>
      </c>
      <c r="U67" s="317">
        <f>+V67-SUM(R67:T67)</f>
        <v>456</v>
      </c>
      <c r="V67" s="317">
        <v>1501</v>
      </c>
      <c r="W67" s="317">
        <v>75</v>
      </c>
      <c r="X67" s="317">
        <v>99</v>
      </c>
      <c r="Y67" s="317">
        <v>536</v>
      </c>
      <c r="Z67" s="317">
        <f t="shared" si="40"/>
        <v>0</v>
      </c>
      <c r="AA67" s="317">
        <v>710</v>
      </c>
      <c r="AB67" s="317">
        <v>0</v>
      </c>
      <c r="AC67" s="317">
        <v>0</v>
      </c>
      <c r="AD67" s="317">
        <v>0</v>
      </c>
      <c r="AE67" s="2"/>
      <c r="AF67" s="318"/>
      <c r="AG67" s="318"/>
      <c r="AH67" s="2"/>
    </row>
    <row r="68" spans="1:34" hidden="1" x14ac:dyDescent="0.2">
      <c r="A68" s="15" t="s">
        <v>54</v>
      </c>
      <c r="B68" s="265">
        <v>0</v>
      </c>
      <c r="C68" s="265">
        <v>0</v>
      </c>
      <c r="D68" s="265">
        <v>0</v>
      </c>
      <c r="E68" s="265">
        <v>0</v>
      </c>
      <c r="F68" s="265">
        <v>0</v>
      </c>
      <c r="G68" s="199">
        <v>0</v>
      </c>
      <c r="H68" s="199">
        <v>0</v>
      </c>
      <c r="I68" s="199">
        <v>0</v>
      </c>
      <c r="J68" s="199">
        <f t="shared" si="37"/>
        <v>0</v>
      </c>
      <c r="K68" s="199">
        <v>0</v>
      </c>
      <c r="L68" s="199">
        <v>0</v>
      </c>
      <c r="M68" s="199">
        <v>0</v>
      </c>
      <c r="N68" s="199">
        <v>0</v>
      </c>
      <c r="O68" s="199">
        <f t="shared" si="38"/>
        <v>0</v>
      </c>
      <c r="P68" s="199">
        <v>0</v>
      </c>
      <c r="Q68" s="318">
        <f t="shared" si="39"/>
        <v>0</v>
      </c>
      <c r="R68" s="199">
        <v>0</v>
      </c>
      <c r="S68" s="199">
        <v>0</v>
      </c>
      <c r="T68" s="199">
        <v>0</v>
      </c>
      <c r="U68" s="199">
        <v>0</v>
      </c>
      <c r="V68" s="199">
        <v>0</v>
      </c>
      <c r="W68" s="199">
        <v>0</v>
      </c>
      <c r="X68" s="199">
        <v>0</v>
      </c>
      <c r="Y68" s="199">
        <v>0</v>
      </c>
      <c r="Z68" s="199">
        <f t="shared" si="40"/>
        <v>0</v>
      </c>
      <c r="AA68" s="199">
        <v>0</v>
      </c>
      <c r="AB68" s="199">
        <v>0</v>
      </c>
      <c r="AC68" s="199">
        <v>0</v>
      </c>
      <c r="AD68" s="199">
        <v>0</v>
      </c>
      <c r="AE68" s="2"/>
      <c r="AF68" s="318"/>
      <c r="AG68" s="2"/>
      <c r="AH68" s="2"/>
    </row>
    <row r="69" spans="1:34" hidden="1" x14ac:dyDescent="0.2">
      <c r="A69" s="20" t="s">
        <v>135</v>
      </c>
      <c r="B69" s="265">
        <v>0</v>
      </c>
      <c r="C69" s="265">
        <v>0</v>
      </c>
      <c r="D69" s="265">
        <v>0</v>
      </c>
      <c r="E69" s="265">
        <v>0</v>
      </c>
      <c r="F69" s="265">
        <v>0</v>
      </c>
      <c r="G69" s="199">
        <v>0</v>
      </c>
      <c r="H69" s="199">
        <v>0</v>
      </c>
      <c r="I69" s="199">
        <v>0</v>
      </c>
      <c r="J69" s="199">
        <f t="shared" si="37"/>
        <v>0</v>
      </c>
      <c r="K69" s="199">
        <v>0</v>
      </c>
      <c r="L69" s="199">
        <v>0</v>
      </c>
      <c r="M69" s="199">
        <v>0</v>
      </c>
      <c r="N69" s="199">
        <v>0</v>
      </c>
      <c r="O69" s="199">
        <f t="shared" si="38"/>
        <v>0</v>
      </c>
      <c r="P69" s="199">
        <v>0</v>
      </c>
      <c r="Q69" s="318">
        <f t="shared" si="39"/>
        <v>0</v>
      </c>
      <c r="R69" s="199">
        <v>0</v>
      </c>
      <c r="S69" s="199">
        <v>0</v>
      </c>
      <c r="T69" s="199">
        <v>0</v>
      </c>
      <c r="U69" s="199">
        <v>0</v>
      </c>
      <c r="V69" s="199">
        <v>0</v>
      </c>
      <c r="W69" s="199">
        <v>0</v>
      </c>
      <c r="X69" s="199">
        <v>0</v>
      </c>
      <c r="Y69" s="199">
        <v>0</v>
      </c>
      <c r="Z69" s="199">
        <f t="shared" si="40"/>
        <v>0</v>
      </c>
      <c r="AA69" s="199">
        <v>0</v>
      </c>
      <c r="AB69" s="199">
        <v>0</v>
      </c>
      <c r="AC69" s="199">
        <v>0</v>
      </c>
      <c r="AD69" s="199">
        <v>0</v>
      </c>
      <c r="AE69" s="2"/>
      <c r="AF69" s="318"/>
      <c r="AG69" s="2"/>
      <c r="AH69" s="2"/>
    </row>
    <row r="70" spans="1:34" hidden="1" x14ac:dyDescent="0.2">
      <c r="A70" s="15" t="s">
        <v>119</v>
      </c>
      <c r="B70" s="265">
        <v>0</v>
      </c>
      <c r="C70" s="265">
        <v>0</v>
      </c>
      <c r="D70" s="265">
        <v>0</v>
      </c>
      <c r="E70" s="265">
        <v>0</v>
      </c>
      <c r="F70" s="265">
        <v>0</v>
      </c>
      <c r="G70" s="199">
        <v>0</v>
      </c>
      <c r="H70" s="199">
        <v>0</v>
      </c>
      <c r="I70" s="199">
        <v>0</v>
      </c>
      <c r="J70" s="199">
        <f t="shared" si="37"/>
        <v>0</v>
      </c>
      <c r="K70" s="199">
        <v>0</v>
      </c>
      <c r="L70" s="199">
        <v>0</v>
      </c>
      <c r="M70" s="199">
        <v>0</v>
      </c>
      <c r="N70" s="199">
        <v>0</v>
      </c>
      <c r="O70" s="199">
        <f t="shared" si="38"/>
        <v>0</v>
      </c>
      <c r="P70" s="199">
        <v>0</v>
      </c>
      <c r="Q70" s="318">
        <f t="shared" si="39"/>
        <v>0</v>
      </c>
      <c r="R70" s="199">
        <v>0</v>
      </c>
      <c r="S70" s="199">
        <v>0</v>
      </c>
      <c r="T70" s="199">
        <v>0</v>
      </c>
      <c r="U70" s="199">
        <v>0</v>
      </c>
      <c r="V70" s="199">
        <v>0</v>
      </c>
      <c r="W70" s="199">
        <v>0</v>
      </c>
      <c r="X70" s="199">
        <v>0</v>
      </c>
      <c r="Y70" s="199">
        <v>0</v>
      </c>
      <c r="Z70" s="199">
        <f t="shared" si="40"/>
        <v>0</v>
      </c>
      <c r="AA70" s="199">
        <v>0</v>
      </c>
      <c r="AB70" s="199">
        <v>0</v>
      </c>
      <c r="AC70" s="199">
        <v>0</v>
      </c>
      <c r="AD70" s="199">
        <v>0</v>
      </c>
      <c r="AE70" s="2"/>
      <c r="AF70" s="318"/>
      <c r="AG70" s="2"/>
      <c r="AH70" s="2"/>
    </row>
    <row r="71" spans="1:34" hidden="1" x14ac:dyDescent="0.2">
      <c r="A71" s="15" t="s">
        <v>151</v>
      </c>
      <c r="B71" s="265">
        <v>0</v>
      </c>
      <c r="C71" s="265">
        <v>0</v>
      </c>
      <c r="D71" s="265">
        <v>0</v>
      </c>
      <c r="E71" s="265">
        <v>0</v>
      </c>
      <c r="F71" s="265">
        <v>0</v>
      </c>
      <c r="G71" s="199">
        <v>0</v>
      </c>
      <c r="H71" s="199">
        <v>0</v>
      </c>
      <c r="I71" s="199">
        <v>0</v>
      </c>
      <c r="J71" s="199">
        <f t="shared" si="37"/>
        <v>0</v>
      </c>
      <c r="K71" s="199">
        <v>0</v>
      </c>
      <c r="L71" s="199">
        <v>0</v>
      </c>
      <c r="M71" s="199">
        <v>0</v>
      </c>
      <c r="N71" s="199">
        <v>0</v>
      </c>
      <c r="O71" s="199">
        <f t="shared" si="38"/>
        <v>0</v>
      </c>
      <c r="P71" s="199">
        <v>0</v>
      </c>
      <c r="Q71" s="318">
        <f t="shared" si="39"/>
        <v>0</v>
      </c>
      <c r="R71" s="199">
        <v>0</v>
      </c>
      <c r="S71" s="199">
        <v>0</v>
      </c>
      <c r="T71" s="199">
        <v>0</v>
      </c>
      <c r="U71" s="199">
        <v>0</v>
      </c>
      <c r="V71" s="199">
        <v>0</v>
      </c>
      <c r="W71" s="199">
        <v>0</v>
      </c>
      <c r="X71" s="199">
        <v>0</v>
      </c>
      <c r="Y71" s="199">
        <v>0</v>
      </c>
      <c r="Z71" s="199">
        <f t="shared" si="40"/>
        <v>0</v>
      </c>
      <c r="AA71" s="199">
        <v>0</v>
      </c>
      <c r="AB71" s="199">
        <v>0</v>
      </c>
      <c r="AC71" s="199">
        <v>0</v>
      </c>
      <c r="AD71" s="199">
        <v>0</v>
      </c>
      <c r="AE71" s="2"/>
      <c r="AF71" s="318"/>
      <c r="AG71" s="2"/>
      <c r="AH71" s="2"/>
    </row>
    <row r="72" spans="1:34" x14ac:dyDescent="0.2">
      <c r="A72" s="15" t="s">
        <v>42</v>
      </c>
      <c r="B72" s="265">
        <v>-11913</v>
      </c>
      <c r="C72" s="265">
        <v>-11419</v>
      </c>
      <c r="D72" s="265">
        <v>-9004</v>
      </c>
      <c r="E72" s="265">
        <v>-11118</v>
      </c>
      <c r="F72" s="265">
        <v>-43454</v>
      </c>
      <c r="G72" s="245">
        <v>-13504</v>
      </c>
      <c r="H72" s="245">
        <v>-9632</v>
      </c>
      <c r="I72" s="245">
        <v>-9657</v>
      </c>
      <c r="J72" s="245">
        <f t="shared" si="37"/>
        <v>-10316</v>
      </c>
      <c r="K72" s="282">
        <v>-43109</v>
      </c>
      <c r="L72" s="282">
        <v>-15408</v>
      </c>
      <c r="M72" s="282">
        <v>-12130</v>
      </c>
      <c r="N72" s="282">
        <v>-8346</v>
      </c>
      <c r="O72" s="282">
        <f t="shared" si="38"/>
        <v>-5480</v>
      </c>
      <c r="P72" s="282">
        <v>-41364</v>
      </c>
      <c r="Q72" s="318">
        <f t="shared" si="39"/>
        <v>0</v>
      </c>
      <c r="R72" s="317">
        <v>-13995</v>
      </c>
      <c r="S72" s="317">
        <v>0</v>
      </c>
      <c r="T72" s="317">
        <v>-24906</v>
      </c>
      <c r="U72" s="317">
        <f>+V72-SUM(R72:T72)</f>
        <v>-41048</v>
      </c>
      <c r="V72" s="317">
        <v>-79949</v>
      </c>
      <c r="W72" s="317">
        <v>-29015</v>
      </c>
      <c r="X72" s="317">
        <v>-28409</v>
      </c>
      <c r="Y72" s="317">
        <v>-28196</v>
      </c>
      <c r="Z72" s="317">
        <f t="shared" si="40"/>
        <v>-32737</v>
      </c>
      <c r="AA72" s="317">
        <v>-118357</v>
      </c>
      <c r="AB72" s="317">
        <v>-31385</v>
      </c>
      <c r="AC72" s="317">
        <v>-28806</v>
      </c>
      <c r="AD72" s="317">
        <v>-11521</v>
      </c>
      <c r="AE72" s="2"/>
      <c r="AF72" s="100"/>
      <c r="AG72" s="318"/>
      <c r="AH72" s="2"/>
    </row>
    <row r="73" spans="1:34" x14ac:dyDescent="0.2">
      <c r="A73" s="53" t="s">
        <v>77</v>
      </c>
      <c r="B73" s="267">
        <f t="shared" ref="B73:P73" si="41">SUM(B58:B72)</f>
        <v>-11765</v>
      </c>
      <c r="C73" s="267">
        <f t="shared" si="41"/>
        <v>-9883</v>
      </c>
      <c r="D73" s="267">
        <f t="shared" si="41"/>
        <v>-6546</v>
      </c>
      <c r="E73" s="267">
        <f t="shared" si="41"/>
        <v>7719</v>
      </c>
      <c r="F73" s="267">
        <f t="shared" si="41"/>
        <v>-20475</v>
      </c>
      <c r="G73" s="186">
        <f t="shared" si="41"/>
        <v>-6151</v>
      </c>
      <c r="H73" s="186">
        <f t="shared" si="41"/>
        <v>-9702</v>
      </c>
      <c r="I73" s="186">
        <f t="shared" si="41"/>
        <v>223956</v>
      </c>
      <c r="J73" s="186">
        <f t="shared" si="41"/>
        <v>-10324</v>
      </c>
      <c r="K73" s="186">
        <f t="shared" si="41"/>
        <v>197779</v>
      </c>
      <c r="L73" s="186">
        <f t="shared" si="41"/>
        <v>19808</v>
      </c>
      <c r="M73" s="186">
        <f t="shared" si="41"/>
        <v>-80922</v>
      </c>
      <c r="N73" s="186">
        <f t="shared" si="41"/>
        <v>-16586</v>
      </c>
      <c r="O73" s="186">
        <f t="shared" si="41"/>
        <v>-15377</v>
      </c>
      <c r="P73" s="321">
        <f t="shared" si="41"/>
        <v>-93077</v>
      </c>
      <c r="Q73" s="318">
        <f t="shared" si="39"/>
        <v>0</v>
      </c>
      <c r="R73" s="332">
        <f t="shared" ref="R73:X73" si="42">SUM(R58:R72)</f>
        <v>86658</v>
      </c>
      <c r="S73" s="332">
        <f t="shared" si="42"/>
        <v>-100027</v>
      </c>
      <c r="T73" s="332">
        <f t="shared" si="42"/>
        <v>-35060</v>
      </c>
      <c r="U73" s="332">
        <f t="shared" si="42"/>
        <v>-41135</v>
      </c>
      <c r="V73" s="332">
        <f t="shared" si="42"/>
        <v>-89564</v>
      </c>
      <c r="W73" s="332">
        <f t="shared" si="42"/>
        <v>-28997</v>
      </c>
      <c r="X73" s="332">
        <f t="shared" si="42"/>
        <v>-102360</v>
      </c>
      <c r="Y73" s="332">
        <f t="shared" ref="Y73:Z73" si="43">SUM(Y58:Y72)</f>
        <v>-57710</v>
      </c>
      <c r="Z73" s="332">
        <f t="shared" si="43"/>
        <v>42188</v>
      </c>
      <c r="AA73" s="332">
        <f t="shared" ref="AA73:AB73" si="44">SUM(AA58:AA72)</f>
        <v>-146879</v>
      </c>
      <c r="AB73" s="332">
        <f t="shared" si="44"/>
        <v>3576</v>
      </c>
      <c r="AC73" s="332">
        <f t="shared" ref="AC73:AD73" si="45">SUM(AC58:AC72)</f>
        <v>-38842</v>
      </c>
      <c r="AD73" s="332">
        <f t="shared" si="45"/>
        <v>-26554</v>
      </c>
      <c r="AE73" s="2"/>
      <c r="AF73" s="100"/>
      <c r="AG73" s="318"/>
      <c r="AH73" s="2"/>
    </row>
    <row r="74" spans="1:34" x14ac:dyDescent="0.2">
      <c r="A74" s="54" t="s">
        <v>78</v>
      </c>
      <c r="B74" s="271"/>
      <c r="C74" s="271"/>
      <c r="D74" s="271"/>
      <c r="E74" s="271"/>
      <c r="F74" s="271"/>
      <c r="G74" s="187"/>
      <c r="H74" s="187"/>
      <c r="I74" s="187"/>
      <c r="J74" s="187"/>
      <c r="K74" s="187"/>
      <c r="L74" s="187"/>
      <c r="M74" s="187"/>
      <c r="N74" s="187"/>
      <c r="O74" s="187"/>
      <c r="P74" s="187"/>
      <c r="Q74" s="2"/>
      <c r="R74" s="333"/>
      <c r="S74" s="333"/>
      <c r="T74" s="333"/>
      <c r="U74" s="333"/>
      <c r="V74" s="333"/>
      <c r="W74" s="333"/>
      <c r="X74" s="333"/>
      <c r="Y74" s="333"/>
      <c r="Z74" s="333"/>
      <c r="AA74" s="333"/>
      <c r="AB74" s="333"/>
      <c r="AC74" s="333"/>
      <c r="AD74" s="333"/>
      <c r="AE74" s="2"/>
      <c r="AF74" s="100"/>
      <c r="AG74" s="2"/>
      <c r="AH74" s="2"/>
    </row>
    <row r="75" spans="1:34" x14ac:dyDescent="0.2">
      <c r="A75" s="17" t="s">
        <v>20</v>
      </c>
      <c r="B75" s="264"/>
      <c r="C75" s="264"/>
      <c r="D75" s="264"/>
      <c r="E75" s="264"/>
      <c r="F75" s="264"/>
      <c r="G75" s="189"/>
      <c r="H75" s="189"/>
      <c r="I75" s="189"/>
      <c r="J75" s="189"/>
      <c r="K75" s="189"/>
      <c r="L75" s="189"/>
      <c r="M75" s="189"/>
      <c r="N75" s="312"/>
      <c r="O75" s="312"/>
      <c r="P75" s="312"/>
      <c r="Q75" s="2"/>
      <c r="R75" s="334"/>
      <c r="S75" s="334"/>
      <c r="T75" s="334"/>
      <c r="U75" s="334"/>
      <c r="V75" s="334"/>
      <c r="W75" s="334"/>
      <c r="X75" s="334"/>
      <c r="Y75" s="334"/>
      <c r="Z75" s="334"/>
      <c r="AA75" s="334"/>
      <c r="AB75" s="334"/>
      <c r="AC75" s="334"/>
      <c r="AD75" s="334"/>
      <c r="AE75" s="2"/>
      <c r="AF75" s="100"/>
      <c r="AG75" s="2"/>
      <c r="AH75" s="2"/>
    </row>
    <row r="76" spans="1:34" x14ac:dyDescent="0.2">
      <c r="A76" s="52" t="s">
        <v>73</v>
      </c>
      <c r="B76" s="269">
        <f t="shared" ref="B76:P76" si="46">SUM(B73:B74)</f>
        <v>-11765</v>
      </c>
      <c r="C76" s="269">
        <f t="shared" si="46"/>
        <v>-9883</v>
      </c>
      <c r="D76" s="269">
        <f t="shared" si="46"/>
        <v>-6546</v>
      </c>
      <c r="E76" s="269">
        <f t="shared" si="46"/>
        <v>7719</v>
      </c>
      <c r="F76" s="269">
        <f t="shared" si="46"/>
        <v>-20475</v>
      </c>
      <c r="G76" s="188">
        <f t="shared" si="46"/>
        <v>-6151</v>
      </c>
      <c r="H76" s="188">
        <f t="shared" si="46"/>
        <v>-9702</v>
      </c>
      <c r="I76" s="188">
        <f t="shared" si="46"/>
        <v>223956</v>
      </c>
      <c r="J76" s="188">
        <f t="shared" si="46"/>
        <v>-10324</v>
      </c>
      <c r="K76" s="188">
        <f t="shared" si="46"/>
        <v>197779</v>
      </c>
      <c r="L76" s="188">
        <f t="shared" si="46"/>
        <v>19808</v>
      </c>
      <c r="M76" s="188">
        <f t="shared" si="46"/>
        <v>-80922</v>
      </c>
      <c r="N76" s="188">
        <f t="shared" si="46"/>
        <v>-16586</v>
      </c>
      <c r="O76" s="188">
        <f t="shared" si="46"/>
        <v>-15377</v>
      </c>
      <c r="P76" s="188">
        <f t="shared" si="46"/>
        <v>-93077</v>
      </c>
      <c r="Q76" s="2"/>
      <c r="R76" s="188">
        <f t="shared" ref="R76:X76" si="47">SUM(R73:R74)</f>
        <v>86658</v>
      </c>
      <c r="S76" s="188">
        <f t="shared" si="47"/>
        <v>-100027</v>
      </c>
      <c r="T76" s="188">
        <f t="shared" si="47"/>
        <v>-35060</v>
      </c>
      <c r="U76" s="188">
        <f t="shared" si="47"/>
        <v>-41135</v>
      </c>
      <c r="V76" s="188">
        <f t="shared" si="47"/>
        <v>-89564</v>
      </c>
      <c r="W76" s="188">
        <f t="shared" si="47"/>
        <v>-28997</v>
      </c>
      <c r="X76" s="188">
        <f t="shared" si="47"/>
        <v>-102360</v>
      </c>
      <c r="Y76" s="188">
        <f t="shared" ref="Y76:Z76" si="48">SUM(Y73:Y74)</f>
        <v>-57710</v>
      </c>
      <c r="Z76" s="188">
        <f t="shared" si="48"/>
        <v>42188</v>
      </c>
      <c r="AA76" s="188">
        <f t="shared" ref="AA76:AB76" si="49">SUM(AA73:AA74)</f>
        <v>-146879</v>
      </c>
      <c r="AB76" s="188">
        <f t="shared" si="49"/>
        <v>3576</v>
      </c>
      <c r="AC76" s="188">
        <f t="shared" ref="AC76:AD76" si="50">SUM(AC73:AC74)</f>
        <v>-38842</v>
      </c>
      <c r="AD76" s="188">
        <f t="shared" si="50"/>
        <v>-26554</v>
      </c>
      <c r="AE76" s="2"/>
      <c r="AF76" s="318"/>
      <c r="AG76" s="318"/>
      <c r="AH76" s="2"/>
    </row>
    <row r="77" spans="1:34" x14ac:dyDescent="0.2">
      <c r="A77" s="16"/>
      <c r="B77" s="263"/>
      <c r="C77" s="263"/>
      <c r="D77" s="263"/>
      <c r="E77" s="263"/>
      <c r="F77" s="263"/>
      <c r="G77" s="189"/>
      <c r="H77" s="189"/>
      <c r="I77" s="189"/>
      <c r="J77" s="189"/>
      <c r="K77" s="282"/>
      <c r="L77" s="282"/>
      <c r="M77" s="282"/>
      <c r="N77" s="282"/>
      <c r="O77" s="282"/>
      <c r="P77" s="282"/>
      <c r="Q77" s="2"/>
      <c r="R77" s="317"/>
      <c r="S77" s="317"/>
      <c r="T77" s="317"/>
      <c r="U77" s="317"/>
      <c r="V77" s="317"/>
      <c r="W77" s="317"/>
      <c r="X77" s="317"/>
      <c r="Y77" s="317"/>
      <c r="Z77" s="317"/>
      <c r="AA77" s="317"/>
      <c r="AB77" s="317"/>
      <c r="AC77" s="317"/>
      <c r="AD77" s="317"/>
      <c r="AE77" s="2"/>
      <c r="AF77" s="100"/>
      <c r="AG77" s="2"/>
      <c r="AH77" s="2"/>
    </row>
    <row r="78" spans="1:34" x14ac:dyDescent="0.2">
      <c r="A78" s="16" t="s">
        <v>55</v>
      </c>
      <c r="B78" s="266">
        <v>469</v>
      </c>
      <c r="C78" s="266">
        <v>1110</v>
      </c>
      <c r="D78" s="266">
        <v>224</v>
      </c>
      <c r="E78" s="266">
        <v>2132</v>
      </c>
      <c r="F78" s="266">
        <v>3935</v>
      </c>
      <c r="G78" s="190">
        <v>-644</v>
      </c>
      <c r="H78" s="190">
        <v>-1938</v>
      </c>
      <c r="I78" s="190">
        <v>-426</v>
      </c>
      <c r="J78" s="199">
        <f>+K78-SUM(G78:I78)</f>
        <v>140</v>
      </c>
      <c r="K78" s="282">
        <v>-2868</v>
      </c>
      <c r="L78" s="282">
        <v>-455</v>
      </c>
      <c r="M78" s="282">
        <v>215</v>
      </c>
      <c r="N78" s="282">
        <v>-1521</v>
      </c>
      <c r="O78" s="199">
        <f>+P78-SUM(L78:N78)</f>
        <v>716</v>
      </c>
      <c r="P78" s="282">
        <v>-1045</v>
      </c>
      <c r="Q78" s="318">
        <f>SUM(L78:O78)-P78</f>
        <v>0</v>
      </c>
      <c r="R78" s="317">
        <v>-2653</v>
      </c>
      <c r="S78" s="317">
        <v>-220</v>
      </c>
      <c r="T78" s="317">
        <v>2893</v>
      </c>
      <c r="U78" s="317">
        <f>+V78-SUM(R78:T78)</f>
        <v>3362</v>
      </c>
      <c r="V78" s="317">
        <v>3382</v>
      </c>
      <c r="W78" s="317">
        <v>-984</v>
      </c>
      <c r="X78" s="317">
        <v>-1253</v>
      </c>
      <c r="Y78" s="317">
        <v>-2766</v>
      </c>
      <c r="Z78" s="317">
        <f>+AA78-SUM(W78:Y78)</f>
        <v>56</v>
      </c>
      <c r="AA78" s="317">
        <v>-4947</v>
      </c>
      <c r="AB78" s="317">
        <v>-753</v>
      </c>
      <c r="AC78" s="317">
        <v>-4612</v>
      </c>
      <c r="AD78" s="317">
        <v>-4261</v>
      </c>
      <c r="AE78" s="2"/>
      <c r="AF78" s="318"/>
      <c r="AG78" s="318"/>
      <c r="AH78" s="2"/>
    </row>
    <row r="79" spans="1:34" x14ac:dyDescent="0.2">
      <c r="A79" s="17" t="s">
        <v>20</v>
      </c>
      <c r="B79" s="263"/>
      <c r="C79" s="263"/>
      <c r="D79" s="263"/>
      <c r="E79" s="263"/>
      <c r="F79" s="263"/>
      <c r="G79" s="189"/>
      <c r="H79" s="189"/>
      <c r="I79" s="189"/>
      <c r="J79" s="189"/>
      <c r="K79" s="282"/>
      <c r="L79" s="282"/>
      <c r="M79" s="282"/>
      <c r="N79" s="282"/>
      <c r="O79" s="282"/>
      <c r="P79" s="282"/>
      <c r="Q79" s="2"/>
      <c r="R79" s="317"/>
      <c r="S79" s="317"/>
      <c r="T79" s="317"/>
      <c r="U79" s="317"/>
      <c r="V79" s="317"/>
      <c r="W79" s="317"/>
      <c r="X79" s="317"/>
      <c r="Y79" s="317"/>
      <c r="Z79" s="317"/>
      <c r="AA79" s="317"/>
      <c r="AB79" s="317"/>
      <c r="AC79" s="317"/>
      <c r="AD79" s="317"/>
      <c r="AE79" s="2"/>
      <c r="AF79" s="100"/>
      <c r="AG79" s="2"/>
      <c r="AH79" s="2"/>
    </row>
    <row r="80" spans="1:34" x14ac:dyDescent="0.2">
      <c r="A80" s="13" t="s">
        <v>112</v>
      </c>
      <c r="B80" s="264">
        <f>B76+B55+B42+B78</f>
        <v>-122345.83199999999</v>
      </c>
      <c r="C80" s="264">
        <f>C76+C55+C42+C78</f>
        <v>-3044.5344994285697</v>
      </c>
      <c r="D80" s="264">
        <f>D76+D55+D42+D78</f>
        <v>-1715.970739999997</v>
      </c>
      <c r="E80" s="264">
        <f>E76+E55+E42+E78</f>
        <v>989.33723942856886</v>
      </c>
      <c r="F80" s="264">
        <f>F76+F55+F42+F78</f>
        <v>-126117</v>
      </c>
      <c r="G80" s="191">
        <f t="shared" ref="G80:M80" si="51">G76+G55+G42+G78</f>
        <v>-17812</v>
      </c>
      <c r="H80" s="191">
        <f t="shared" si="51"/>
        <v>13527</v>
      </c>
      <c r="I80" s="191">
        <f t="shared" si="51"/>
        <v>15822</v>
      </c>
      <c r="J80" s="191">
        <f t="shared" si="51"/>
        <v>-1682.5240648213221</v>
      </c>
      <c r="K80" s="191">
        <f t="shared" si="51"/>
        <v>9854.4759351786925</v>
      </c>
      <c r="L80" s="191">
        <f t="shared" si="51"/>
        <v>-9504.5240648213221</v>
      </c>
      <c r="M80" s="191">
        <f t="shared" si="51"/>
        <v>-3179.9016086385964</v>
      </c>
      <c r="N80" s="191">
        <f>N76+N55+N42+N78</f>
        <v>17837.828320000001</v>
      </c>
      <c r="O80" s="191">
        <f>O76+O55+O42+O78</f>
        <v>17759.597353459918</v>
      </c>
      <c r="P80" s="191">
        <f>P76+P55+P42+P78</f>
        <v>22913</v>
      </c>
      <c r="Q80" s="2"/>
      <c r="R80" s="335">
        <f t="shared" ref="R80:X80" si="52">R76+R55+R42+R78</f>
        <v>106490</v>
      </c>
      <c r="S80" s="335">
        <f t="shared" si="52"/>
        <v>-62759</v>
      </c>
      <c r="T80" s="335">
        <f t="shared" si="52"/>
        <v>45237</v>
      </c>
      <c r="U80" s="335">
        <f t="shared" si="52"/>
        <v>9507</v>
      </c>
      <c r="V80" s="335">
        <f t="shared" si="52"/>
        <v>98475</v>
      </c>
      <c r="W80" s="335">
        <f t="shared" si="52"/>
        <v>-40805</v>
      </c>
      <c r="X80" s="335">
        <f t="shared" si="52"/>
        <v>-27178</v>
      </c>
      <c r="Y80" s="335">
        <f t="shared" ref="Y80:AB80" si="53">Y76+Y55+Y42+Y78</f>
        <v>-33843</v>
      </c>
      <c r="Z80" s="335">
        <f t="shared" si="53"/>
        <v>20117</v>
      </c>
      <c r="AA80" s="335">
        <f t="shared" si="53"/>
        <v>-81709</v>
      </c>
      <c r="AB80" s="335">
        <f t="shared" si="53"/>
        <v>-28741</v>
      </c>
      <c r="AC80" s="335">
        <f t="shared" ref="AC80:AD80" si="54">AC76+AC55+AC42+AC78</f>
        <v>131</v>
      </c>
      <c r="AD80" s="335">
        <f t="shared" si="54"/>
        <v>-16929</v>
      </c>
      <c r="AE80" s="2"/>
      <c r="AF80" s="100"/>
      <c r="AG80" s="318"/>
      <c r="AH80" s="2"/>
    </row>
    <row r="81" spans="1:34" x14ac:dyDescent="0.2">
      <c r="A81" s="37" t="s">
        <v>113</v>
      </c>
      <c r="B81" s="265">
        <v>220394</v>
      </c>
      <c r="C81" s="265">
        <v>98048.168000000005</v>
      </c>
      <c r="D81" s="265">
        <v>95003.633500571435</v>
      </c>
      <c r="E81" s="265">
        <v>93287.662760571431</v>
      </c>
      <c r="F81" s="265">
        <v>220394</v>
      </c>
      <c r="G81" s="192">
        <f>F83</f>
        <v>94277</v>
      </c>
      <c r="H81" s="192">
        <f>G85</f>
        <v>76465</v>
      </c>
      <c r="I81" s="192">
        <f>H85</f>
        <v>89992</v>
      </c>
      <c r="J81" s="192">
        <f>I85</f>
        <v>105814</v>
      </c>
      <c r="K81" s="192">
        <f>F83</f>
        <v>94277</v>
      </c>
      <c r="L81" s="192">
        <f>J83</f>
        <v>104131.47593517868</v>
      </c>
      <c r="M81" s="192">
        <f>L83</f>
        <v>94626.951870357356</v>
      </c>
      <c r="N81" s="313">
        <f>M83</f>
        <v>91447.050261718759</v>
      </c>
      <c r="O81" s="313">
        <f>N83</f>
        <v>109284.87858171876</v>
      </c>
      <c r="P81" s="313">
        <f>Cashflow!$J$83</f>
        <v>104131.47593517868</v>
      </c>
      <c r="Q81" s="2"/>
      <c r="R81" s="336">
        <f>O83</f>
        <v>127044.47593517868</v>
      </c>
      <c r="S81" s="336">
        <f>R83</f>
        <v>233534.47593517869</v>
      </c>
      <c r="T81" s="336">
        <f>S83</f>
        <v>170775.47593517869</v>
      </c>
      <c r="U81" s="336">
        <f>T83</f>
        <v>216012.47593517869</v>
      </c>
      <c r="V81" s="336">
        <f>P83</f>
        <v>127044.47593517868</v>
      </c>
      <c r="W81" s="336">
        <f>U83</f>
        <v>225519.47593517869</v>
      </c>
      <c r="X81" s="336">
        <f>W83</f>
        <v>184714.47593517869</v>
      </c>
      <c r="Y81" s="336">
        <f>X83</f>
        <v>157536.47593517869</v>
      </c>
      <c r="Z81" s="336">
        <f>Y83</f>
        <v>123693.47593517869</v>
      </c>
      <c r="AA81" s="336">
        <f>V83</f>
        <v>225519.47593517869</v>
      </c>
      <c r="AB81" s="336">
        <f>Z83</f>
        <v>143810.47593517869</v>
      </c>
      <c r="AC81" s="336">
        <f>AB83</f>
        <v>115069.47593517869</v>
      </c>
      <c r="AD81" s="336">
        <f>AC83</f>
        <v>115200.47593517869</v>
      </c>
      <c r="AE81" s="2"/>
      <c r="AF81" s="100"/>
      <c r="AG81" s="318"/>
      <c r="AH81" s="2"/>
    </row>
    <row r="82" spans="1:34" x14ac:dyDescent="0.2">
      <c r="A82" s="37" t="s">
        <v>152</v>
      </c>
      <c r="B82" s="265"/>
      <c r="C82" s="265"/>
      <c r="D82" s="265"/>
      <c r="E82" s="265"/>
      <c r="F82" s="265"/>
      <c r="G82" s="189"/>
      <c r="H82" s="189"/>
      <c r="I82" s="189"/>
      <c r="J82" s="189"/>
      <c r="K82" s="189"/>
      <c r="L82" s="189"/>
      <c r="M82" s="189"/>
      <c r="N82" s="312"/>
      <c r="O82" s="312"/>
      <c r="P82" s="312"/>
      <c r="Q82" s="2"/>
      <c r="R82" s="334"/>
      <c r="S82" s="334"/>
      <c r="T82" s="334"/>
      <c r="U82" s="334"/>
      <c r="V82" s="334"/>
      <c r="W82" s="334"/>
      <c r="X82" s="334"/>
      <c r="Y82" s="334"/>
      <c r="Z82" s="334"/>
      <c r="AA82" s="334"/>
      <c r="AB82" s="334"/>
      <c r="AC82" s="334"/>
      <c r="AD82" s="334"/>
      <c r="AE82" s="2"/>
      <c r="AF82" s="100"/>
      <c r="AG82" s="2"/>
      <c r="AH82" s="2"/>
    </row>
    <row r="83" spans="1:34" x14ac:dyDescent="0.2">
      <c r="A83" s="37" t="s">
        <v>43</v>
      </c>
      <c r="B83" s="265">
        <v>98048.168000000005</v>
      </c>
      <c r="C83" s="265">
        <v>95003.633500571435</v>
      </c>
      <c r="D83" s="265">
        <v>93287.662760571431</v>
      </c>
      <c r="E83" s="265">
        <v>94277</v>
      </c>
      <c r="F83" s="265">
        <v>94277</v>
      </c>
      <c r="G83" s="193">
        <f t="shared" ref="G83:P83" si="55">SUM(G80:G82)</f>
        <v>76465</v>
      </c>
      <c r="H83" s="193">
        <f t="shared" si="55"/>
        <v>89992</v>
      </c>
      <c r="I83" s="193">
        <f t="shared" si="55"/>
        <v>105814</v>
      </c>
      <c r="J83" s="193">
        <f t="shared" si="55"/>
        <v>104131.47593517868</v>
      </c>
      <c r="K83" s="193">
        <f t="shared" si="55"/>
        <v>104131.47593517869</v>
      </c>
      <c r="L83" s="193">
        <f t="shared" si="55"/>
        <v>94626.951870357356</v>
      </c>
      <c r="M83" s="193">
        <f t="shared" si="55"/>
        <v>91447.050261718759</v>
      </c>
      <c r="N83" s="193">
        <f t="shared" si="55"/>
        <v>109284.87858171876</v>
      </c>
      <c r="O83" s="193">
        <f t="shared" si="55"/>
        <v>127044.47593517868</v>
      </c>
      <c r="P83" s="193">
        <f t="shared" si="55"/>
        <v>127044.47593517868</v>
      </c>
      <c r="Q83" s="2"/>
      <c r="R83" s="337">
        <f t="shared" ref="R83:X83" si="56">SUM(R80:R82)</f>
        <v>233534.47593517869</v>
      </c>
      <c r="S83" s="337">
        <f t="shared" si="56"/>
        <v>170775.47593517869</v>
      </c>
      <c r="T83" s="337">
        <f t="shared" si="56"/>
        <v>216012.47593517869</v>
      </c>
      <c r="U83" s="337">
        <f t="shared" si="56"/>
        <v>225519.47593517869</v>
      </c>
      <c r="V83" s="337">
        <f t="shared" si="56"/>
        <v>225519.47593517869</v>
      </c>
      <c r="W83" s="337">
        <f t="shared" si="56"/>
        <v>184714.47593517869</v>
      </c>
      <c r="X83" s="337">
        <f t="shared" si="56"/>
        <v>157536.47593517869</v>
      </c>
      <c r="Y83" s="337">
        <f t="shared" ref="Y83:AB83" si="57">SUM(Y80:Y82)</f>
        <v>123693.47593517869</v>
      </c>
      <c r="Z83" s="337">
        <f t="shared" si="57"/>
        <v>143810.47593517869</v>
      </c>
      <c r="AA83" s="337">
        <f t="shared" si="57"/>
        <v>143810.47593517869</v>
      </c>
      <c r="AB83" s="337">
        <f t="shared" si="57"/>
        <v>115069.47593517869</v>
      </c>
      <c r="AC83" s="337">
        <f t="shared" ref="AC83:AD83" si="58">SUM(AC80:AC82)</f>
        <v>115200.47593517869</v>
      </c>
      <c r="AD83" s="337">
        <f t="shared" si="58"/>
        <v>98271.475935178692</v>
      </c>
      <c r="AE83" s="2"/>
      <c r="AF83" s="399"/>
      <c r="AG83" s="406"/>
      <c r="AH83" s="2"/>
    </row>
    <row r="84" spans="1:34" x14ac:dyDescent="0.2">
      <c r="A84" s="16" t="s">
        <v>114</v>
      </c>
      <c r="B84" s="220"/>
      <c r="C84" s="220">
        <v>0</v>
      </c>
      <c r="D84" s="220">
        <v>0</v>
      </c>
      <c r="E84" s="220">
        <v>0</v>
      </c>
      <c r="F84" s="220">
        <v>0</v>
      </c>
      <c r="G84" s="203">
        <v>0</v>
      </c>
      <c r="H84" s="203">
        <v>0</v>
      </c>
      <c r="I84" s="203">
        <v>0</v>
      </c>
      <c r="J84" s="203">
        <v>0</v>
      </c>
      <c r="K84" s="203">
        <v>0</v>
      </c>
      <c r="L84" s="203">
        <v>0</v>
      </c>
      <c r="M84" s="203">
        <v>0</v>
      </c>
      <c r="N84" s="203">
        <v>0</v>
      </c>
      <c r="O84" s="203">
        <v>0</v>
      </c>
      <c r="P84" s="203">
        <v>0</v>
      </c>
      <c r="Q84" s="2"/>
      <c r="R84" s="338">
        <v>0</v>
      </c>
      <c r="S84" s="338">
        <v>0</v>
      </c>
      <c r="T84" s="338">
        <v>0</v>
      </c>
      <c r="U84" s="338">
        <v>0</v>
      </c>
      <c r="V84" s="338"/>
      <c r="W84" s="338">
        <v>0</v>
      </c>
      <c r="X84" s="338">
        <v>0</v>
      </c>
      <c r="Y84" s="338">
        <v>0</v>
      </c>
      <c r="Z84" s="338">
        <v>0</v>
      </c>
      <c r="AA84" s="338">
        <v>0</v>
      </c>
      <c r="AB84" s="338"/>
      <c r="AC84" s="338"/>
      <c r="AD84" s="338"/>
      <c r="AE84" s="2"/>
      <c r="AF84" s="100"/>
      <c r="AG84" s="2"/>
      <c r="AH84" s="2"/>
    </row>
    <row r="85" spans="1:34" x14ac:dyDescent="0.2">
      <c r="A85" s="52" t="s">
        <v>74</v>
      </c>
      <c r="B85" s="269">
        <f t="shared" ref="B85:P85" si="59">SUM(B83:B84)</f>
        <v>98048.168000000005</v>
      </c>
      <c r="C85" s="269">
        <f t="shared" si="59"/>
        <v>95003.633500571435</v>
      </c>
      <c r="D85" s="269">
        <f t="shared" si="59"/>
        <v>93287.662760571431</v>
      </c>
      <c r="E85" s="269">
        <f t="shared" si="59"/>
        <v>94277</v>
      </c>
      <c r="F85" s="269">
        <f t="shared" si="59"/>
        <v>94277</v>
      </c>
      <c r="G85" s="188">
        <f t="shared" si="59"/>
        <v>76465</v>
      </c>
      <c r="H85" s="188">
        <f t="shared" si="59"/>
        <v>89992</v>
      </c>
      <c r="I85" s="188">
        <f t="shared" si="59"/>
        <v>105814</v>
      </c>
      <c r="J85" s="188">
        <f t="shared" si="59"/>
        <v>104131.47593517868</v>
      </c>
      <c r="K85" s="188">
        <f t="shared" si="59"/>
        <v>104131.47593517869</v>
      </c>
      <c r="L85" s="188">
        <f t="shared" si="59"/>
        <v>94626.951870357356</v>
      </c>
      <c r="M85" s="188">
        <f t="shared" si="59"/>
        <v>91447.050261718759</v>
      </c>
      <c r="N85" s="188">
        <f t="shared" si="59"/>
        <v>109284.87858171876</v>
      </c>
      <c r="O85" s="188">
        <f t="shared" si="59"/>
        <v>127044.47593517868</v>
      </c>
      <c r="P85" s="188">
        <f t="shared" si="59"/>
        <v>127044.47593517868</v>
      </c>
      <c r="Q85" s="2"/>
      <c r="R85" s="188">
        <f t="shared" ref="R85:X85" si="60">SUM(R83:R84)</f>
        <v>233534.47593517869</v>
      </c>
      <c r="S85" s="188">
        <f t="shared" si="60"/>
        <v>170775.47593517869</v>
      </c>
      <c r="T85" s="188">
        <f t="shared" si="60"/>
        <v>216012.47593517869</v>
      </c>
      <c r="U85" s="188">
        <f t="shared" si="60"/>
        <v>225519.47593517869</v>
      </c>
      <c r="V85" s="188">
        <f t="shared" si="60"/>
        <v>225519.47593517869</v>
      </c>
      <c r="W85" s="188">
        <f t="shared" si="60"/>
        <v>184714.47593517869</v>
      </c>
      <c r="X85" s="188">
        <f t="shared" si="60"/>
        <v>157536.47593517869</v>
      </c>
      <c r="Y85" s="188">
        <f t="shared" ref="Y85:AB85" si="61">SUM(Y83:Y84)</f>
        <v>123693.47593517869</v>
      </c>
      <c r="Z85" s="188">
        <f t="shared" si="61"/>
        <v>143810.47593517869</v>
      </c>
      <c r="AA85" s="188">
        <f t="shared" si="61"/>
        <v>143810.47593517869</v>
      </c>
      <c r="AB85" s="188">
        <f t="shared" si="61"/>
        <v>115069.47593517869</v>
      </c>
      <c r="AC85" s="188">
        <f t="shared" ref="AC85:AD85" si="62">SUM(AC83:AC84)</f>
        <v>115200.47593517869</v>
      </c>
      <c r="AD85" s="188">
        <f t="shared" si="62"/>
        <v>98271.475935178692</v>
      </c>
      <c r="AE85" s="2"/>
      <c r="AF85" s="100"/>
      <c r="AG85" s="406"/>
      <c r="AH85" s="2"/>
    </row>
    <row r="86" spans="1:34" x14ac:dyDescent="0.2">
      <c r="A86" s="16"/>
      <c r="B86" s="150"/>
      <c r="C86" s="100"/>
      <c r="D86" s="2"/>
      <c r="E86" s="2"/>
      <c r="F86" s="189"/>
      <c r="G86" s="189"/>
      <c r="H86" s="189"/>
      <c r="I86" s="189"/>
      <c r="J86" s="189"/>
      <c r="K86" s="189"/>
      <c r="L86" s="189"/>
      <c r="M86" s="189"/>
      <c r="N86" s="312"/>
      <c r="O86" s="312"/>
      <c r="P86" s="312"/>
      <c r="Q86" s="2"/>
      <c r="R86" s="334"/>
      <c r="S86" s="334"/>
      <c r="T86" s="334"/>
      <c r="U86" s="334"/>
      <c r="V86" s="334"/>
      <c r="W86" s="334"/>
      <c r="X86" s="334"/>
      <c r="Y86" s="334"/>
      <c r="Z86" s="334"/>
      <c r="AA86" s="334"/>
      <c r="AB86" s="334"/>
      <c r="AC86" s="334"/>
      <c r="AD86" s="334"/>
      <c r="AE86" s="2"/>
      <c r="AF86" s="2"/>
      <c r="AG86" s="2"/>
      <c r="AH86" s="2"/>
    </row>
    <row r="87" spans="1:34" x14ac:dyDescent="0.2">
      <c r="B87" s="150"/>
      <c r="C87" s="100"/>
      <c r="D87" s="2"/>
      <c r="E87" s="2"/>
      <c r="F87" s="189"/>
      <c r="G87" s="189"/>
      <c r="H87" s="189"/>
      <c r="I87" s="189"/>
      <c r="J87" s="189"/>
      <c r="K87" s="189"/>
      <c r="L87" s="189"/>
      <c r="M87" s="189"/>
      <c r="N87" s="312"/>
      <c r="O87" s="312"/>
      <c r="P87" s="312"/>
      <c r="Q87" s="2"/>
      <c r="R87" s="334"/>
      <c r="S87" s="334"/>
      <c r="T87" s="334"/>
      <c r="U87" s="334"/>
      <c r="V87" s="334"/>
      <c r="W87" s="334"/>
      <c r="X87" s="334"/>
      <c r="Y87" s="334"/>
      <c r="Z87" s="334"/>
      <c r="AA87" s="334"/>
      <c r="AB87" s="334"/>
      <c r="AC87" s="334"/>
      <c r="AD87" s="334"/>
      <c r="AE87" s="2"/>
      <c r="AF87" s="2"/>
      <c r="AG87" s="2"/>
      <c r="AH87" s="2"/>
    </row>
    <row r="88" spans="1:34" hidden="1" x14ac:dyDescent="0.2">
      <c r="A88" s="2" t="s">
        <v>231</v>
      </c>
      <c r="B88" s="150"/>
      <c r="C88" s="100"/>
      <c r="K88" s="184"/>
      <c r="L88" s="184"/>
      <c r="M88" s="184"/>
      <c r="N88" s="311"/>
      <c r="O88" s="311"/>
      <c r="P88" s="311"/>
      <c r="Q88" s="55"/>
      <c r="R88" s="331"/>
      <c r="S88" s="331"/>
      <c r="T88" s="331"/>
      <c r="U88" s="331"/>
      <c r="V88" s="331"/>
      <c r="W88" s="331"/>
      <c r="X88" s="331"/>
      <c r="Y88" s="331"/>
      <c r="Z88" s="331"/>
      <c r="AA88" s="331"/>
      <c r="AB88" s="331"/>
      <c r="AC88" s="331"/>
      <c r="AD88" s="331"/>
    </row>
    <row r="89" spans="1:34" x14ac:dyDescent="0.2">
      <c r="C89" s="100"/>
      <c r="D89" s="2"/>
      <c r="E89" s="2"/>
      <c r="F89" s="189"/>
      <c r="G89" s="245"/>
      <c r="H89" s="245"/>
      <c r="I89" s="245"/>
      <c r="J89" s="245"/>
      <c r="K89" s="245"/>
      <c r="L89" s="245"/>
      <c r="M89" s="245"/>
      <c r="N89" s="314"/>
      <c r="O89" s="314"/>
      <c r="P89" s="314"/>
      <c r="R89" s="199"/>
      <c r="S89" s="199"/>
      <c r="T89" s="199"/>
      <c r="U89" s="199"/>
      <c r="V89" s="199"/>
      <c r="W89" s="199"/>
      <c r="X89" s="199"/>
      <c r="Y89" s="199"/>
      <c r="Z89" s="199"/>
      <c r="AA89" s="199"/>
      <c r="AB89" s="199"/>
      <c r="AC89" s="199"/>
      <c r="AD89" s="199"/>
      <c r="AE89" s="2"/>
      <c r="AF89" s="2"/>
      <c r="AG89" s="2"/>
      <c r="AH89" s="2"/>
    </row>
    <row r="90" spans="1:34" x14ac:dyDescent="0.2">
      <c r="C90" s="100"/>
      <c r="G90" s="200"/>
      <c r="H90" s="200"/>
      <c r="I90" s="200"/>
      <c r="J90" s="200"/>
      <c r="K90" s="200"/>
      <c r="L90" s="200"/>
      <c r="M90" s="200"/>
      <c r="N90" s="102"/>
      <c r="O90" s="102"/>
      <c r="P90" s="102"/>
      <c r="R90" s="277"/>
      <c r="S90" s="277"/>
      <c r="T90" s="277"/>
      <c r="U90" s="277"/>
      <c r="V90" s="277"/>
      <c r="W90" s="277"/>
      <c r="X90" s="277"/>
      <c r="Y90" s="277"/>
      <c r="Z90" s="277"/>
      <c r="AA90" s="277"/>
      <c r="AB90" s="277"/>
      <c r="AC90" s="277"/>
      <c r="AD90" s="277"/>
    </row>
    <row r="91" spans="1:34" x14ac:dyDescent="0.2">
      <c r="C91" s="100"/>
    </row>
    <row r="92" spans="1:34" x14ac:dyDescent="0.2">
      <c r="C92" s="100"/>
    </row>
    <row r="93" spans="1:34" x14ac:dyDescent="0.2">
      <c r="C93" s="100"/>
    </row>
    <row r="94" spans="1:34" x14ac:dyDescent="0.2">
      <c r="C94" s="100"/>
    </row>
    <row r="95" spans="1:34" x14ac:dyDescent="0.2">
      <c r="C95" s="100"/>
    </row>
    <row r="96" spans="1:34" x14ac:dyDescent="0.2">
      <c r="C96" s="100"/>
    </row>
    <row r="97" spans="3:3" x14ac:dyDescent="0.2">
      <c r="C97" s="100"/>
    </row>
    <row r="98" spans="3:3" x14ac:dyDescent="0.2">
      <c r="C98" s="100"/>
    </row>
    <row r="99" spans="3:3" x14ac:dyDescent="0.2">
      <c r="C99" s="100"/>
    </row>
    <row r="100" spans="3:3" x14ac:dyDescent="0.2">
      <c r="C100" s="100"/>
    </row>
    <row r="101" spans="3:3" x14ac:dyDescent="0.2">
      <c r="C101" s="100"/>
    </row>
  </sheetData>
  <phoneticPr fontId="16" type="noConversion"/>
  <pageMargins left="0.38" right="0.36" top="0.39" bottom="0.46" header="0.3" footer="0.3"/>
  <pageSetup paperSize="9" scale="58" fitToWidth="0" orientation="landscape" r:id="rId1"/>
  <rowBreaks count="2" manualBreakCount="2">
    <brk id="55" max="29" man="1"/>
    <brk id="87" max="29" man="1"/>
  </rowBreaks>
  <ignoredErrors>
    <ignoredError sqref="J24 J13 J78 O31 O47 O58:O61 O63:O7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P110"/>
  <sheetViews>
    <sheetView showGridLines="0" tabSelected="1" view="pageBreakPreview" zoomScale="60" zoomScaleNormal="50" workbookViewId="0">
      <pane xSplit="2" ySplit="4" topLeftCell="AD37" activePane="bottomRight" state="frozen"/>
      <selection pane="topRight" activeCell="C1" sqref="C1"/>
      <selection pane="bottomLeft" activeCell="A5" sqref="A5"/>
      <selection pane="bottomRight" activeCell="AP18" sqref="AP18"/>
    </sheetView>
  </sheetViews>
  <sheetFormatPr defaultColWidth="9.140625" defaultRowHeight="21" outlineLevelCol="1" x14ac:dyDescent="0.35"/>
  <cols>
    <col min="1" max="1" width="2.42578125" style="155" customWidth="1"/>
    <col min="2" max="2" width="62.42578125" style="158" customWidth="1"/>
    <col min="3" max="5" width="18.28515625" style="158" hidden="1" customWidth="1" outlineLevel="1"/>
    <col min="6" max="10" width="17.28515625" style="158" hidden="1" customWidth="1" outlineLevel="1"/>
    <col min="11" max="11" width="18.42578125" style="258" hidden="1" customWidth="1" outlineLevel="1"/>
    <col min="12" max="15" width="16.85546875" style="258" hidden="1" customWidth="1" outlineLevel="1"/>
    <col min="16" max="16" width="18.5703125" style="258" hidden="1" customWidth="1" outlineLevel="1"/>
    <col min="17" max="22" width="18.42578125" style="258" hidden="1" customWidth="1" outlineLevel="1"/>
    <col min="23" max="23" width="16.28515625" style="258" customWidth="1" collapsed="1"/>
    <col min="24" max="26" width="17.5703125" style="158" customWidth="1"/>
    <col min="27" max="27" width="20.85546875" style="158" customWidth="1"/>
    <col min="28" max="35" width="17.5703125" style="158" customWidth="1"/>
    <col min="36" max="36" width="17.28515625" style="158" customWidth="1"/>
    <col min="37" max="39" width="17.7109375" style="158" customWidth="1"/>
    <col min="40" max="40" width="16.140625" style="158" bestFit="1" customWidth="1"/>
    <col min="41" max="41" width="16.140625" style="158" customWidth="1"/>
    <col min="42" max="42" width="17" style="158" bestFit="1" customWidth="1"/>
    <col min="43" max="16384" width="9.140625" style="158"/>
  </cols>
  <sheetData>
    <row r="1" spans="1:41" ht="21.75" thickBot="1" x14ac:dyDescent="0.4">
      <c r="A1" s="155" t="s">
        <v>168</v>
      </c>
      <c r="B1" s="156"/>
      <c r="C1" s="157"/>
      <c r="AN1" s="385"/>
    </row>
    <row r="2" spans="1:41" ht="21.75" thickBot="1" x14ac:dyDescent="0.4">
      <c r="B2" s="156"/>
      <c r="C2" s="417">
        <v>2017</v>
      </c>
      <c r="D2" s="418"/>
      <c r="E2" s="418"/>
      <c r="F2" s="418"/>
      <c r="G2" s="419"/>
      <c r="R2" s="417">
        <v>2018</v>
      </c>
      <c r="S2" s="418"/>
      <c r="T2" s="418"/>
      <c r="U2" s="418"/>
      <c r="V2" s="419"/>
      <c r="W2" s="417">
        <v>2019</v>
      </c>
      <c r="X2" s="418"/>
      <c r="Y2" s="418"/>
      <c r="Z2" s="418"/>
      <c r="AA2" s="419"/>
      <c r="AB2" s="417">
        <v>2020</v>
      </c>
      <c r="AC2" s="418"/>
      <c r="AD2" s="418"/>
      <c r="AE2" s="418"/>
      <c r="AF2" s="419"/>
      <c r="AG2" s="417">
        <v>2021</v>
      </c>
      <c r="AH2" s="418"/>
      <c r="AI2" s="418"/>
      <c r="AJ2" s="418"/>
      <c r="AK2" s="418"/>
      <c r="AL2" s="417">
        <v>2022</v>
      </c>
      <c r="AM2" s="418"/>
      <c r="AN2" s="418"/>
    </row>
    <row r="3" spans="1:41" s="297" customFormat="1" ht="24" thickBot="1" x14ac:dyDescent="0.3">
      <c r="A3" s="293"/>
      <c r="B3" s="294"/>
      <c r="C3" s="295" t="s">
        <v>222</v>
      </c>
      <c r="D3" s="295" t="s">
        <v>222</v>
      </c>
      <c r="E3" s="295" t="s">
        <v>222</v>
      </c>
      <c r="F3" s="295" t="s">
        <v>223</v>
      </c>
      <c r="G3" s="296" t="s">
        <v>223</v>
      </c>
      <c r="H3" s="420">
        <v>2018</v>
      </c>
      <c r="I3" s="421"/>
      <c r="J3" s="421"/>
      <c r="K3" s="421"/>
      <c r="L3" s="422"/>
      <c r="M3" s="423">
        <v>2019</v>
      </c>
      <c r="N3" s="424"/>
      <c r="O3" s="424"/>
      <c r="P3" s="424"/>
      <c r="Q3" s="425"/>
      <c r="R3" s="295" t="s">
        <v>223</v>
      </c>
      <c r="S3" s="295" t="s">
        <v>223</v>
      </c>
      <c r="T3" s="295" t="s">
        <v>223</v>
      </c>
      <c r="U3" s="295" t="s">
        <v>223</v>
      </c>
      <c r="V3" s="295" t="s">
        <v>223</v>
      </c>
      <c r="W3" s="295" t="s">
        <v>223</v>
      </c>
      <c r="X3" s="295" t="s">
        <v>223</v>
      </c>
      <c r="Y3" s="295" t="s">
        <v>223</v>
      </c>
      <c r="Z3" s="295" t="s">
        <v>223</v>
      </c>
      <c r="AA3" s="295" t="s">
        <v>223</v>
      </c>
      <c r="AB3" s="324" t="s">
        <v>257</v>
      </c>
      <c r="AC3" s="324" t="s">
        <v>257</v>
      </c>
      <c r="AD3" s="324" t="s">
        <v>257</v>
      </c>
      <c r="AE3" s="324" t="s">
        <v>257</v>
      </c>
      <c r="AF3" s="324" t="s">
        <v>257</v>
      </c>
      <c r="AG3" s="324">
        <v>2021</v>
      </c>
      <c r="AH3" s="324">
        <v>2021</v>
      </c>
      <c r="AI3" s="324">
        <v>2021</v>
      </c>
      <c r="AJ3" s="324" t="s">
        <v>263</v>
      </c>
      <c r="AK3" s="324" t="s">
        <v>263</v>
      </c>
      <c r="AL3" s="411" t="s">
        <v>265</v>
      </c>
      <c r="AM3" s="415" t="s">
        <v>265</v>
      </c>
      <c r="AN3" s="415" t="s">
        <v>265</v>
      </c>
    </row>
    <row r="4" spans="1:41" x14ac:dyDescent="0.35">
      <c r="A4" s="159"/>
      <c r="B4" s="160"/>
      <c r="C4" s="232" t="s">
        <v>8</v>
      </c>
      <c r="D4" s="232" t="s">
        <v>9</v>
      </c>
      <c r="E4" s="232" t="s">
        <v>10</v>
      </c>
      <c r="F4" s="232" t="s">
        <v>11</v>
      </c>
      <c r="G4" s="232" t="s">
        <v>185</v>
      </c>
      <c r="H4" s="161" t="s">
        <v>8</v>
      </c>
      <c r="I4" s="161" t="s">
        <v>9</v>
      </c>
      <c r="J4" s="161" t="s">
        <v>10</v>
      </c>
      <c r="K4" s="161" t="s">
        <v>11</v>
      </c>
      <c r="L4" s="161" t="s">
        <v>12</v>
      </c>
      <c r="M4" s="161" t="s">
        <v>8</v>
      </c>
      <c r="N4" s="161" t="s">
        <v>9</v>
      </c>
      <c r="O4" s="161" t="s">
        <v>10</v>
      </c>
      <c r="P4" s="161" t="s">
        <v>11</v>
      </c>
      <c r="Q4" s="161" t="s">
        <v>12</v>
      </c>
      <c r="R4" s="232" t="s">
        <v>8</v>
      </c>
      <c r="S4" s="232" t="s">
        <v>9</v>
      </c>
      <c r="T4" s="232" t="s">
        <v>10</v>
      </c>
      <c r="U4" s="232" t="s">
        <v>11</v>
      </c>
      <c r="V4" s="232" t="s">
        <v>218</v>
      </c>
      <c r="W4" s="232" t="s">
        <v>8</v>
      </c>
      <c r="X4" s="232" t="s">
        <v>9</v>
      </c>
      <c r="Y4" s="232" t="s">
        <v>10</v>
      </c>
      <c r="Z4" s="232" t="s">
        <v>11</v>
      </c>
      <c r="AA4" s="232" t="s">
        <v>216</v>
      </c>
      <c r="AB4" s="161" t="s">
        <v>8</v>
      </c>
      <c r="AC4" s="161" t="s">
        <v>9</v>
      </c>
      <c r="AD4" s="161" t="s">
        <v>10</v>
      </c>
      <c r="AE4" s="161" t="s">
        <v>11</v>
      </c>
      <c r="AF4" s="161" t="s">
        <v>240</v>
      </c>
      <c r="AG4" s="161" t="s">
        <v>8</v>
      </c>
      <c r="AH4" s="161" t="s">
        <v>9</v>
      </c>
      <c r="AI4" s="161" t="s">
        <v>10</v>
      </c>
      <c r="AJ4" s="161" t="s">
        <v>11</v>
      </c>
      <c r="AK4" s="161" t="s">
        <v>252</v>
      </c>
      <c r="AL4" s="161" t="s">
        <v>8</v>
      </c>
      <c r="AM4" s="161" t="s">
        <v>9</v>
      </c>
      <c r="AN4" s="161" t="s">
        <v>10</v>
      </c>
      <c r="AO4" s="384"/>
    </row>
    <row r="5" spans="1:41" x14ac:dyDescent="0.35">
      <c r="A5" s="162" t="s">
        <v>1</v>
      </c>
      <c r="B5" s="160"/>
      <c r="C5" s="233"/>
      <c r="D5" s="239"/>
      <c r="E5" s="239"/>
      <c r="F5" s="239"/>
      <c r="G5" s="239"/>
      <c r="R5" s="233"/>
      <c r="S5" s="239"/>
      <c r="T5" s="239"/>
      <c r="U5" s="239"/>
      <c r="V5" s="239"/>
      <c r="W5" s="233"/>
      <c r="X5" s="239"/>
      <c r="Y5" s="239"/>
      <c r="Z5" s="239"/>
      <c r="AA5" s="239"/>
      <c r="AB5" s="258"/>
      <c r="AC5" s="258"/>
      <c r="AD5" s="258"/>
      <c r="AE5" s="258"/>
      <c r="AF5" s="258"/>
      <c r="AG5" s="258"/>
      <c r="AH5" s="258"/>
      <c r="AI5" s="258"/>
    </row>
    <row r="6" spans="1:41" ht="21" hidden="1" customHeight="1" x14ac:dyDescent="0.35">
      <c r="A6" s="164"/>
      <c r="B6" s="165" t="s">
        <v>153</v>
      </c>
      <c r="C6" s="234"/>
      <c r="D6" s="234"/>
      <c r="E6" s="238"/>
      <c r="F6" s="238"/>
      <c r="G6" s="238"/>
      <c r="H6" s="173"/>
      <c r="I6" s="173"/>
      <c r="J6" s="173"/>
      <c r="R6" s="234"/>
      <c r="S6" s="234"/>
      <c r="T6" s="238"/>
      <c r="U6" s="238"/>
      <c r="V6" s="238"/>
      <c r="W6" s="234"/>
      <c r="X6" s="234"/>
      <c r="Y6" s="238"/>
      <c r="Z6" s="238"/>
      <c r="AA6" s="238"/>
      <c r="AB6" s="258"/>
      <c r="AC6" s="258"/>
      <c r="AD6" s="258"/>
      <c r="AE6" s="258"/>
      <c r="AF6" s="258"/>
      <c r="AG6" s="258"/>
      <c r="AH6" s="258"/>
      <c r="AI6" s="258"/>
    </row>
    <row r="7" spans="1:41" ht="21" hidden="1" customHeight="1" x14ac:dyDescent="0.35">
      <c r="A7" s="159"/>
      <c r="B7" s="167" t="s">
        <v>144</v>
      </c>
      <c r="C7" s="235"/>
      <c r="D7" s="239"/>
      <c r="E7" s="239"/>
      <c r="F7" s="239"/>
      <c r="G7" s="239"/>
      <c r="R7" s="235"/>
      <c r="S7" s="239"/>
      <c r="T7" s="239"/>
      <c r="U7" s="239"/>
      <c r="V7" s="239"/>
      <c r="W7" s="235"/>
      <c r="X7" s="239"/>
      <c r="Y7" s="239"/>
      <c r="Z7" s="239"/>
      <c r="AA7" s="239"/>
      <c r="AB7" s="258"/>
      <c r="AC7" s="258"/>
      <c r="AD7" s="258"/>
      <c r="AE7" s="258"/>
      <c r="AF7" s="258"/>
      <c r="AG7" s="258"/>
      <c r="AH7" s="258"/>
      <c r="AI7" s="258"/>
    </row>
    <row r="8" spans="1:41" ht="21" hidden="1" customHeight="1" x14ac:dyDescent="0.35">
      <c r="A8" s="159"/>
      <c r="B8" s="167" t="s">
        <v>155</v>
      </c>
      <c r="C8" s="236"/>
      <c r="D8" s="240"/>
      <c r="E8" s="239"/>
      <c r="F8" s="239"/>
      <c r="G8" s="239"/>
      <c r="R8" s="236"/>
      <c r="S8" s="240"/>
      <c r="T8" s="239"/>
      <c r="U8" s="239"/>
      <c r="V8" s="239"/>
      <c r="W8" s="236"/>
      <c r="X8" s="240"/>
      <c r="Y8" s="239"/>
      <c r="Z8" s="239"/>
      <c r="AA8" s="239"/>
      <c r="AB8" s="258"/>
      <c r="AC8" s="258"/>
      <c r="AD8" s="258"/>
      <c r="AE8" s="258"/>
      <c r="AF8" s="258"/>
      <c r="AG8" s="258"/>
      <c r="AH8" s="258"/>
      <c r="AI8" s="258"/>
    </row>
    <row r="9" spans="1:41" ht="21" hidden="1" customHeight="1" x14ac:dyDescent="0.35">
      <c r="A9" s="159"/>
      <c r="B9" s="167" t="s">
        <v>56</v>
      </c>
      <c r="C9" s="237"/>
      <c r="D9" s="239"/>
      <c r="E9" s="239"/>
      <c r="F9" s="239"/>
      <c r="G9" s="239"/>
      <c r="R9" s="237"/>
      <c r="S9" s="239"/>
      <c r="T9" s="239"/>
      <c r="U9" s="239"/>
      <c r="V9" s="239"/>
      <c r="W9" s="237"/>
      <c r="X9" s="239"/>
      <c r="Y9" s="239"/>
      <c r="Z9" s="239"/>
      <c r="AA9" s="239"/>
      <c r="AB9" s="258"/>
      <c r="AC9" s="258"/>
      <c r="AD9" s="258"/>
      <c r="AE9" s="258"/>
      <c r="AF9" s="258"/>
      <c r="AG9" s="258"/>
      <c r="AH9" s="258"/>
      <c r="AI9" s="258"/>
    </row>
    <row r="10" spans="1:41" ht="21" hidden="1" customHeight="1" x14ac:dyDescent="0.35">
      <c r="A10" s="159"/>
      <c r="B10" s="167" t="s">
        <v>58</v>
      </c>
      <c r="C10" s="236"/>
      <c r="D10" s="239"/>
      <c r="E10" s="239"/>
      <c r="F10" s="239"/>
      <c r="G10" s="239"/>
      <c r="R10" s="236"/>
      <c r="S10" s="239"/>
      <c r="T10" s="239"/>
      <c r="U10" s="239"/>
      <c r="V10" s="239"/>
      <c r="W10" s="236"/>
      <c r="X10" s="239"/>
      <c r="Y10" s="239"/>
      <c r="Z10" s="239"/>
      <c r="AA10" s="239"/>
      <c r="AB10" s="258"/>
      <c r="AC10" s="258"/>
      <c r="AD10" s="258"/>
      <c r="AE10" s="258"/>
      <c r="AF10" s="258"/>
      <c r="AG10" s="258"/>
      <c r="AH10" s="258"/>
      <c r="AI10" s="258"/>
    </row>
    <row r="11" spans="1:41" ht="21" hidden="1" customHeight="1" x14ac:dyDescent="0.35">
      <c r="A11" s="159"/>
      <c r="B11" s="160"/>
      <c r="C11" s="233"/>
      <c r="D11" s="239"/>
      <c r="E11" s="239"/>
      <c r="F11" s="239"/>
      <c r="G11" s="239"/>
      <c r="R11" s="233"/>
      <c r="S11" s="239"/>
      <c r="T11" s="239"/>
      <c r="U11" s="239"/>
      <c r="V11" s="239"/>
      <c r="W11" s="233"/>
      <c r="X11" s="239"/>
      <c r="Y11" s="239"/>
      <c r="Z11" s="239"/>
      <c r="AA11" s="239"/>
      <c r="AB11" s="258"/>
      <c r="AC11" s="258"/>
      <c r="AD11" s="258"/>
      <c r="AE11" s="258"/>
      <c r="AF11" s="258"/>
      <c r="AG11" s="258"/>
      <c r="AH11" s="258"/>
      <c r="AI11" s="258"/>
    </row>
    <row r="12" spans="1:41" ht="21" hidden="1" customHeight="1" x14ac:dyDescent="0.35">
      <c r="A12" s="164"/>
      <c r="B12" s="165" t="s">
        <v>154</v>
      </c>
      <c r="C12" s="234"/>
      <c r="D12" s="234"/>
      <c r="E12" s="238"/>
      <c r="F12" s="238"/>
      <c r="G12" s="238"/>
      <c r="H12" s="173"/>
      <c r="I12" s="173"/>
      <c r="J12" s="173"/>
      <c r="R12" s="234"/>
      <c r="S12" s="234"/>
      <c r="T12" s="238"/>
      <c r="U12" s="238"/>
      <c r="V12" s="238"/>
      <c r="W12" s="234"/>
      <c r="X12" s="234"/>
      <c r="Y12" s="238"/>
      <c r="Z12" s="238"/>
      <c r="AA12" s="238"/>
      <c r="AB12" s="258"/>
      <c r="AC12" s="258"/>
      <c r="AD12" s="258"/>
      <c r="AE12" s="258"/>
      <c r="AF12" s="258"/>
      <c r="AG12" s="258"/>
      <c r="AH12" s="258"/>
      <c r="AI12" s="258"/>
    </row>
    <row r="13" spans="1:41" ht="21" hidden="1" customHeight="1" x14ac:dyDescent="0.35">
      <c r="A13" s="159"/>
      <c r="B13" s="167" t="s">
        <v>144</v>
      </c>
      <c r="C13" s="235"/>
      <c r="D13" s="239"/>
      <c r="E13" s="239"/>
      <c r="F13" s="239"/>
      <c r="G13" s="239"/>
      <c r="R13" s="235"/>
      <c r="S13" s="239"/>
      <c r="T13" s="239"/>
      <c r="U13" s="239"/>
      <c r="V13" s="239"/>
      <c r="W13" s="235"/>
      <c r="X13" s="239"/>
      <c r="Y13" s="239"/>
      <c r="Z13" s="239"/>
      <c r="AA13" s="239"/>
      <c r="AB13" s="258"/>
      <c r="AC13" s="258"/>
      <c r="AD13" s="258"/>
      <c r="AE13" s="258"/>
      <c r="AF13" s="258"/>
      <c r="AG13" s="258"/>
      <c r="AH13" s="258"/>
      <c r="AI13" s="258"/>
    </row>
    <row r="14" spans="1:41" ht="21" hidden="1" customHeight="1" x14ac:dyDescent="0.35">
      <c r="A14" s="159"/>
      <c r="B14" s="167" t="s">
        <v>56</v>
      </c>
      <c r="C14" s="237"/>
      <c r="D14" s="239"/>
      <c r="E14" s="239"/>
      <c r="F14" s="239"/>
      <c r="G14" s="239"/>
      <c r="R14" s="237"/>
      <c r="S14" s="239"/>
      <c r="T14" s="239"/>
      <c r="U14" s="239"/>
      <c r="V14" s="239"/>
      <c r="W14" s="237"/>
      <c r="X14" s="239"/>
      <c r="Y14" s="239"/>
      <c r="Z14" s="239"/>
      <c r="AA14" s="239"/>
      <c r="AB14" s="258"/>
      <c r="AC14" s="258"/>
      <c r="AD14" s="258"/>
      <c r="AE14" s="258"/>
      <c r="AF14" s="258"/>
      <c r="AG14" s="258"/>
      <c r="AH14" s="258"/>
      <c r="AI14" s="258"/>
    </row>
    <row r="15" spans="1:41" ht="21" hidden="1" customHeight="1" x14ac:dyDescent="0.35">
      <c r="A15" s="159"/>
      <c r="B15" s="167" t="s">
        <v>58</v>
      </c>
      <c r="C15" s="236"/>
      <c r="D15" s="239"/>
      <c r="E15" s="239"/>
      <c r="F15" s="239"/>
      <c r="G15" s="239"/>
      <c r="R15" s="236"/>
      <c r="S15" s="239"/>
      <c r="T15" s="239"/>
      <c r="U15" s="239"/>
      <c r="V15" s="239"/>
      <c r="W15" s="236"/>
      <c r="X15" s="239"/>
      <c r="Y15" s="239"/>
      <c r="Z15" s="239"/>
      <c r="AA15" s="239"/>
      <c r="AB15" s="258"/>
      <c r="AC15" s="258"/>
      <c r="AD15" s="258"/>
      <c r="AE15" s="258"/>
      <c r="AF15" s="258"/>
      <c r="AG15" s="258"/>
      <c r="AH15" s="258"/>
      <c r="AI15" s="258"/>
    </row>
    <row r="16" spans="1:41" x14ac:dyDescent="0.35">
      <c r="A16" s="162"/>
      <c r="B16" s="160"/>
      <c r="C16" s="233"/>
      <c r="D16" s="239"/>
      <c r="E16" s="239"/>
      <c r="F16" s="239"/>
      <c r="G16" s="239"/>
      <c r="R16" s="233"/>
      <c r="S16" s="239"/>
      <c r="T16" s="239"/>
      <c r="U16" s="239"/>
      <c r="V16" s="239"/>
      <c r="W16" s="233"/>
      <c r="X16" s="239"/>
      <c r="Y16" s="239"/>
      <c r="Z16" s="239"/>
      <c r="AA16" s="239"/>
      <c r="AB16" s="258"/>
      <c r="AC16" s="258"/>
      <c r="AD16" s="258"/>
      <c r="AE16" s="258"/>
      <c r="AF16" s="258"/>
      <c r="AG16" s="258"/>
      <c r="AH16" s="258"/>
      <c r="AI16" s="258"/>
    </row>
    <row r="17" spans="1:41" x14ac:dyDescent="0.35">
      <c r="A17" s="164"/>
      <c r="B17" s="165" t="s">
        <v>262</v>
      </c>
      <c r="C17" s="166">
        <f t="shared" ref="C17:L17" si="0">C23+C30+C42+C48+C54</f>
        <v>134026</v>
      </c>
      <c r="D17" s="166">
        <f t="shared" si="0"/>
        <v>137498</v>
      </c>
      <c r="E17" s="166">
        <f t="shared" si="0"/>
        <v>138601</v>
      </c>
      <c r="F17" s="166">
        <f t="shared" si="0"/>
        <v>142242</v>
      </c>
      <c r="G17" s="166">
        <f t="shared" si="0"/>
        <v>552367</v>
      </c>
      <c r="H17" s="166">
        <f t="shared" si="0"/>
        <v>149871</v>
      </c>
      <c r="I17" s="166">
        <f t="shared" si="0"/>
        <v>150494</v>
      </c>
      <c r="J17" s="166">
        <f t="shared" si="0"/>
        <v>148417</v>
      </c>
      <c r="K17" s="166">
        <f t="shared" si="0"/>
        <v>149040</v>
      </c>
      <c r="L17" s="166">
        <f t="shared" si="0"/>
        <v>597822</v>
      </c>
      <c r="M17" s="166">
        <f>M23+M30+M42+M48+M54+M36</f>
        <v>152612</v>
      </c>
      <c r="N17" s="166">
        <f>N23+N30+N42+N48+N54+N36</f>
        <v>155638</v>
      </c>
      <c r="O17" s="166">
        <f>O23+O30+O42+O48+O54+O36</f>
        <v>162639</v>
      </c>
      <c r="P17" s="166">
        <f>P23+P30+P42+P48+P54+P36</f>
        <v>163128</v>
      </c>
      <c r="Q17" s="166">
        <f>Q23+Q30+Q42+Q48+Q54+Q36</f>
        <v>634017</v>
      </c>
      <c r="R17" s="234">
        <f t="shared" ref="R17:W17" si="1">R23+R30+R36</f>
        <v>149870.96685598622</v>
      </c>
      <c r="S17" s="234">
        <f t="shared" si="1"/>
        <v>150494.46117321268</v>
      </c>
      <c r="T17" s="234">
        <f t="shared" si="1"/>
        <v>148416.88236976153</v>
      </c>
      <c r="U17" s="234">
        <f t="shared" si="1"/>
        <v>149040.3301324464</v>
      </c>
      <c r="V17" s="234">
        <f t="shared" si="1"/>
        <v>597821.64053140674</v>
      </c>
      <c r="W17" s="234">
        <f t="shared" si="1"/>
        <v>152612</v>
      </c>
      <c r="X17" s="234">
        <f t="shared" ref="X17:AF17" si="2">X23+X30+X36</f>
        <v>155638</v>
      </c>
      <c r="Y17" s="234">
        <f t="shared" si="2"/>
        <v>162639</v>
      </c>
      <c r="Z17" s="234">
        <f t="shared" si="2"/>
        <v>163128</v>
      </c>
      <c r="AA17" s="234">
        <f t="shared" si="2"/>
        <v>634017</v>
      </c>
      <c r="AB17" s="316">
        <f t="shared" si="2"/>
        <v>153559</v>
      </c>
      <c r="AC17" s="316">
        <f t="shared" si="2"/>
        <v>140794</v>
      </c>
      <c r="AD17" s="316">
        <f t="shared" si="2"/>
        <v>150519.13785266777</v>
      </c>
      <c r="AE17" s="316">
        <f t="shared" si="2"/>
        <v>150882.86214733223</v>
      </c>
      <c r="AF17" s="316">
        <f t="shared" si="2"/>
        <v>595755</v>
      </c>
      <c r="AG17" s="316">
        <f t="shared" ref="AG17:AH17" si="3">AG23+AG30+AG36</f>
        <v>159093</v>
      </c>
      <c r="AH17" s="316">
        <f t="shared" si="3"/>
        <v>163659</v>
      </c>
      <c r="AI17" s="316">
        <f t="shared" ref="AI17:AL17" si="4">AI23+AI30+AI36</f>
        <v>169862</v>
      </c>
      <c r="AJ17" s="316">
        <f t="shared" si="4"/>
        <v>169007</v>
      </c>
      <c r="AK17" s="316">
        <f t="shared" si="4"/>
        <v>661621</v>
      </c>
      <c r="AL17" s="316">
        <f t="shared" si="4"/>
        <v>180169</v>
      </c>
      <c r="AM17" s="316">
        <f t="shared" ref="AM17:AN17" si="5">AM23+AM30+AM36</f>
        <v>185481</v>
      </c>
      <c r="AN17" s="316">
        <f t="shared" si="5"/>
        <v>195053</v>
      </c>
      <c r="AO17" s="276"/>
    </row>
    <row r="18" spans="1:41" x14ac:dyDescent="0.35">
      <c r="A18" s="159"/>
      <c r="B18" s="167" t="s">
        <v>144</v>
      </c>
      <c r="C18" s="235">
        <v>4.6505817131256455E-2</v>
      </c>
      <c r="D18" s="235">
        <v>5.065370714225681E-2</v>
      </c>
      <c r="E18" s="235">
        <v>6.975756967652802E-2</v>
      </c>
      <c r="F18" s="235">
        <v>7.9619284716740513E-2</v>
      </c>
      <c r="G18" s="235">
        <v>6.1725618640125823E-2</v>
      </c>
      <c r="H18" s="168">
        <f t="shared" ref="H18:Q18" si="6">H17/C17-1</f>
        <v>0.11822332980168038</v>
      </c>
      <c r="I18" s="168">
        <f t="shared" si="6"/>
        <v>9.4517738439831911E-2</v>
      </c>
      <c r="J18" s="168">
        <f t="shared" si="6"/>
        <v>7.0821999841270911E-2</v>
      </c>
      <c r="K18" s="168">
        <f t="shared" si="6"/>
        <v>4.779179145400092E-2</v>
      </c>
      <c r="L18" s="168">
        <f t="shared" si="6"/>
        <v>8.2291302702732105E-2</v>
      </c>
      <c r="M18" s="168">
        <f t="shared" si="6"/>
        <v>1.82890619265903E-2</v>
      </c>
      <c r="N18" s="168">
        <f t="shared" si="6"/>
        <v>3.4180764681648546E-2</v>
      </c>
      <c r="O18" s="168">
        <f t="shared" si="6"/>
        <v>9.5824602302970741E-2</v>
      </c>
      <c r="P18" s="168">
        <f t="shared" si="6"/>
        <v>9.4524959742350978E-2</v>
      </c>
      <c r="Q18" s="168">
        <f t="shared" si="6"/>
        <v>6.0544777542479222E-2</v>
      </c>
      <c r="R18" s="235">
        <v>0.11822412187019271</v>
      </c>
      <c r="S18" s="235">
        <v>9.4516632636036713E-2</v>
      </c>
      <c r="T18" s="235">
        <v>7.0822240426617E-2</v>
      </c>
      <c r="U18" s="235">
        <v>4.7790611168654351E-2</v>
      </c>
      <c r="V18" s="235">
        <v>8.2287332816930681E-2</v>
      </c>
      <c r="W18" s="235">
        <v>1.8289287121552311E-2</v>
      </c>
      <c r="X18" s="235">
        <v>3.4177595551954099E-2</v>
      </c>
      <c r="Y18" s="235">
        <v>9.5825470816762515E-2</v>
      </c>
      <c r="Z18" s="235">
        <v>9.4522535309969014E-2</v>
      </c>
      <c r="AA18" s="235">
        <v>6.0547189264690049E-2</v>
      </c>
      <c r="AB18" s="168">
        <f t="shared" ref="AB18:AI18" si="7">AB17/W17-1</f>
        <v>6.2052787461013281E-3</v>
      </c>
      <c r="AC18" s="168">
        <f t="shared" si="7"/>
        <v>-9.5375165448026822E-2</v>
      </c>
      <c r="AD18" s="168">
        <f t="shared" si="7"/>
        <v>-7.4520023778627653E-2</v>
      </c>
      <c r="AE18" s="168">
        <f t="shared" si="7"/>
        <v>-7.5064598675075866E-2</v>
      </c>
      <c r="AF18" s="168">
        <f t="shared" si="7"/>
        <v>-6.0348539550201363E-2</v>
      </c>
      <c r="AG18" s="168">
        <f t="shared" si="7"/>
        <v>3.6038265422410953E-2</v>
      </c>
      <c r="AH18" s="168">
        <f t="shared" si="7"/>
        <v>0.16240038638010135</v>
      </c>
      <c r="AI18" s="168">
        <f t="shared" si="7"/>
        <v>0.12850765971211953</v>
      </c>
      <c r="AJ18" s="168">
        <f t="shared" ref="AJ18" si="8">AJ17/AE17-1</f>
        <v>0.12012058622648691</v>
      </c>
      <c r="AK18" s="168">
        <f t="shared" ref="AK18:AN18" si="9">AK17/AF17-1</f>
        <v>0.11055887067670445</v>
      </c>
      <c r="AL18" s="168">
        <f t="shared" si="9"/>
        <v>0.13247597317292392</v>
      </c>
      <c r="AM18" s="168">
        <f t="shared" si="9"/>
        <v>0.13333822154601949</v>
      </c>
      <c r="AN18" s="168">
        <f t="shared" si="9"/>
        <v>0.14830273987118958</v>
      </c>
      <c r="AO18" s="401"/>
    </row>
    <row r="19" spans="1:41" x14ac:dyDescent="0.35">
      <c r="A19" s="159"/>
      <c r="B19" s="167" t="s">
        <v>155</v>
      </c>
      <c r="C19" s="236">
        <v>4.9000000000000002E-2</v>
      </c>
      <c r="D19" s="240">
        <v>4.8525496185022776E-2</v>
      </c>
      <c r="E19" s="235">
        <v>6.4270961809923532E-2</v>
      </c>
      <c r="F19" s="235">
        <v>6.8680050795172143E-2</v>
      </c>
      <c r="G19" s="235">
        <v>5.7701269035152603E-2</v>
      </c>
      <c r="H19" s="168">
        <v>0.104152477303735</v>
      </c>
      <c r="I19" s="168">
        <v>9.7943653485765836E-2</v>
      </c>
      <c r="J19" s="169">
        <v>8.7427961273436328E-2</v>
      </c>
      <c r="K19" s="169">
        <v>6.7816377226745272E-2</v>
      </c>
      <c r="L19" s="168">
        <v>8.905334615962901E-2</v>
      </c>
      <c r="M19" s="168">
        <v>3.9E-2</v>
      </c>
      <c r="N19" s="176">
        <v>4.3999999999999997E-2</v>
      </c>
      <c r="O19" s="176">
        <v>0.10100000000000001</v>
      </c>
      <c r="P19" s="176">
        <v>9.5000000000000001E-2</v>
      </c>
      <c r="Q19" s="168">
        <v>7.0000000000000007E-2</v>
      </c>
      <c r="R19" s="344">
        <f t="shared" ref="R19:AA19" si="10">H19</f>
        <v>0.104152477303735</v>
      </c>
      <c r="S19" s="344">
        <f t="shared" si="10"/>
        <v>9.7943653485765836E-2</v>
      </c>
      <c r="T19" s="344">
        <f t="shared" si="10"/>
        <v>8.7427961273436328E-2</v>
      </c>
      <c r="U19" s="344">
        <f t="shared" si="10"/>
        <v>6.7816377226745272E-2</v>
      </c>
      <c r="V19" s="344">
        <f t="shared" si="10"/>
        <v>8.905334615962901E-2</v>
      </c>
      <c r="W19" s="344">
        <f t="shared" si="10"/>
        <v>3.9E-2</v>
      </c>
      <c r="X19" s="344">
        <f t="shared" si="10"/>
        <v>4.3999999999999997E-2</v>
      </c>
      <c r="Y19" s="344">
        <f t="shared" si="10"/>
        <v>0.10100000000000001</v>
      </c>
      <c r="Z19" s="344">
        <f t="shared" si="10"/>
        <v>9.5000000000000001E-2</v>
      </c>
      <c r="AA19" s="344">
        <f t="shared" si="10"/>
        <v>7.0000000000000007E-2</v>
      </c>
      <c r="AB19" s="176">
        <v>1.5189806188657951E-2</v>
      </c>
      <c r="AC19" s="176">
        <v>-8.5113869530994424E-2</v>
      </c>
      <c r="AD19" s="176">
        <v>-7.3818017746927533E-2</v>
      </c>
      <c r="AE19" s="176">
        <v>-7.4335344491529121E-2</v>
      </c>
      <c r="AF19" s="176">
        <v>-5.5299191968245509E-2</v>
      </c>
      <c r="AG19" s="176">
        <v>2.7551097699270555E-2</v>
      </c>
      <c r="AH19" s="176">
        <v>0.14889159851110234</v>
      </c>
      <c r="AI19" s="176">
        <v>0.12610127163995721</v>
      </c>
      <c r="AJ19" s="176">
        <v>0.12222951818446059</v>
      </c>
      <c r="AK19" s="176">
        <v>0.10510489414269042</v>
      </c>
      <c r="AL19" s="176">
        <v>0.13961567030821898</v>
      </c>
      <c r="AM19" s="176">
        <v>0.15033269885470735</v>
      </c>
      <c r="AN19" s="176">
        <v>0.17187436580971149</v>
      </c>
      <c r="AO19" s="401"/>
    </row>
    <row r="20" spans="1:41" x14ac:dyDescent="0.35">
      <c r="A20" s="159"/>
      <c r="B20" s="167" t="s">
        <v>56</v>
      </c>
      <c r="C20" s="237">
        <f t="shared" ref="C20:L20" si="11">ROUND(C26+C33+C45+C51+C57,0)</f>
        <v>46710</v>
      </c>
      <c r="D20" s="237">
        <f t="shared" si="11"/>
        <v>47415</v>
      </c>
      <c r="E20" s="237">
        <f t="shared" si="11"/>
        <v>51154</v>
      </c>
      <c r="F20" s="237">
        <f t="shared" si="11"/>
        <v>48906</v>
      </c>
      <c r="G20" s="237">
        <f t="shared" si="11"/>
        <v>194185</v>
      </c>
      <c r="H20" s="170">
        <f t="shared" si="11"/>
        <v>49845</v>
      </c>
      <c r="I20" s="170">
        <f t="shared" si="11"/>
        <v>49501</v>
      </c>
      <c r="J20" s="170">
        <f t="shared" si="11"/>
        <v>49898</v>
      </c>
      <c r="K20" s="170">
        <f t="shared" si="11"/>
        <v>48327</v>
      </c>
      <c r="L20" s="170">
        <f t="shared" si="11"/>
        <v>197571</v>
      </c>
      <c r="M20" s="170">
        <f>ROUND(M26+M33+M45+M51+M57+M39,0)</f>
        <v>52274</v>
      </c>
      <c r="N20" s="170">
        <f>ROUND(N26+N33+N45+N51+N57+N39,0)</f>
        <v>50623</v>
      </c>
      <c r="O20" s="170">
        <f>ROUND(O26+O33+O45+O51+O57+O39,0)</f>
        <v>52930</v>
      </c>
      <c r="P20" s="170">
        <f>ROUND(P26+P33+P45+P51+P57+P39,0)</f>
        <v>53945</v>
      </c>
      <c r="Q20" s="170">
        <f>ROUND(Q26+Q33+Q45+Q51+Q57+Q39,0)</f>
        <v>209772</v>
      </c>
      <c r="R20" s="237">
        <f>ROUND(R26+R33+R39,0)</f>
        <v>49845</v>
      </c>
      <c r="S20" s="237">
        <f>ROUND(S26+S33+S39,0)-1</f>
        <v>49501</v>
      </c>
      <c r="T20" s="237">
        <f>ROUND(T26+T33+T39,0)</f>
        <v>49898</v>
      </c>
      <c r="U20" s="237">
        <f>ROUND(U26+U33+U39,0)</f>
        <v>48327</v>
      </c>
      <c r="V20" s="237">
        <f>ROUND(V26+V33+V39,0)</f>
        <v>197571</v>
      </c>
      <c r="W20" s="237">
        <f>ROUND(W26+W33+W39,0)</f>
        <v>52274</v>
      </c>
      <c r="X20" s="237">
        <f t="shared" ref="X20:AF20" si="12">ROUND(X26+X33+X39,0)</f>
        <v>50623</v>
      </c>
      <c r="Y20" s="237">
        <f t="shared" si="12"/>
        <v>52930</v>
      </c>
      <c r="Z20" s="237">
        <f t="shared" si="12"/>
        <v>53945</v>
      </c>
      <c r="AA20" s="237">
        <f t="shared" si="12"/>
        <v>209772</v>
      </c>
      <c r="AB20" s="170">
        <f t="shared" si="12"/>
        <v>49519</v>
      </c>
      <c r="AC20" s="170">
        <f t="shared" si="12"/>
        <v>39625</v>
      </c>
      <c r="AD20" s="170">
        <f t="shared" si="12"/>
        <v>54903</v>
      </c>
      <c r="AE20" s="170">
        <f t="shared" si="12"/>
        <v>57222</v>
      </c>
      <c r="AF20" s="170">
        <f t="shared" si="12"/>
        <v>201269</v>
      </c>
      <c r="AG20" s="170">
        <f t="shared" ref="AG20:AH20" si="13">ROUND(AG26+AG33+AG39,0)</f>
        <v>64765</v>
      </c>
      <c r="AH20" s="170">
        <f t="shared" si="13"/>
        <v>64269</v>
      </c>
      <c r="AI20" s="170">
        <f t="shared" ref="AI20:AM20" si="14">ROUND(AI26+AI33+AI39,0)</f>
        <v>67655</v>
      </c>
      <c r="AJ20" s="170">
        <f t="shared" si="14"/>
        <v>63906</v>
      </c>
      <c r="AK20" s="170">
        <f t="shared" si="14"/>
        <v>260595</v>
      </c>
      <c r="AL20" s="170">
        <f t="shared" si="14"/>
        <v>68223</v>
      </c>
      <c r="AM20" s="170">
        <f t="shared" si="14"/>
        <v>65928</v>
      </c>
      <c r="AN20" s="170">
        <f t="shared" ref="AN20" si="15">ROUND(AN26+AN33+AN39,0)</f>
        <v>70530</v>
      </c>
      <c r="AO20" s="276"/>
    </row>
    <row r="21" spans="1:41" x14ac:dyDescent="0.35">
      <c r="A21" s="159"/>
      <c r="B21" s="167" t="s">
        <v>58</v>
      </c>
      <c r="C21" s="236">
        <f t="shared" ref="C21:H21" si="16">C20/C17</f>
        <v>0.34851446734215752</v>
      </c>
      <c r="D21" s="236">
        <f t="shared" si="16"/>
        <v>0.34484137951097471</v>
      </c>
      <c r="E21" s="236">
        <f t="shared" si="16"/>
        <v>0.36907381620623225</v>
      </c>
      <c r="F21" s="236">
        <f>F20/F17</f>
        <v>0.34382249968363776</v>
      </c>
      <c r="G21" s="236">
        <f>G20/G17</f>
        <v>0.35155069003036027</v>
      </c>
      <c r="H21" s="169">
        <f t="shared" si="16"/>
        <v>0.33258602398062331</v>
      </c>
      <c r="I21" s="169">
        <f t="shared" ref="I21:O21" si="17">I20/I17</f>
        <v>0.32892341222905896</v>
      </c>
      <c r="J21" s="169">
        <f t="shared" si="17"/>
        <v>0.33620137854827953</v>
      </c>
      <c r="K21" s="169">
        <f t="shared" si="17"/>
        <v>0.32425523349436391</v>
      </c>
      <c r="L21" s="169">
        <f t="shared" si="17"/>
        <v>0.33048465931330728</v>
      </c>
      <c r="M21" s="169">
        <f t="shared" si="17"/>
        <v>0.34252876575891805</v>
      </c>
      <c r="N21" s="169">
        <f t="shared" si="17"/>
        <v>0.32526118300158058</v>
      </c>
      <c r="O21" s="169">
        <f t="shared" si="17"/>
        <v>0.3254446965365011</v>
      </c>
      <c r="P21" s="169">
        <f t="shared" ref="P21:AA21" si="18">P20/P17</f>
        <v>0.33069123632975334</v>
      </c>
      <c r="Q21" s="169">
        <f t="shared" si="18"/>
        <v>0.3308617907721717</v>
      </c>
      <c r="R21" s="236">
        <f t="shared" si="18"/>
        <v>0.33258609753213231</v>
      </c>
      <c r="S21" s="236">
        <f t="shared" si="18"/>
        <v>0.32892240428055669</v>
      </c>
      <c r="T21" s="236">
        <f t="shared" si="18"/>
        <v>0.33620164501020555</v>
      </c>
      <c r="U21" s="236">
        <f t="shared" si="18"/>
        <v>0.32425451525136623</v>
      </c>
      <c r="V21" s="236">
        <f t="shared" si="18"/>
        <v>0.33048485803287103</v>
      </c>
      <c r="W21" s="236">
        <f t="shared" si="18"/>
        <v>0.34252876575891805</v>
      </c>
      <c r="X21" s="236">
        <f t="shared" si="18"/>
        <v>0.32526118300158058</v>
      </c>
      <c r="Y21" s="236">
        <f t="shared" si="18"/>
        <v>0.3254446965365011</v>
      </c>
      <c r="Z21" s="236">
        <f t="shared" si="18"/>
        <v>0.33069123632975334</v>
      </c>
      <c r="AA21" s="236">
        <f t="shared" si="18"/>
        <v>0.3308617907721717</v>
      </c>
      <c r="AB21" s="169">
        <f t="shared" ref="AB21:AH21" si="19">AB20/AB17</f>
        <v>0.32247540033472477</v>
      </c>
      <c r="AC21" s="169">
        <f t="shared" si="19"/>
        <v>0.28143954998082304</v>
      </c>
      <c r="AD21" s="169">
        <f t="shared" si="19"/>
        <v>0.36475760347325764</v>
      </c>
      <c r="AE21" s="169">
        <f t="shared" si="19"/>
        <v>0.37924784290030611</v>
      </c>
      <c r="AF21" s="169">
        <f t="shared" si="19"/>
        <v>0.33783854101098604</v>
      </c>
      <c r="AG21" s="169">
        <f t="shared" si="19"/>
        <v>0.4070889354025633</v>
      </c>
      <c r="AH21" s="169">
        <f t="shared" si="19"/>
        <v>0.39270067640643047</v>
      </c>
      <c r="AI21" s="169">
        <f t="shared" ref="AI21:AM21" si="20">AI20/AI17</f>
        <v>0.39829390917332896</v>
      </c>
      <c r="AJ21" s="169">
        <f t="shared" si="20"/>
        <v>0.37812634979616228</v>
      </c>
      <c r="AK21" s="169">
        <f t="shared" si="20"/>
        <v>0.39387353182562224</v>
      </c>
      <c r="AL21" s="169">
        <f t="shared" si="20"/>
        <v>0.3786611459241046</v>
      </c>
      <c r="AM21" s="169">
        <f t="shared" si="20"/>
        <v>0.35544341468937518</v>
      </c>
      <c r="AN21" s="169">
        <f t="shared" ref="AN21" si="21">AN20/AN17</f>
        <v>0.3615940282897469</v>
      </c>
      <c r="AO21" s="401"/>
    </row>
    <row r="22" spans="1:41" x14ac:dyDescent="0.35">
      <c r="A22" s="159"/>
      <c r="B22" s="167"/>
      <c r="C22" s="236"/>
      <c r="D22" s="239"/>
      <c r="E22" s="239"/>
      <c r="F22" s="239"/>
      <c r="G22" s="239"/>
      <c r="K22" s="158"/>
      <c r="L22" s="158"/>
      <c r="M22" s="158"/>
      <c r="N22" s="158"/>
      <c r="O22" s="158"/>
      <c r="P22" s="158"/>
      <c r="Q22" s="158"/>
      <c r="R22" s="236"/>
      <c r="S22" s="239"/>
      <c r="T22" s="239"/>
      <c r="U22" s="239"/>
      <c r="V22" s="239"/>
      <c r="W22" s="236"/>
      <c r="X22" s="239"/>
      <c r="Y22" s="239"/>
      <c r="Z22" s="239"/>
      <c r="AA22" s="239"/>
      <c r="AO22" s="276"/>
    </row>
    <row r="23" spans="1:41" x14ac:dyDescent="0.35">
      <c r="A23" s="172"/>
      <c r="B23" s="172" t="s">
        <v>148</v>
      </c>
      <c r="C23" s="238">
        <v>55921</v>
      </c>
      <c r="D23" s="241">
        <v>58255</v>
      </c>
      <c r="E23" s="241">
        <v>59608</v>
      </c>
      <c r="F23" s="241">
        <f>+G23-SUM(C23,D23,E23)</f>
        <v>61010</v>
      </c>
      <c r="G23" s="242">
        <v>234794</v>
      </c>
      <c r="H23" s="174">
        <v>63903</v>
      </c>
      <c r="I23" s="174">
        <v>64812</v>
      </c>
      <c r="J23" s="174">
        <v>64303</v>
      </c>
      <c r="K23" s="174">
        <f>+L23-SUM(H23:J23)</f>
        <v>65126</v>
      </c>
      <c r="L23" s="174">
        <v>258144</v>
      </c>
      <c r="M23" s="174">
        <v>69038</v>
      </c>
      <c r="N23" s="174">
        <v>72236</v>
      </c>
      <c r="O23" s="174">
        <v>77714</v>
      </c>
      <c r="P23" s="174">
        <f>+Q23-SUM(M23:O23)</f>
        <v>75171</v>
      </c>
      <c r="Q23" s="174">
        <v>294159</v>
      </c>
      <c r="R23" s="234">
        <v>76148.167060416323</v>
      </c>
      <c r="S23" s="242">
        <v>78614.312935322407</v>
      </c>
      <c r="T23" s="242">
        <v>77757.039113754727</v>
      </c>
      <c r="U23" s="242">
        <v>78632.585690686348</v>
      </c>
      <c r="V23" s="242">
        <v>311152.10480017978</v>
      </c>
      <c r="W23" s="234">
        <v>81286</v>
      </c>
      <c r="X23" s="242">
        <v>85581</v>
      </c>
      <c r="Y23" s="242">
        <v>91096</v>
      </c>
      <c r="Z23" s="242">
        <v>88471</v>
      </c>
      <c r="AA23" s="242">
        <v>346434</v>
      </c>
      <c r="AB23" s="174">
        <v>83739</v>
      </c>
      <c r="AC23" s="174">
        <v>81281</v>
      </c>
      <c r="AD23" s="174">
        <v>87830.240012667782</v>
      </c>
      <c r="AE23" s="174">
        <f>AF23-SUM(AB23:AD23)</f>
        <v>88919.759987332218</v>
      </c>
      <c r="AF23" s="174">
        <v>341770</v>
      </c>
      <c r="AG23" s="174">
        <v>91160</v>
      </c>
      <c r="AH23" s="174">
        <v>94719</v>
      </c>
      <c r="AI23" s="174">
        <v>98008</v>
      </c>
      <c r="AJ23" s="174">
        <f>AK23-SUM(AG23:AI23)</f>
        <v>98112</v>
      </c>
      <c r="AK23" s="174">
        <v>381999</v>
      </c>
      <c r="AL23" s="174">
        <v>103266</v>
      </c>
      <c r="AM23" s="174">
        <v>108557</v>
      </c>
      <c r="AN23" s="174">
        <v>116198</v>
      </c>
      <c r="AO23" s="276"/>
    </row>
    <row r="24" spans="1:41" x14ac:dyDescent="0.35">
      <c r="A24" s="159"/>
      <c r="B24" s="167" t="s">
        <v>144</v>
      </c>
      <c r="C24" s="235">
        <v>0.15781609425933762</v>
      </c>
      <c r="D24" s="235">
        <v>0.15136182816147836</v>
      </c>
      <c r="E24" s="235">
        <v>0.12891676635079641</v>
      </c>
      <c r="F24" s="235">
        <v>0.1167645106386701</v>
      </c>
      <c r="G24" s="235">
        <v>0.13796817406137452</v>
      </c>
      <c r="H24" s="168">
        <f t="shared" ref="H24:Q24" si="22">H23/C23-1</f>
        <v>0.14273707551724746</v>
      </c>
      <c r="I24" s="168">
        <f t="shared" si="22"/>
        <v>0.11255686207192506</v>
      </c>
      <c r="J24" s="168">
        <f t="shared" si="22"/>
        <v>7.8764595356328071E-2</v>
      </c>
      <c r="K24" s="168">
        <f t="shared" si="22"/>
        <v>6.746435010653995E-2</v>
      </c>
      <c r="L24" s="168">
        <f t="shared" si="22"/>
        <v>9.9448878591446022E-2</v>
      </c>
      <c r="M24" s="168">
        <f t="shared" si="22"/>
        <v>8.0356164812293684E-2</v>
      </c>
      <c r="N24" s="168">
        <f t="shared" si="22"/>
        <v>0.11454668888477437</v>
      </c>
      <c r="O24" s="168">
        <f t="shared" si="22"/>
        <v>0.20855947622972493</v>
      </c>
      <c r="P24" s="168">
        <f t="shared" si="22"/>
        <v>0.15423947424991558</v>
      </c>
      <c r="Q24" s="168">
        <f t="shared" si="22"/>
        <v>0.13951515433246553</v>
      </c>
      <c r="R24" s="235">
        <v>0.2121233488330192</v>
      </c>
      <c r="S24" s="235">
        <v>0.18933606925635882</v>
      </c>
      <c r="T24" s="235">
        <v>0.14559720208257043</v>
      </c>
      <c r="U24" s="235">
        <v>9.3570729091322358E-2</v>
      </c>
      <c r="V24" s="235">
        <v>0.15798827964705398</v>
      </c>
      <c r="W24" s="235">
        <v>6.7471524764441071E-2</v>
      </c>
      <c r="X24" s="235">
        <v>8.8618558180483253E-2</v>
      </c>
      <c r="Y24" s="235">
        <v>0.17154666687772191</v>
      </c>
      <c r="Z24" s="235">
        <v>0.12511879423645822</v>
      </c>
      <c r="AA24" s="235">
        <v>0.11339115068007688</v>
      </c>
      <c r="AB24" s="168">
        <f t="shared" ref="AB24:AI24" si="23">AB23/W23-1</f>
        <v>3.0177398321974191E-2</v>
      </c>
      <c r="AC24" s="168">
        <f t="shared" si="23"/>
        <v>-5.0244797326509438E-2</v>
      </c>
      <c r="AD24" s="168">
        <f t="shared" si="23"/>
        <v>-3.5849652974139556E-2</v>
      </c>
      <c r="AE24" s="168">
        <f t="shared" si="23"/>
        <v>5.0723964613512695E-3</v>
      </c>
      <c r="AF24" s="168">
        <f t="shared" si="23"/>
        <v>-1.3462881818759098E-2</v>
      </c>
      <c r="AG24" s="168">
        <f t="shared" si="23"/>
        <v>8.8620594943813469E-2</v>
      </c>
      <c r="AH24" s="168">
        <f t="shared" si="23"/>
        <v>0.16532769035814021</v>
      </c>
      <c r="AI24" s="168">
        <f t="shared" si="23"/>
        <v>0.11587990634961587</v>
      </c>
      <c r="AJ24" s="168">
        <f t="shared" ref="AJ24" si="24">AJ23/AE23-1</f>
        <v>0.10337679739550953</v>
      </c>
      <c r="AK24" s="168">
        <f t="shared" ref="AK24:AN24" si="25">AK23/AF23-1</f>
        <v>0.11770781519735496</v>
      </c>
      <c r="AL24" s="168">
        <f t="shared" si="25"/>
        <v>0.13279947345326892</v>
      </c>
      <c r="AM24" s="168">
        <f t="shared" si="25"/>
        <v>0.14609529239117802</v>
      </c>
      <c r="AN24" s="168">
        <f t="shared" si="25"/>
        <v>0.18559709411476621</v>
      </c>
      <c r="AO24" s="401"/>
    </row>
    <row r="25" spans="1:41" x14ac:dyDescent="0.35">
      <c r="A25" s="159"/>
      <c r="B25" s="167" t="s">
        <v>155</v>
      </c>
      <c r="C25" s="235">
        <v>0.15235101898850245</v>
      </c>
      <c r="D25" s="240">
        <v>0.14485320587353745</v>
      </c>
      <c r="E25" s="235">
        <v>0.12063360440937987</v>
      </c>
      <c r="F25" s="235">
        <v>0.10686042279762753</v>
      </c>
      <c r="G25" s="235">
        <v>0.13035117064593615</v>
      </c>
      <c r="H25" s="168">
        <v>0.12985053069688801</v>
      </c>
      <c r="I25" s="168">
        <v>0.11510196684888774</v>
      </c>
      <c r="J25" s="169">
        <v>9.0617499511791433E-2</v>
      </c>
      <c r="K25" s="169">
        <v>8.1936981556266941E-2</v>
      </c>
      <c r="L25" s="168">
        <v>0.1037809117620101</v>
      </c>
      <c r="M25" s="168">
        <v>0.1</v>
      </c>
      <c r="N25" s="176">
        <v>0.126</v>
      </c>
      <c r="O25" s="176">
        <v>0.217</v>
      </c>
      <c r="P25" s="168">
        <v>0.156</v>
      </c>
      <c r="Q25" s="168">
        <v>0.15</v>
      </c>
      <c r="R25" s="236">
        <v>0.19238882504405108</v>
      </c>
      <c r="S25" s="236">
        <v>0.18952045791185457</v>
      </c>
      <c r="T25" s="236">
        <v>0.15739406888615903</v>
      </c>
      <c r="U25" s="236">
        <v>0.10894136492313544</v>
      </c>
      <c r="V25" s="236">
        <v>0.1605128318680098</v>
      </c>
      <c r="W25" s="236">
        <v>8.76506851370491E-2</v>
      </c>
      <c r="X25" s="236">
        <v>0.10010589674361836</v>
      </c>
      <c r="Y25" s="236">
        <v>0.18068313647309786</v>
      </c>
      <c r="Z25" s="236">
        <v>0.12654231897760515</v>
      </c>
      <c r="AA25" s="236">
        <v>0.12386732726735761</v>
      </c>
      <c r="AB25" s="176">
        <v>4.1131479135403604E-2</v>
      </c>
      <c r="AC25" s="176">
        <v>-4.1522462219852341E-2</v>
      </c>
      <c r="AD25" s="176">
        <v>-3.891677633948698E-2</v>
      </c>
      <c r="AE25" s="176">
        <v>4.1265779604706676E-3</v>
      </c>
      <c r="AF25" s="176">
        <v>-9.7858675320537936E-3</v>
      </c>
      <c r="AG25" s="176">
        <v>7.5681343266865264E-2</v>
      </c>
      <c r="AH25" s="176">
        <v>0.14878169746846748</v>
      </c>
      <c r="AI25" s="176">
        <v>0.11282360503880762</v>
      </c>
      <c r="AJ25" s="176">
        <v>0.10481465490671593</v>
      </c>
      <c r="AK25" s="176">
        <v>0.11019217286842697</v>
      </c>
      <c r="AL25" s="176">
        <v>0.13914165971010073</v>
      </c>
      <c r="AM25" s="176">
        <v>0.15940735033532616</v>
      </c>
      <c r="AN25" s="176">
        <v>0.20256649564599694</v>
      </c>
      <c r="AO25" s="401"/>
    </row>
    <row r="26" spans="1:41" x14ac:dyDescent="0.35">
      <c r="A26" s="159"/>
      <c r="B26" s="167" t="s">
        <v>56</v>
      </c>
      <c r="C26" s="237">
        <f>ROUND(17890.6824188671,0)</f>
        <v>17891</v>
      </c>
      <c r="D26" s="237">
        <v>17784.168604602171</v>
      </c>
      <c r="E26" s="237">
        <f>ROUND(20434.2308482625,0)</f>
        <v>20434</v>
      </c>
      <c r="F26" s="237">
        <f>ROUND(+G26-SUM(C26,D26,E26),0)</f>
        <v>19252</v>
      </c>
      <c r="G26" s="237">
        <f>ROUND(75361.1380508299,0)</f>
        <v>75361</v>
      </c>
      <c r="H26" s="170">
        <v>21476</v>
      </c>
      <c r="I26" s="170">
        <v>20779</v>
      </c>
      <c r="J26" s="170">
        <v>20779</v>
      </c>
      <c r="K26" s="170">
        <f>+L26-SUM(H26:J26)</f>
        <v>20189</v>
      </c>
      <c r="L26" s="170">
        <v>83223</v>
      </c>
      <c r="M26" s="170">
        <v>22346</v>
      </c>
      <c r="N26" s="170">
        <v>22330</v>
      </c>
      <c r="O26" s="170">
        <v>26227</v>
      </c>
      <c r="P26" s="170">
        <f>+Q26-SUM(M26:O26)</f>
        <v>23578</v>
      </c>
      <c r="Q26" s="170">
        <v>94481</v>
      </c>
      <c r="R26" s="237">
        <v>24247.168207756244</v>
      </c>
      <c r="S26" s="237">
        <v>25806.112536955741</v>
      </c>
      <c r="T26" s="237">
        <v>24717.498250572389</v>
      </c>
      <c r="U26" s="237">
        <v>24563.072901162224</v>
      </c>
      <c r="V26" s="237">
        <v>99333.851896446577</v>
      </c>
      <c r="W26" s="237">
        <v>26043</v>
      </c>
      <c r="X26" s="237">
        <v>26167</v>
      </c>
      <c r="Y26" s="237">
        <v>28863</v>
      </c>
      <c r="Z26" s="237">
        <v>26781</v>
      </c>
      <c r="AA26" s="237">
        <v>107854</v>
      </c>
      <c r="AB26" s="170">
        <v>24774</v>
      </c>
      <c r="AC26" s="170">
        <v>22168</v>
      </c>
      <c r="AD26" s="170">
        <v>30999</v>
      </c>
      <c r="AE26" s="170">
        <f>AF26-SUM(AB26:AD26)</f>
        <v>31945</v>
      </c>
      <c r="AF26" s="170">
        <v>109886</v>
      </c>
      <c r="AG26" s="170">
        <v>35067</v>
      </c>
      <c r="AH26" s="170">
        <v>35360</v>
      </c>
      <c r="AI26" s="170">
        <v>36518</v>
      </c>
      <c r="AJ26" s="170">
        <f>AK26-SUM(AG26:AI26)</f>
        <v>35525</v>
      </c>
      <c r="AK26" s="170">
        <v>142470</v>
      </c>
      <c r="AL26" s="170">
        <v>38184</v>
      </c>
      <c r="AM26" s="170">
        <v>37912</v>
      </c>
      <c r="AN26" s="170">
        <v>41157</v>
      </c>
      <c r="AO26" s="276"/>
    </row>
    <row r="27" spans="1:41" x14ac:dyDescent="0.35">
      <c r="A27" s="159"/>
      <c r="B27" s="167" t="s">
        <v>58</v>
      </c>
      <c r="C27" s="236">
        <f t="shared" ref="C27:AF27" si="26">C26/C23</f>
        <v>0.31993347758444951</v>
      </c>
      <c r="D27" s="236">
        <f t="shared" si="26"/>
        <v>0.30528141111667961</v>
      </c>
      <c r="E27" s="236">
        <f t="shared" si="26"/>
        <v>0.3428063347201718</v>
      </c>
      <c r="F27" s="236">
        <f t="shared" si="26"/>
        <v>0.3155548270775283</v>
      </c>
      <c r="G27" s="236">
        <f t="shared" si="26"/>
        <v>0.32096646421969899</v>
      </c>
      <c r="H27" s="169">
        <f t="shared" si="26"/>
        <v>0.33607185891116226</v>
      </c>
      <c r="I27" s="169">
        <f t="shared" si="26"/>
        <v>0.32060420909708076</v>
      </c>
      <c r="J27" s="169">
        <f t="shared" si="26"/>
        <v>0.32314199959566425</v>
      </c>
      <c r="K27" s="169">
        <f t="shared" si="26"/>
        <v>0.30999907870896415</v>
      </c>
      <c r="L27" s="169">
        <f t="shared" si="26"/>
        <v>0.32238982893268875</v>
      </c>
      <c r="M27" s="169">
        <f t="shared" si="26"/>
        <v>0.32367681566673429</v>
      </c>
      <c r="N27" s="169">
        <f t="shared" si="26"/>
        <v>0.30912564372335122</v>
      </c>
      <c r="O27" s="169">
        <f t="shared" si="26"/>
        <v>0.33748102015080939</v>
      </c>
      <c r="P27" s="169">
        <f t="shared" si="26"/>
        <v>0.31365819265408201</v>
      </c>
      <c r="Q27" s="169">
        <f t="shared" si="26"/>
        <v>0.32119024065216428</v>
      </c>
      <c r="R27" s="236">
        <f t="shared" si="26"/>
        <v>0.31842090418957064</v>
      </c>
      <c r="S27" s="236">
        <f t="shared" si="26"/>
        <v>0.32826226641689221</v>
      </c>
      <c r="T27" s="236">
        <f t="shared" si="26"/>
        <v>0.31788116590205939</v>
      </c>
      <c r="U27" s="236">
        <f t="shared" si="26"/>
        <v>0.31237778441859887</v>
      </c>
      <c r="V27" s="236">
        <f t="shared" si="26"/>
        <v>0.31924531559970726</v>
      </c>
      <c r="W27" s="236">
        <f t="shared" si="26"/>
        <v>0.32038727456142507</v>
      </c>
      <c r="X27" s="236">
        <f t="shared" si="26"/>
        <v>0.30575711898669095</v>
      </c>
      <c r="Y27" s="236">
        <f t="shared" si="26"/>
        <v>0.31684157372442256</v>
      </c>
      <c r="Z27" s="236">
        <f t="shared" si="26"/>
        <v>0.30270936238993568</v>
      </c>
      <c r="AA27" s="236">
        <f t="shared" si="26"/>
        <v>0.31132625550609927</v>
      </c>
      <c r="AB27" s="169">
        <f t="shared" si="26"/>
        <v>0.29584781284706052</v>
      </c>
      <c r="AC27" s="169">
        <f t="shared" si="26"/>
        <v>0.2727328649992003</v>
      </c>
      <c r="AD27" s="169">
        <f t="shared" si="26"/>
        <v>0.35294222121593888</v>
      </c>
      <c r="AE27" s="169">
        <f t="shared" si="26"/>
        <v>0.35925648027559887</v>
      </c>
      <c r="AF27" s="169">
        <f t="shared" si="26"/>
        <v>0.32152032068350062</v>
      </c>
      <c r="AG27" s="169">
        <f t="shared" ref="AG27:AH27" si="27">AG26/AG23</f>
        <v>0.38467529618253621</v>
      </c>
      <c r="AH27" s="169">
        <f t="shared" si="27"/>
        <v>0.37331475205608167</v>
      </c>
      <c r="AI27" s="169">
        <f t="shared" ref="AI27:AN27" si="28">AI26/AI23</f>
        <v>0.37260223655211822</v>
      </c>
      <c r="AJ27" s="169">
        <f t="shared" si="28"/>
        <v>0.36208618721461189</v>
      </c>
      <c r="AK27" s="169">
        <f t="shared" si="28"/>
        <v>0.37295909151594636</v>
      </c>
      <c r="AL27" s="169">
        <f t="shared" si="28"/>
        <v>0.36976352332810414</v>
      </c>
      <c r="AM27" s="169">
        <f t="shared" si="28"/>
        <v>0.34923588529528266</v>
      </c>
      <c r="AN27" s="169">
        <f t="shared" si="28"/>
        <v>0.35419714625036575</v>
      </c>
      <c r="AO27" s="401"/>
    </row>
    <row r="28" spans="1:41" x14ac:dyDescent="0.35">
      <c r="A28" s="159"/>
      <c r="B28" s="167"/>
      <c r="C28" s="236"/>
      <c r="D28" s="239"/>
      <c r="E28" s="239"/>
      <c r="F28" s="239"/>
      <c r="G28" s="239"/>
      <c r="K28" s="158"/>
      <c r="L28" s="158"/>
      <c r="M28" s="158"/>
      <c r="N28" s="158"/>
      <c r="O28" s="158"/>
      <c r="P28" s="158"/>
      <c r="Q28" s="158"/>
      <c r="R28" s="236"/>
      <c r="S28" s="239"/>
      <c r="T28" s="239"/>
      <c r="U28" s="239"/>
      <c r="V28" s="239"/>
      <c r="W28" s="236"/>
      <c r="X28" s="239"/>
      <c r="Y28" s="239"/>
      <c r="Z28" s="239"/>
      <c r="AA28" s="239"/>
      <c r="AO28" s="276"/>
    </row>
    <row r="29" spans="1:41" hidden="1" x14ac:dyDescent="0.35">
      <c r="A29" s="159"/>
      <c r="B29" s="167"/>
      <c r="C29" s="236"/>
      <c r="D29" s="239"/>
      <c r="E29" s="239"/>
      <c r="F29" s="239"/>
      <c r="G29" s="239"/>
      <c r="K29" s="158"/>
      <c r="L29" s="158"/>
      <c r="M29" s="158"/>
      <c r="N29" s="158"/>
      <c r="O29" s="158"/>
      <c r="P29" s="158"/>
      <c r="Q29" s="158"/>
      <c r="R29" s="236"/>
      <c r="S29" s="239"/>
      <c r="T29" s="239"/>
      <c r="U29" s="239"/>
      <c r="V29" s="239"/>
      <c r="W29" s="236"/>
      <c r="X29" s="239"/>
      <c r="Y29" s="239"/>
      <c r="Z29" s="239"/>
      <c r="AA29" s="239"/>
      <c r="AO29" s="276"/>
    </row>
    <row r="30" spans="1:41" x14ac:dyDescent="0.35">
      <c r="A30" s="172"/>
      <c r="B30" s="172" t="s">
        <v>147</v>
      </c>
      <c r="C30" s="238">
        <v>18932</v>
      </c>
      <c r="D30" s="241">
        <v>18923</v>
      </c>
      <c r="E30" s="241">
        <v>18872</v>
      </c>
      <c r="F30" s="241">
        <f>+G30-SUM(C30,D30,E30)</f>
        <v>20286</v>
      </c>
      <c r="G30" s="242">
        <v>77013</v>
      </c>
      <c r="H30" s="174">
        <v>22797</v>
      </c>
      <c r="I30" s="174">
        <v>19817</v>
      </c>
      <c r="J30" s="174">
        <v>20375</v>
      </c>
      <c r="K30" s="174">
        <f>+L30-SUM(H30:J30)</f>
        <v>21402</v>
      </c>
      <c r="L30" s="174">
        <v>84391</v>
      </c>
      <c r="M30" s="174">
        <v>20569</v>
      </c>
      <c r="N30" s="174">
        <v>20016</v>
      </c>
      <c r="O30" s="174">
        <v>23978</v>
      </c>
      <c r="P30" s="174">
        <f>+Q30-SUM(M30:O30)</f>
        <v>26026</v>
      </c>
      <c r="Q30" s="174">
        <v>90589</v>
      </c>
      <c r="R30" s="234">
        <v>24140.716187444454</v>
      </c>
      <c r="S30" s="242">
        <v>21172.537169999996</v>
      </c>
      <c r="T30" s="242">
        <v>21666.227190000001</v>
      </c>
      <c r="U30" s="242">
        <v>22865.514659999993</v>
      </c>
      <c r="V30" s="242">
        <v>89844.995207444445</v>
      </c>
      <c r="W30" s="234">
        <v>22248</v>
      </c>
      <c r="X30" s="242">
        <v>21730</v>
      </c>
      <c r="Y30" s="242">
        <v>25631</v>
      </c>
      <c r="Z30" s="242">
        <v>27856</v>
      </c>
      <c r="AA30" s="242">
        <v>97465</v>
      </c>
      <c r="AB30" s="174">
        <v>27029</v>
      </c>
      <c r="AC30" s="174">
        <v>24978</v>
      </c>
      <c r="AD30" s="174">
        <v>25111.897839999998</v>
      </c>
      <c r="AE30" s="174">
        <f>AF30-SUM(AB30:AD30)</f>
        <v>24196.102160000009</v>
      </c>
      <c r="AF30" s="174">
        <v>101315</v>
      </c>
      <c r="AG30" s="174">
        <v>30265</v>
      </c>
      <c r="AH30" s="174">
        <v>28250</v>
      </c>
      <c r="AI30" s="174">
        <v>27341</v>
      </c>
      <c r="AJ30" s="174">
        <f>AK30-SUM(AG30:AI30)</f>
        <v>26530</v>
      </c>
      <c r="AK30" s="174">
        <v>112386</v>
      </c>
      <c r="AL30" s="174">
        <v>26156</v>
      </c>
      <c r="AM30" s="174">
        <v>23051</v>
      </c>
      <c r="AN30" s="174">
        <v>22820</v>
      </c>
      <c r="AO30" s="276"/>
    </row>
    <row r="31" spans="1:41" x14ac:dyDescent="0.35">
      <c r="A31" s="159"/>
      <c r="B31" s="167" t="s">
        <v>144</v>
      </c>
      <c r="C31" s="235">
        <v>0.15526481317864382</v>
      </c>
      <c r="D31" s="235">
        <v>8.4913876829762813E-2</v>
      </c>
      <c r="E31" s="235">
        <v>0.18255626641190092</v>
      </c>
      <c r="F31" s="235">
        <v>7.5171344960278219E-2</v>
      </c>
      <c r="G31" s="235">
        <v>0.12172505947529899</v>
      </c>
      <c r="H31" s="176">
        <f t="shared" ref="H31:Q31" si="29">H30/C30-1</f>
        <v>0.20415170082400169</v>
      </c>
      <c r="I31" s="176">
        <f t="shared" si="29"/>
        <v>4.7244094488188892E-2</v>
      </c>
      <c r="J31" s="176">
        <f t="shared" si="29"/>
        <v>7.9641797371767797E-2</v>
      </c>
      <c r="K31" s="176">
        <f t="shared" si="29"/>
        <v>5.501330967169471E-2</v>
      </c>
      <c r="L31" s="176">
        <f t="shared" si="29"/>
        <v>9.5802007453287041E-2</v>
      </c>
      <c r="M31" s="176">
        <f t="shared" si="29"/>
        <v>-9.7732157740053505E-2</v>
      </c>
      <c r="N31" s="176">
        <f t="shared" si="29"/>
        <v>1.004188323156896E-2</v>
      </c>
      <c r="O31" s="176">
        <f t="shared" si="29"/>
        <v>0.17683435582822082</v>
      </c>
      <c r="P31" s="176">
        <f t="shared" si="29"/>
        <v>0.21605457433884689</v>
      </c>
      <c r="Q31" s="176">
        <f t="shared" si="29"/>
        <v>7.3443850647580966E-2</v>
      </c>
      <c r="R31" s="235">
        <v>0.13532522794008672</v>
      </c>
      <c r="S31" s="235">
        <v>3.8818963441629162E-3</v>
      </c>
      <c r="T31" s="235">
        <v>3.9368385784354087E-2</v>
      </c>
      <c r="U31" s="235">
        <v>3.6832266521939383E-2</v>
      </c>
      <c r="V31" s="235">
        <v>5.3866943787367783E-2</v>
      </c>
      <c r="W31" s="235">
        <v>-7.8403481187059865E-2</v>
      </c>
      <c r="X31" s="235">
        <v>2.6329524209780963E-2</v>
      </c>
      <c r="Y31" s="235">
        <v>0.18299322605783108</v>
      </c>
      <c r="Z31" s="235">
        <v>0.21825379459882255</v>
      </c>
      <c r="AA31" s="235">
        <v>8.4812790906845903E-2</v>
      </c>
      <c r="AB31" s="176">
        <f>AB30/W30-1</f>
        <v>0.21489572096368215</v>
      </c>
      <c r="AC31" s="176">
        <f>AC30/X30-1</f>
        <v>0.1494707777266453</v>
      </c>
      <c r="AD31" s="176">
        <f>AD30/Y30-1</f>
        <v>-2.0252903125121957E-2</v>
      </c>
      <c r="AE31" s="176">
        <f t="shared" ref="AE31:AF31" si="30">AE30/Z30-1</f>
        <v>-0.13138633831131497</v>
      </c>
      <c r="AF31" s="176">
        <f t="shared" si="30"/>
        <v>3.9501359462371211E-2</v>
      </c>
      <c r="AG31" s="176">
        <f>AG30/AB30-1</f>
        <v>0.1197232602020053</v>
      </c>
      <c r="AH31" s="176">
        <f>AH30/AC30-1</f>
        <v>0.13099527584274151</v>
      </c>
      <c r="AI31" s="176">
        <f>AI30/AD30-1</f>
        <v>8.8766773989074288E-2</v>
      </c>
      <c r="AJ31" s="176">
        <f t="shared" ref="AJ31:AN31" si="31">AJ30/AE30-1</f>
        <v>9.6457595713837385E-2</v>
      </c>
      <c r="AK31" s="176">
        <f t="shared" si="31"/>
        <v>0.10927305927059172</v>
      </c>
      <c r="AL31" s="176">
        <f t="shared" si="31"/>
        <v>-0.13576738807203037</v>
      </c>
      <c r="AM31" s="176">
        <f t="shared" si="31"/>
        <v>-0.18403539823008852</v>
      </c>
      <c r="AN31" s="176">
        <f t="shared" si="31"/>
        <v>-0.16535605866647163</v>
      </c>
      <c r="AO31" s="401"/>
    </row>
    <row r="32" spans="1:41" x14ac:dyDescent="0.35">
      <c r="A32" s="159"/>
      <c r="B32" s="167" t="s">
        <v>155</v>
      </c>
      <c r="C32" s="235">
        <v>0.15625881183456625</v>
      </c>
      <c r="D32" s="240">
        <v>8.5925937063991764E-2</v>
      </c>
      <c r="E32" s="235">
        <v>0.18313485759232662</v>
      </c>
      <c r="F32" s="235">
        <v>7.5285882262229098E-2</v>
      </c>
      <c r="G32" s="235">
        <v>0.12238539808923177</v>
      </c>
      <c r="H32" s="168">
        <v>0.20412407210167127</v>
      </c>
      <c r="I32" s="168">
        <v>4.725912118564346E-2</v>
      </c>
      <c r="J32" s="169">
        <v>7.9651754267672015E-2</v>
      </c>
      <c r="K32" s="169">
        <v>5.5000409410426609E-2</v>
      </c>
      <c r="L32" s="168">
        <v>9.5797890578221301E-2</v>
      </c>
      <c r="M32" s="168">
        <v>-9.8000000000000004E-2</v>
      </c>
      <c r="N32" s="176">
        <v>0.01</v>
      </c>
      <c r="O32" s="176">
        <v>0.17699999999999999</v>
      </c>
      <c r="P32" s="168">
        <v>0.216</v>
      </c>
      <c r="Q32" s="168">
        <v>7.2999999999999995E-2</v>
      </c>
      <c r="R32" s="236">
        <v>0.13502306072919135</v>
      </c>
      <c r="S32" s="236">
        <v>4.5258241443262293E-3</v>
      </c>
      <c r="T32" s="236">
        <v>4.0815849427945139E-2</v>
      </c>
      <c r="U32" s="236">
        <v>3.8181547156444173E-2</v>
      </c>
      <c r="V32" s="236">
        <v>5.465384128904871E-2</v>
      </c>
      <c r="W32" s="236">
        <v>-7.6661845867398548E-2</v>
      </c>
      <c r="X32" s="236">
        <v>2.6975149432786338E-2</v>
      </c>
      <c r="Y32" s="236">
        <v>0.18286178794395647</v>
      </c>
      <c r="Z32" s="236">
        <v>0.21831034469248523</v>
      </c>
      <c r="AA32" s="236">
        <v>8.5416247648292698E-2</v>
      </c>
      <c r="AB32" s="176">
        <v>0.21561497984223843</v>
      </c>
      <c r="AC32" s="176">
        <v>0.15089951509570332</v>
      </c>
      <c r="AD32" s="176">
        <v>-1.9461249231818911E-2</v>
      </c>
      <c r="AE32" s="176">
        <v>-0.1308056428564105</v>
      </c>
      <c r="AF32" s="176">
        <v>4.0358540083005323E-2</v>
      </c>
      <c r="AG32" s="176">
        <v>0.11964786617880518</v>
      </c>
      <c r="AH32" s="176">
        <v>0.13081910310668454</v>
      </c>
      <c r="AI32" s="176">
        <v>8.8771489417104776E-2</v>
      </c>
      <c r="AJ32" s="176">
        <v>9.6635385618634384E-2</v>
      </c>
      <c r="AK32" s="176">
        <v>0.10925327271755325</v>
      </c>
      <c r="AL32" s="176">
        <v>-0.13528861994991015</v>
      </c>
      <c r="AM32" s="176">
        <v>-0.18351476682907242</v>
      </c>
      <c r="AN32" s="176">
        <v>-0.16443188457151503</v>
      </c>
      <c r="AO32" s="401"/>
    </row>
    <row r="33" spans="1:41" x14ac:dyDescent="0.35">
      <c r="A33" s="159"/>
      <c r="B33" s="167" t="s">
        <v>56</v>
      </c>
      <c r="C33" s="237">
        <f>ROUND(6623.4364085443,0)</f>
        <v>6623</v>
      </c>
      <c r="D33" s="237">
        <v>6616.794367465307</v>
      </c>
      <c r="E33" s="237">
        <f>ROUND(6797.84019495859,0)+1</f>
        <v>6799</v>
      </c>
      <c r="F33" s="237">
        <f>ROUND(+G33-SUM(C33,D33,E33),0)</f>
        <v>7562</v>
      </c>
      <c r="G33" s="237">
        <f>ROUND(27600.7825640754,0)</f>
        <v>27601</v>
      </c>
      <c r="H33" s="170">
        <v>5555</v>
      </c>
      <c r="I33" s="170">
        <v>3104</v>
      </c>
      <c r="J33" s="170">
        <v>4578</v>
      </c>
      <c r="K33" s="170">
        <f>+L33-SUM(H33:J33)</f>
        <v>4386</v>
      </c>
      <c r="L33" s="170">
        <v>17623</v>
      </c>
      <c r="M33" s="170">
        <v>3574</v>
      </c>
      <c r="N33" s="170">
        <v>3151</v>
      </c>
      <c r="O33" s="170">
        <v>4590</v>
      </c>
      <c r="P33" s="170">
        <f>+Q33-SUM(M33:O33)</f>
        <v>5624</v>
      </c>
      <c r="Q33" s="170">
        <v>16939</v>
      </c>
      <c r="R33" s="237">
        <v>5511.3214201459086</v>
      </c>
      <c r="S33" s="237">
        <v>3496.5549440261566</v>
      </c>
      <c r="T33" s="237">
        <v>5257.7920387148552</v>
      </c>
      <c r="U33" s="237">
        <v>5132.9121908205634</v>
      </c>
      <c r="V33" s="237">
        <v>19398.580593707491</v>
      </c>
      <c r="W33" s="237">
        <v>4446</v>
      </c>
      <c r="X33" s="237">
        <v>3981</v>
      </c>
      <c r="Y33" s="237">
        <v>5222</v>
      </c>
      <c r="Z33" s="237">
        <v>6768</v>
      </c>
      <c r="AA33" s="237">
        <v>20417</v>
      </c>
      <c r="AB33" s="170">
        <v>7436</v>
      </c>
      <c r="AC33" s="170">
        <v>5338</v>
      </c>
      <c r="AD33" s="170">
        <v>7119.2778883515457</v>
      </c>
      <c r="AE33" s="170">
        <f>AF33-SUM(AB33:AD33)</f>
        <v>8278.7221116484543</v>
      </c>
      <c r="AF33" s="170">
        <v>28172</v>
      </c>
      <c r="AG33" s="170">
        <v>12874</v>
      </c>
      <c r="AH33" s="170">
        <v>10565</v>
      </c>
      <c r="AI33" s="170">
        <v>10284</v>
      </c>
      <c r="AJ33" s="170">
        <f>AK33-SUM(AG33:AI33)</f>
        <v>8903</v>
      </c>
      <c r="AK33" s="170">
        <v>42626</v>
      </c>
      <c r="AL33" s="170">
        <v>8505</v>
      </c>
      <c r="AM33" s="170">
        <v>5357</v>
      </c>
      <c r="AN33" s="170">
        <v>5701</v>
      </c>
      <c r="AO33" s="276"/>
    </row>
    <row r="34" spans="1:41" x14ac:dyDescent="0.35">
      <c r="A34" s="159"/>
      <c r="B34" s="167" t="s">
        <v>58</v>
      </c>
      <c r="C34" s="236">
        <f t="shared" ref="C34:H34" si="32">C33/C30</f>
        <v>0.34983097401225438</v>
      </c>
      <c r="D34" s="236">
        <f t="shared" si="32"/>
        <v>0.34966941644904648</v>
      </c>
      <c r="E34" s="236">
        <f t="shared" si="32"/>
        <v>0.36026918185671897</v>
      </c>
      <c r="F34" s="236">
        <f>F33/F30</f>
        <v>0.37276939761411809</v>
      </c>
      <c r="G34" s="236">
        <f>G33/G30</f>
        <v>0.35839403737031411</v>
      </c>
      <c r="H34" s="169">
        <f t="shared" si="32"/>
        <v>0.24367241303680309</v>
      </c>
      <c r="I34" s="169">
        <f t="shared" ref="I34:AF34" si="33">I33/I30</f>
        <v>0.15663319372256143</v>
      </c>
      <c r="J34" s="169">
        <f t="shared" si="33"/>
        <v>0.22468711656441717</v>
      </c>
      <c r="K34" s="169">
        <f t="shared" si="33"/>
        <v>0.2049341183067003</v>
      </c>
      <c r="L34" s="169">
        <f t="shared" si="33"/>
        <v>0.20882558566671802</v>
      </c>
      <c r="M34" s="169">
        <f t="shared" si="33"/>
        <v>0.17375662404589431</v>
      </c>
      <c r="N34" s="169">
        <f t="shared" si="33"/>
        <v>0.15742406075139889</v>
      </c>
      <c r="O34" s="169">
        <f t="shared" si="33"/>
        <v>0.19142547335057136</v>
      </c>
      <c r="P34" s="169">
        <f t="shared" si="33"/>
        <v>0.21609160070698533</v>
      </c>
      <c r="Q34" s="169">
        <f t="shared" si="33"/>
        <v>0.18698738257404321</v>
      </c>
      <c r="R34" s="236">
        <f t="shared" si="33"/>
        <v>0.22829983076526691</v>
      </c>
      <c r="S34" s="236">
        <f t="shared" si="33"/>
        <v>0.16514576953868951</v>
      </c>
      <c r="T34" s="236">
        <f t="shared" si="33"/>
        <v>0.24267224711562044</v>
      </c>
      <c r="U34" s="236">
        <f t="shared" si="33"/>
        <v>0.2244826878880567</v>
      </c>
      <c r="V34" s="236">
        <f t="shared" si="33"/>
        <v>0.21591164370277743</v>
      </c>
      <c r="W34" s="236">
        <f t="shared" si="33"/>
        <v>0.19983818770226539</v>
      </c>
      <c r="X34" s="236">
        <f t="shared" si="33"/>
        <v>0.18320294523699954</v>
      </c>
      <c r="Y34" s="236">
        <f t="shared" si="33"/>
        <v>0.20373766142561742</v>
      </c>
      <c r="Z34" s="236">
        <f t="shared" si="33"/>
        <v>0.24296381390005745</v>
      </c>
      <c r="AA34" s="236">
        <f t="shared" si="33"/>
        <v>0.20948032627096907</v>
      </c>
      <c r="AB34" s="169">
        <f t="shared" si="33"/>
        <v>0.27511191683007141</v>
      </c>
      <c r="AC34" s="169">
        <f t="shared" si="33"/>
        <v>0.21370806309552406</v>
      </c>
      <c r="AD34" s="169">
        <f t="shared" si="33"/>
        <v>0.2835021842519389</v>
      </c>
      <c r="AE34" s="169">
        <f t="shared" si="33"/>
        <v>0.3421510645352826</v>
      </c>
      <c r="AF34" s="169">
        <f t="shared" si="33"/>
        <v>0.27806346542960075</v>
      </c>
      <c r="AG34" s="169">
        <f t="shared" ref="AG34:AH34" si="34">AG33/AG30</f>
        <v>0.42537584668759293</v>
      </c>
      <c r="AH34" s="169">
        <f t="shared" si="34"/>
        <v>0.37398230088495577</v>
      </c>
      <c r="AI34" s="169">
        <f t="shared" ref="AI34:AN34" si="35">AI33/AI30</f>
        <v>0.37613840020482059</v>
      </c>
      <c r="AJ34" s="169">
        <f t="shared" si="35"/>
        <v>0.33558235959291366</v>
      </c>
      <c r="AK34" s="169">
        <f t="shared" si="35"/>
        <v>0.37928211698966063</v>
      </c>
      <c r="AL34" s="169">
        <f t="shared" si="35"/>
        <v>0.32516439822602844</v>
      </c>
      <c r="AM34" s="169">
        <f t="shared" si="35"/>
        <v>0.23239772677974926</v>
      </c>
      <c r="AN34" s="169">
        <f t="shared" si="35"/>
        <v>0.24982471516213847</v>
      </c>
      <c r="AO34" s="401"/>
    </row>
    <row r="35" spans="1:41" x14ac:dyDescent="0.35">
      <c r="A35" s="159"/>
      <c r="B35" s="167"/>
      <c r="C35" s="236"/>
      <c r="D35" s="236"/>
      <c r="E35" s="236"/>
      <c r="F35" s="236"/>
      <c r="G35" s="236"/>
      <c r="H35" s="169"/>
      <c r="I35" s="169"/>
      <c r="J35" s="169"/>
      <c r="K35" s="169"/>
      <c r="L35" s="169"/>
      <c r="M35" s="169"/>
      <c r="N35" s="169"/>
      <c r="O35" s="169"/>
      <c r="P35" s="169"/>
      <c r="Q35" s="169"/>
      <c r="R35" s="236"/>
      <c r="S35" s="236"/>
      <c r="T35" s="236"/>
      <c r="U35" s="236"/>
      <c r="V35" s="236"/>
      <c r="W35" s="236"/>
      <c r="X35" s="236"/>
      <c r="Y35" s="236"/>
      <c r="Z35" s="236"/>
      <c r="AA35" s="236"/>
      <c r="AB35" s="169"/>
      <c r="AC35" s="169"/>
      <c r="AD35" s="169"/>
      <c r="AE35" s="169"/>
      <c r="AF35" s="169"/>
      <c r="AG35" s="169"/>
      <c r="AH35" s="169"/>
      <c r="AI35" s="169"/>
      <c r="AJ35" s="169"/>
      <c r="AK35" s="169"/>
      <c r="AL35" s="169"/>
      <c r="AM35" s="169"/>
      <c r="AN35" s="169"/>
      <c r="AO35" s="276"/>
    </row>
    <row r="36" spans="1:41" x14ac:dyDescent="0.35">
      <c r="A36" s="172"/>
      <c r="B36" s="172" t="s">
        <v>217</v>
      </c>
      <c r="C36" s="238"/>
      <c r="D36" s="241"/>
      <c r="E36" s="241"/>
      <c r="F36" s="241"/>
      <c r="G36" s="242"/>
      <c r="H36" s="174"/>
      <c r="I36" s="174"/>
      <c r="J36" s="174"/>
      <c r="K36" s="174"/>
      <c r="L36" s="174"/>
      <c r="M36" s="174"/>
      <c r="N36" s="174"/>
      <c r="O36" s="174"/>
      <c r="P36" s="174"/>
      <c r="Q36" s="174"/>
      <c r="R36" s="234">
        <v>49582.083608125431</v>
      </c>
      <c r="S36" s="242">
        <v>50707.611067890277</v>
      </c>
      <c r="T36" s="242">
        <v>48993.616066006805</v>
      </c>
      <c r="U36" s="242">
        <v>47542.229781760056</v>
      </c>
      <c r="V36" s="242">
        <v>196824.54052378255</v>
      </c>
      <c r="W36" s="234">
        <v>49078</v>
      </c>
      <c r="X36" s="242">
        <v>48327</v>
      </c>
      <c r="Y36" s="242">
        <v>45912</v>
      </c>
      <c r="Z36" s="242">
        <v>46801</v>
      </c>
      <c r="AA36" s="242">
        <v>190118</v>
      </c>
      <c r="AB36" s="174">
        <v>42791</v>
      </c>
      <c r="AC36" s="174">
        <v>34535</v>
      </c>
      <c r="AD36" s="174">
        <v>37577</v>
      </c>
      <c r="AE36" s="174">
        <f>AF36-SUM(AB36:AD36)</f>
        <v>37767</v>
      </c>
      <c r="AF36" s="174">
        <v>152670</v>
      </c>
      <c r="AG36" s="174">
        <v>37668</v>
      </c>
      <c r="AH36" s="174">
        <v>40690</v>
      </c>
      <c r="AI36" s="174">
        <v>44513</v>
      </c>
      <c r="AJ36" s="174">
        <f>AK36-SUM(AG36:AI36)</f>
        <v>44365</v>
      </c>
      <c r="AK36" s="174">
        <v>167236</v>
      </c>
      <c r="AL36" s="174">
        <v>50747</v>
      </c>
      <c r="AM36" s="174">
        <v>53873</v>
      </c>
      <c r="AN36" s="174">
        <v>56035</v>
      </c>
      <c r="AO36" s="276"/>
    </row>
    <row r="37" spans="1:41" x14ac:dyDescent="0.35">
      <c r="A37" s="159"/>
      <c r="B37" s="167" t="s">
        <v>144</v>
      </c>
      <c r="C37" s="235"/>
      <c r="D37" s="235"/>
      <c r="E37" s="235"/>
      <c r="F37" s="235"/>
      <c r="G37" s="235"/>
      <c r="H37" s="168"/>
      <c r="I37" s="168"/>
      <c r="J37" s="168"/>
      <c r="K37" s="168"/>
      <c r="L37" s="168"/>
      <c r="M37" s="168"/>
      <c r="N37" s="168"/>
      <c r="O37" s="168"/>
      <c r="P37" s="168"/>
      <c r="Q37" s="168"/>
      <c r="R37" s="235">
        <v>-7.1766246416520296E-3</v>
      </c>
      <c r="S37" s="235">
        <v>7.3355111803201645E-3</v>
      </c>
      <c r="T37" s="235">
        <v>-1.7200992854702113E-2</v>
      </c>
      <c r="U37" s="235">
        <v>-1.5358179166956365E-2</v>
      </c>
      <c r="V37" s="235">
        <v>-8.0080471518180207E-3</v>
      </c>
      <c r="W37" s="235">
        <v>-1.0166648342362583E-2</v>
      </c>
      <c r="X37" s="235">
        <v>-4.694780562040235E-2</v>
      </c>
      <c r="Y37" s="235">
        <v>-6.2898318463676772E-2</v>
      </c>
      <c r="Z37" s="235">
        <v>-1.5590976383788258E-2</v>
      </c>
      <c r="AA37" s="235">
        <v>-3.4068793325929936E-2</v>
      </c>
      <c r="AB37" s="168">
        <f>AB36/W36-1</f>
        <v>-0.12810220465381639</v>
      </c>
      <c r="AC37" s="168">
        <f>AC36/X36-1</f>
        <v>-0.28538911995364913</v>
      </c>
      <c r="AD37" s="168">
        <f>AD36/Y36-1</f>
        <v>-0.18154295173375157</v>
      </c>
      <c r="AE37" s="168">
        <f t="shared" ref="AE37:AF37" si="36">AE36/Z36-1</f>
        <v>-0.19303006346018248</v>
      </c>
      <c r="AF37" s="168">
        <f t="shared" si="36"/>
        <v>-0.19697240661063131</v>
      </c>
      <c r="AG37" s="168">
        <f>AG36/AB36-1</f>
        <v>-0.11972143675071856</v>
      </c>
      <c r="AH37" s="168">
        <f>AH36/AC36-1</f>
        <v>0.17822498914145068</v>
      </c>
      <c r="AI37" s="168">
        <f>AI36/AD36-1</f>
        <v>0.18458099369295056</v>
      </c>
      <c r="AJ37" s="168">
        <f t="shared" ref="AJ37:AN37" si="37">AJ36/AE36-1</f>
        <v>0.17470278285275498</v>
      </c>
      <c r="AK37" s="168">
        <f t="shared" si="37"/>
        <v>9.5408397196567796E-2</v>
      </c>
      <c r="AL37" s="168">
        <f t="shared" si="37"/>
        <v>0.34721779760008498</v>
      </c>
      <c r="AM37" s="168">
        <f t="shared" si="37"/>
        <v>0.32398623740476773</v>
      </c>
      <c r="AN37" s="168">
        <f t="shared" si="37"/>
        <v>0.25884573046076431</v>
      </c>
      <c r="AO37" s="401"/>
    </row>
    <row r="38" spans="1:41" x14ac:dyDescent="0.35">
      <c r="A38" s="159"/>
      <c r="B38" s="167" t="s">
        <v>155</v>
      </c>
      <c r="C38" s="235"/>
      <c r="D38" s="240"/>
      <c r="E38" s="235"/>
      <c r="F38" s="235"/>
      <c r="G38" s="235"/>
      <c r="H38" s="168"/>
      <c r="I38" s="168"/>
      <c r="J38" s="169"/>
      <c r="K38" s="169"/>
      <c r="L38" s="168"/>
      <c r="M38" s="168"/>
      <c r="N38" s="176"/>
      <c r="O38" s="176"/>
      <c r="P38" s="168"/>
      <c r="Q38" s="168"/>
      <c r="R38" s="236">
        <v>-1.9987302814858054E-2</v>
      </c>
      <c r="S38" s="236">
        <v>1.6785846230720658E-2</v>
      </c>
      <c r="T38" s="236">
        <v>1.1701728919066845E-2</v>
      </c>
      <c r="U38" s="236">
        <v>2.0109333595353496E-2</v>
      </c>
      <c r="V38" s="236">
        <v>7.0608280109063504E-3</v>
      </c>
      <c r="W38" s="236">
        <v>1.6162810467584166E-2</v>
      </c>
      <c r="X38" s="236">
        <v>-3.5680958427906306E-2</v>
      </c>
      <c r="Y38" s="236">
        <v>-6.2191215513976217E-2</v>
      </c>
      <c r="Z38" s="236">
        <v>-1.671263092743791E-2</v>
      </c>
      <c r="AA38" s="236">
        <v>-2.4642124558533207E-2</v>
      </c>
      <c r="AB38" s="176">
        <v>-0.11863677605004952</v>
      </c>
      <c r="AC38" s="176">
        <v>-0.26842847954829785</v>
      </c>
      <c r="AD38" s="176">
        <v>-0.17341488098325408</v>
      </c>
      <c r="AE38" s="176">
        <v>-0.18904768662088101</v>
      </c>
      <c r="AF38" s="176">
        <v>-0.1872749158062964</v>
      </c>
      <c r="AG38" s="176">
        <v>-0.1247819651204235</v>
      </c>
      <c r="AH38" s="176">
        <v>0.16222161892348419</v>
      </c>
      <c r="AI38" s="176">
        <v>0.18208213385117511</v>
      </c>
      <c r="AJ38" s="176">
        <v>0.179630377826143</v>
      </c>
      <c r="AK38" s="176">
        <v>9.096420394757998E-2</v>
      </c>
      <c r="AL38" s="176">
        <v>0.36164443510882993</v>
      </c>
      <c r="AM38" s="176">
        <v>0.36098382483424607</v>
      </c>
      <c r="AN38" s="176">
        <v>0.31086442959089888</v>
      </c>
      <c r="AO38" s="401"/>
    </row>
    <row r="39" spans="1:41" x14ac:dyDescent="0.35">
      <c r="A39" s="159"/>
      <c r="B39" s="167" t="s">
        <v>56</v>
      </c>
      <c r="C39" s="237"/>
      <c r="D39" s="237"/>
      <c r="E39" s="237"/>
      <c r="F39" s="237"/>
      <c r="G39" s="237"/>
      <c r="H39" s="170"/>
      <c r="I39" s="170"/>
      <c r="J39" s="170"/>
      <c r="K39" s="170"/>
      <c r="L39" s="170"/>
      <c r="M39" s="170"/>
      <c r="N39" s="170"/>
      <c r="O39" s="170"/>
      <c r="P39" s="170"/>
      <c r="Q39" s="170"/>
      <c r="R39" s="237">
        <v>20086.983382073111</v>
      </c>
      <c r="S39" s="237">
        <v>20199.203012760525</v>
      </c>
      <c r="T39" s="237">
        <v>19922.494664906415</v>
      </c>
      <c r="U39" s="237">
        <v>18631.327774917048</v>
      </c>
      <c r="V39" s="237">
        <v>78839.00883465707</v>
      </c>
      <c r="W39" s="237">
        <v>21785</v>
      </c>
      <c r="X39" s="237">
        <v>20475</v>
      </c>
      <c r="Y39" s="237">
        <v>18845</v>
      </c>
      <c r="Z39" s="237">
        <v>20396</v>
      </c>
      <c r="AA39" s="237">
        <v>81501</v>
      </c>
      <c r="AB39" s="170">
        <v>17309</v>
      </c>
      <c r="AC39" s="170">
        <v>12119</v>
      </c>
      <c r="AD39" s="170">
        <v>16785</v>
      </c>
      <c r="AE39" s="170">
        <f>AF39-SUM(AB39:AD39)</f>
        <v>16998</v>
      </c>
      <c r="AF39" s="170">
        <v>63211</v>
      </c>
      <c r="AG39" s="170">
        <v>16824</v>
      </c>
      <c r="AH39" s="170">
        <v>18344</v>
      </c>
      <c r="AI39" s="170">
        <v>20853</v>
      </c>
      <c r="AJ39" s="170">
        <f>AK39-SUM(AG39:AI39)</f>
        <v>19478</v>
      </c>
      <c r="AK39" s="170">
        <v>75499</v>
      </c>
      <c r="AL39" s="170">
        <v>21534</v>
      </c>
      <c r="AM39" s="170">
        <v>22659</v>
      </c>
      <c r="AN39" s="170">
        <v>23672</v>
      </c>
      <c r="AO39" s="276"/>
    </row>
    <row r="40" spans="1:41" x14ac:dyDescent="0.35">
      <c r="A40" s="159"/>
      <c r="B40" s="167" t="s">
        <v>58</v>
      </c>
      <c r="C40" s="236"/>
      <c r="D40" s="236"/>
      <c r="E40" s="236"/>
      <c r="F40" s="236"/>
      <c r="G40" s="236"/>
      <c r="H40" s="169"/>
      <c r="I40" s="169"/>
      <c r="J40" s="169"/>
      <c r="K40" s="169"/>
      <c r="L40" s="169"/>
      <c r="M40" s="169"/>
      <c r="N40" s="169"/>
      <c r="O40" s="169"/>
      <c r="P40" s="169"/>
      <c r="Q40" s="169"/>
      <c r="R40" s="236">
        <f t="shared" ref="R40:AF40" si="38">R39/R36</f>
        <v>0.40512584224639742</v>
      </c>
      <c r="S40" s="236">
        <f t="shared" si="38"/>
        <v>0.39834657139963991</v>
      </c>
      <c r="T40" s="236">
        <f t="shared" si="38"/>
        <v>0.40663450189236433</v>
      </c>
      <c r="U40" s="236">
        <f t="shared" si="38"/>
        <v>0.39189007037413087</v>
      </c>
      <c r="V40" s="236">
        <f t="shared" si="38"/>
        <v>0.40055477139615553</v>
      </c>
      <c r="W40" s="236">
        <f t="shared" si="38"/>
        <v>0.44388524389746936</v>
      </c>
      <c r="X40" s="236">
        <f t="shared" si="38"/>
        <v>0.4236762058476628</v>
      </c>
      <c r="Y40" s="236">
        <f t="shared" si="38"/>
        <v>0.41045913922286115</v>
      </c>
      <c r="Z40" s="236">
        <f t="shared" si="38"/>
        <v>0.43580265378944893</v>
      </c>
      <c r="AA40" s="236">
        <f t="shared" si="38"/>
        <v>0.42868639476535625</v>
      </c>
      <c r="AB40" s="169">
        <f t="shared" si="38"/>
        <v>0.40450094646070434</v>
      </c>
      <c r="AC40" s="169">
        <f t="shared" si="38"/>
        <v>0.35091935717388156</v>
      </c>
      <c r="AD40" s="169">
        <f t="shared" si="38"/>
        <v>0.44668281129414267</v>
      </c>
      <c r="AE40" s="169">
        <f t="shared" si="38"/>
        <v>0.45007546270553656</v>
      </c>
      <c r="AF40" s="169">
        <f t="shared" si="38"/>
        <v>0.41403681142333137</v>
      </c>
      <c r="AG40" s="169">
        <f t="shared" ref="AG40:AH40" si="39">AG39/AG36</f>
        <v>0.44663905702453011</v>
      </c>
      <c r="AH40" s="169">
        <f t="shared" si="39"/>
        <v>0.45082329810764316</v>
      </c>
      <c r="AI40" s="169">
        <f t="shared" ref="AI40:AM40" si="40">AI39/AI36</f>
        <v>0.46846988520207578</v>
      </c>
      <c r="AJ40" s="169">
        <f t="shared" si="40"/>
        <v>0.43903978361320861</v>
      </c>
      <c r="AK40" s="169">
        <f t="shared" si="40"/>
        <v>0.45145184051280823</v>
      </c>
      <c r="AL40" s="169">
        <f t="shared" si="40"/>
        <v>0.42434035509488244</v>
      </c>
      <c r="AM40" s="169">
        <f t="shared" si="40"/>
        <v>0.42060030070721882</v>
      </c>
      <c r="AN40" s="169">
        <f t="shared" ref="AN40" si="41">AN39/AN36</f>
        <v>0.42245025430534489</v>
      </c>
      <c r="AO40" s="401"/>
    </row>
    <row r="41" spans="1:41" x14ac:dyDescent="0.35">
      <c r="A41" s="159"/>
      <c r="B41" s="167"/>
      <c r="C41" s="236"/>
      <c r="D41" s="239"/>
      <c r="E41" s="239"/>
      <c r="F41" s="239"/>
      <c r="G41" s="239"/>
      <c r="K41" s="158"/>
      <c r="L41" s="158"/>
      <c r="M41" s="158"/>
      <c r="N41" s="158"/>
      <c r="O41" s="158"/>
      <c r="P41" s="158"/>
      <c r="Q41" s="158"/>
      <c r="R41" s="236"/>
      <c r="S41" s="239"/>
      <c r="T41" s="239"/>
      <c r="U41" s="239"/>
      <c r="V41" s="239"/>
      <c r="W41" s="236"/>
      <c r="X41" s="239"/>
      <c r="Y41" s="239"/>
      <c r="Z41" s="239"/>
      <c r="AA41" s="239"/>
      <c r="AO41" s="276"/>
    </row>
    <row r="42" spans="1:41" hidden="1" x14ac:dyDescent="0.35">
      <c r="A42" s="172"/>
      <c r="B42" s="172" t="s">
        <v>145</v>
      </c>
      <c r="C42" s="238">
        <v>17043</v>
      </c>
      <c r="D42" s="241">
        <v>17835</v>
      </c>
      <c r="E42" s="241">
        <v>18496</v>
      </c>
      <c r="F42" s="241">
        <f>+G42-SUM(C42,D42,E42)</f>
        <v>17577</v>
      </c>
      <c r="G42" s="242">
        <v>70951</v>
      </c>
      <c r="H42" s="174">
        <v>17499</v>
      </c>
      <c r="I42" s="174">
        <v>18549</v>
      </c>
      <c r="J42" s="174">
        <v>17278</v>
      </c>
      <c r="K42" s="174">
        <f>+L42-SUM(H42:J42)</f>
        <v>16911</v>
      </c>
      <c r="L42" s="174">
        <v>70237</v>
      </c>
      <c r="M42" s="174">
        <v>17425</v>
      </c>
      <c r="N42" s="174">
        <v>17541</v>
      </c>
      <c r="O42" s="174">
        <v>16950</v>
      </c>
      <c r="P42" s="174">
        <f>+Q42-SUM(M42:O42)</f>
        <v>16094</v>
      </c>
      <c r="Q42" s="174">
        <v>68010</v>
      </c>
      <c r="R42" s="238"/>
      <c r="S42" s="241"/>
      <c r="T42" s="241"/>
      <c r="U42" s="241"/>
      <c r="V42" s="241"/>
      <c r="W42" s="238"/>
      <c r="X42" s="241"/>
      <c r="Y42" s="241"/>
      <c r="Z42" s="241"/>
      <c r="AA42" s="241"/>
      <c r="AB42" s="339"/>
      <c r="AC42" s="339"/>
      <c r="AD42" s="339"/>
      <c r="AE42" s="339"/>
      <c r="AF42" s="339"/>
      <c r="AG42" s="339"/>
      <c r="AH42" s="339"/>
      <c r="AI42" s="339"/>
      <c r="AJ42" s="339"/>
      <c r="AK42" s="339"/>
      <c r="AL42" s="339"/>
      <c r="AM42" s="339"/>
      <c r="AN42" s="339"/>
      <c r="AO42" s="276"/>
    </row>
    <row r="43" spans="1:41" hidden="1" x14ac:dyDescent="0.35">
      <c r="A43" s="159"/>
      <c r="B43" s="167" t="s">
        <v>144</v>
      </c>
      <c r="C43" s="235">
        <v>-2.9384857740985537E-2</v>
      </c>
      <c r="D43" s="235">
        <v>1.6522774338959989E-2</v>
      </c>
      <c r="E43" s="235">
        <v>5.5768957384487727E-2</v>
      </c>
      <c r="F43" s="235">
        <v>4.9804676911162193E-2</v>
      </c>
      <c r="G43" s="235">
        <v>2.2847259742702963E-2</v>
      </c>
      <c r="H43" s="168">
        <f t="shared" ref="H43:Q43" si="42">H42/C42-1</f>
        <v>2.6755852842809347E-2</v>
      </c>
      <c r="I43" s="168">
        <f t="shared" si="42"/>
        <v>4.003364171572743E-2</v>
      </c>
      <c r="J43" s="168">
        <f t="shared" si="42"/>
        <v>-6.5852076124567449E-2</v>
      </c>
      <c r="K43" s="168">
        <f t="shared" si="42"/>
        <v>-3.7890424987199189E-2</v>
      </c>
      <c r="L43" s="168">
        <f t="shared" si="42"/>
        <v>-1.006328311087934E-2</v>
      </c>
      <c r="M43" s="168">
        <f t="shared" si="42"/>
        <v>-4.2288130750328667E-3</v>
      </c>
      <c r="N43" s="168">
        <f t="shared" si="42"/>
        <v>-5.4342552159146074E-2</v>
      </c>
      <c r="O43" s="168">
        <f t="shared" si="42"/>
        <v>-1.8983678666512294E-2</v>
      </c>
      <c r="P43" s="168">
        <f t="shared" si="42"/>
        <v>-4.8311749748684241E-2</v>
      </c>
      <c r="Q43" s="168">
        <f t="shared" si="42"/>
        <v>-3.1706935091191268E-2</v>
      </c>
      <c r="R43" s="235"/>
      <c r="S43" s="235"/>
      <c r="T43" s="235"/>
      <c r="U43" s="235"/>
      <c r="V43" s="235"/>
      <c r="W43" s="235"/>
      <c r="X43" s="235"/>
      <c r="Y43" s="235"/>
      <c r="Z43" s="235"/>
      <c r="AA43" s="235"/>
      <c r="AB43" s="176"/>
      <c r="AC43" s="176"/>
      <c r="AD43" s="176"/>
      <c r="AE43" s="176"/>
      <c r="AF43" s="176"/>
      <c r="AG43" s="176"/>
      <c r="AH43" s="176"/>
      <c r="AI43" s="176"/>
      <c r="AJ43" s="176"/>
      <c r="AK43" s="176"/>
      <c r="AL43" s="176"/>
      <c r="AM43" s="176"/>
      <c r="AN43" s="176"/>
      <c r="AO43" s="401"/>
    </row>
    <row r="44" spans="1:41" hidden="1" x14ac:dyDescent="0.35">
      <c r="A44" s="159"/>
      <c r="B44" s="167" t="s">
        <v>155</v>
      </c>
      <c r="C44" s="235">
        <v>-8.7898081101827064E-3</v>
      </c>
      <c r="D44" s="240">
        <v>3.0415633413528154E-2</v>
      </c>
      <c r="E44" s="235">
        <v>6.9456755626851718E-2</v>
      </c>
      <c r="F44" s="235">
        <v>5.1325079581286515E-2</v>
      </c>
      <c r="G44" s="235">
        <v>3.5398495320312362E-2</v>
      </c>
      <c r="H44" s="168">
        <v>2.2017804564526511E-2</v>
      </c>
      <c r="I44" s="168">
        <v>4.6765098007093719E-2</v>
      </c>
      <c r="J44" s="169">
        <v>-4.7263843395054406E-2</v>
      </c>
      <c r="K44" s="169">
        <v>-1.2110295222743761E-2</v>
      </c>
      <c r="L44" s="168">
        <v>1.7229201583262022E-3</v>
      </c>
      <c r="M44" s="168">
        <v>1.6E-2</v>
      </c>
      <c r="N44" s="176">
        <v>-0.05</v>
      </c>
      <c r="O44" s="176">
        <v>-2.1000000000000001E-2</v>
      </c>
      <c r="P44" s="176">
        <v>-0.05</v>
      </c>
      <c r="Q44" s="168">
        <v>-2.7E-2</v>
      </c>
      <c r="R44" s="235"/>
      <c r="S44" s="240"/>
      <c r="T44" s="235"/>
      <c r="U44" s="235"/>
      <c r="V44" s="235"/>
      <c r="W44" s="235"/>
      <c r="X44" s="240"/>
      <c r="Y44" s="235"/>
      <c r="Z44" s="235"/>
      <c r="AA44" s="235"/>
      <c r="AB44" s="176"/>
      <c r="AC44" s="176"/>
      <c r="AD44" s="176"/>
      <c r="AE44" s="176"/>
      <c r="AF44" s="176"/>
      <c r="AG44" s="176"/>
      <c r="AH44" s="176"/>
      <c r="AI44" s="176"/>
      <c r="AJ44" s="176"/>
      <c r="AK44" s="176"/>
      <c r="AL44" s="176"/>
      <c r="AM44" s="176"/>
      <c r="AN44" s="176"/>
      <c r="AO44" s="401"/>
    </row>
    <row r="45" spans="1:41" hidden="1" x14ac:dyDescent="0.35">
      <c r="A45" s="159"/>
      <c r="B45" s="167" t="s">
        <v>56</v>
      </c>
      <c r="C45" s="237">
        <f>ROUND(6904.8321447588,0)</f>
        <v>6905</v>
      </c>
      <c r="D45" s="237">
        <v>7512.1982279049298</v>
      </c>
      <c r="E45" s="237">
        <f>ROUND(8500.24509549765,0)</f>
        <v>8500</v>
      </c>
      <c r="F45" s="237">
        <f>ROUND(+G45-SUM(C45,D45,E45),0)</f>
        <v>6697</v>
      </c>
      <c r="G45" s="237">
        <f>ROUND(29614.3890430638,0)</f>
        <v>29614</v>
      </c>
      <c r="H45" s="170">
        <v>7056</v>
      </c>
      <c r="I45" s="170">
        <v>7924</v>
      </c>
      <c r="J45" s="170">
        <v>7320</v>
      </c>
      <c r="K45" s="170">
        <f>+L45-SUM(H45:J45)</f>
        <v>6871</v>
      </c>
      <c r="L45" s="170">
        <v>29171</v>
      </c>
      <c r="M45" s="170">
        <v>7625</v>
      </c>
      <c r="N45" s="170">
        <v>7552</v>
      </c>
      <c r="O45" s="170">
        <v>7150</v>
      </c>
      <c r="P45" s="170">
        <f>+Q45-SUM(M45:O45)</f>
        <v>6947</v>
      </c>
      <c r="Q45" s="170">
        <v>29274</v>
      </c>
      <c r="R45" s="237"/>
      <c r="S45" s="237"/>
      <c r="T45" s="237"/>
      <c r="U45" s="237"/>
      <c r="V45" s="237"/>
      <c r="W45" s="237"/>
      <c r="X45" s="237"/>
      <c r="Y45" s="237"/>
      <c r="Z45" s="237"/>
      <c r="AA45" s="237"/>
      <c r="AB45" s="340"/>
      <c r="AC45" s="340"/>
      <c r="AD45" s="340"/>
      <c r="AE45" s="340"/>
      <c r="AF45" s="340"/>
      <c r="AG45" s="340"/>
      <c r="AH45" s="340"/>
      <c r="AI45" s="340"/>
      <c r="AJ45" s="340"/>
      <c r="AK45" s="340"/>
      <c r="AL45" s="340"/>
      <c r="AM45" s="340"/>
      <c r="AN45" s="340"/>
      <c r="AO45" s="276"/>
    </row>
    <row r="46" spans="1:41" hidden="1" x14ac:dyDescent="0.35">
      <c r="A46" s="159"/>
      <c r="B46" s="167" t="s">
        <v>58</v>
      </c>
      <c r="C46" s="236">
        <f t="shared" ref="C46:H46" si="43">C45/C42</f>
        <v>0.40515167517455847</v>
      </c>
      <c r="D46" s="236">
        <f t="shared" si="43"/>
        <v>0.42120539545303781</v>
      </c>
      <c r="E46" s="236">
        <f t="shared" si="43"/>
        <v>0.45955882352941174</v>
      </c>
      <c r="F46" s="236">
        <f>F45/F42</f>
        <v>0.38100927348239177</v>
      </c>
      <c r="G46" s="236">
        <f>G45/G42</f>
        <v>0.4173866471226621</v>
      </c>
      <c r="H46" s="177">
        <f t="shared" si="43"/>
        <v>0.40322304131664666</v>
      </c>
      <c r="I46" s="177">
        <f t="shared" ref="I46:Q46" si="44">I45/I42</f>
        <v>0.4271928405843981</v>
      </c>
      <c r="J46" s="177">
        <f t="shared" si="44"/>
        <v>0.42366014585021416</v>
      </c>
      <c r="K46" s="177">
        <f t="shared" si="44"/>
        <v>0.40630358937969369</v>
      </c>
      <c r="L46" s="177">
        <f t="shared" si="44"/>
        <v>0.41532240841721602</v>
      </c>
      <c r="M46" s="177">
        <f t="shared" si="44"/>
        <v>0.43758967001434718</v>
      </c>
      <c r="N46" s="177">
        <f t="shared" si="44"/>
        <v>0.43053417707086256</v>
      </c>
      <c r="O46" s="177">
        <f t="shared" si="44"/>
        <v>0.42182890855457228</v>
      </c>
      <c r="P46" s="177">
        <f t="shared" si="44"/>
        <v>0.43165154716043247</v>
      </c>
      <c r="Q46" s="177">
        <f t="shared" si="44"/>
        <v>0.43043670048522276</v>
      </c>
      <c r="R46" s="236"/>
      <c r="S46" s="236"/>
      <c r="T46" s="236"/>
      <c r="U46" s="236"/>
      <c r="V46" s="236"/>
      <c r="W46" s="236"/>
      <c r="X46" s="236"/>
      <c r="Y46" s="236"/>
      <c r="Z46" s="236"/>
      <c r="AA46" s="236"/>
      <c r="AB46" s="177"/>
      <c r="AC46" s="177"/>
      <c r="AD46" s="177"/>
      <c r="AE46" s="177"/>
      <c r="AF46" s="177"/>
      <c r="AG46" s="177"/>
      <c r="AH46" s="177"/>
      <c r="AI46" s="177"/>
      <c r="AJ46" s="177"/>
      <c r="AK46" s="177"/>
      <c r="AL46" s="177"/>
      <c r="AM46" s="177"/>
      <c r="AN46" s="177"/>
      <c r="AO46" s="401"/>
    </row>
    <row r="47" spans="1:41" hidden="1" x14ac:dyDescent="0.35">
      <c r="A47" s="159"/>
      <c r="B47" s="167"/>
      <c r="C47" s="236"/>
      <c r="D47" s="239"/>
      <c r="E47" s="239"/>
      <c r="F47" s="239"/>
      <c r="G47" s="239"/>
      <c r="K47" s="158"/>
      <c r="L47" s="158"/>
      <c r="M47" s="158"/>
      <c r="N47" s="158"/>
      <c r="O47" s="158"/>
      <c r="P47" s="158"/>
      <c r="Q47" s="158"/>
      <c r="R47" s="236"/>
      <c r="S47" s="239"/>
      <c r="T47" s="239"/>
      <c r="U47" s="239"/>
      <c r="V47" s="239"/>
      <c r="W47" s="236"/>
      <c r="X47" s="239"/>
      <c r="Y47" s="239"/>
      <c r="Z47" s="239"/>
      <c r="AA47" s="239"/>
      <c r="AB47" s="341"/>
      <c r="AC47" s="341"/>
      <c r="AD47" s="341"/>
      <c r="AE47" s="341"/>
      <c r="AF47" s="341"/>
      <c r="AG47" s="341"/>
      <c r="AH47" s="341"/>
      <c r="AI47" s="341"/>
      <c r="AJ47" s="341"/>
      <c r="AK47" s="341"/>
      <c r="AL47" s="341"/>
      <c r="AM47" s="341"/>
      <c r="AN47" s="341"/>
      <c r="AO47" s="401"/>
    </row>
    <row r="48" spans="1:41" hidden="1" x14ac:dyDescent="0.35">
      <c r="A48" s="172"/>
      <c r="B48" s="172" t="s">
        <v>162</v>
      </c>
      <c r="C48" s="238">
        <v>21014</v>
      </c>
      <c r="D48" s="241">
        <v>21038</v>
      </c>
      <c r="E48" s="241">
        <v>21642</v>
      </c>
      <c r="F48" s="241">
        <f>+G48-SUM(C48,D48,E48)</f>
        <v>22833</v>
      </c>
      <c r="G48" s="242">
        <v>86527</v>
      </c>
      <c r="H48" s="174">
        <v>23972</v>
      </c>
      <c r="I48" s="174">
        <v>24228</v>
      </c>
      <c r="J48" s="174">
        <v>24517</v>
      </c>
      <c r="K48" s="174">
        <f>+L48-SUM(H48:J48)</f>
        <v>25224</v>
      </c>
      <c r="L48" s="174">
        <v>97941</v>
      </c>
      <c r="M48" s="174">
        <v>25724</v>
      </c>
      <c r="N48" s="174">
        <v>26422</v>
      </c>
      <c r="O48" s="174">
        <v>26542</v>
      </c>
      <c r="P48" s="174">
        <f>+Q48-SUM(M48:O48)</f>
        <v>27892</v>
      </c>
      <c r="Q48" s="174">
        <v>106580</v>
      </c>
      <c r="R48" s="238"/>
      <c r="S48" s="241"/>
      <c r="T48" s="241"/>
      <c r="U48" s="241"/>
      <c r="V48" s="241"/>
      <c r="W48" s="238"/>
      <c r="X48" s="241"/>
      <c r="Y48" s="241"/>
      <c r="Z48" s="241"/>
      <c r="AA48" s="241"/>
      <c r="AB48" s="339"/>
      <c r="AC48" s="339"/>
      <c r="AD48" s="339"/>
      <c r="AE48" s="339"/>
      <c r="AF48" s="339"/>
      <c r="AG48" s="339"/>
      <c r="AH48" s="339"/>
      <c r="AI48" s="339"/>
      <c r="AJ48" s="339"/>
      <c r="AK48" s="339"/>
      <c r="AL48" s="339"/>
      <c r="AM48" s="339"/>
      <c r="AN48" s="339"/>
      <c r="AO48" s="276"/>
    </row>
    <row r="49" spans="1:41" hidden="1" x14ac:dyDescent="0.35">
      <c r="A49" s="159"/>
      <c r="B49" s="167" t="s">
        <v>144</v>
      </c>
      <c r="C49" s="235">
        <v>6.033033591401038E-2</v>
      </c>
      <c r="D49" s="235">
        <v>9.0929353505007082E-2</v>
      </c>
      <c r="E49" s="235">
        <v>8.98484146246743E-2</v>
      </c>
      <c r="F49" s="235">
        <v>0.11622234807444021</v>
      </c>
      <c r="G49" s="235">
        <v>8.953790310479226E-2</v>
      </c>
      <c r="H49" s="168">
        <f t="shared" ref="H49:Q49" si="45">H48/C48-1</f>
        <v>0.14076330065670506</v>
      </c>
      <c r="I49" s="168">
        <f t="shared" si="45"/>
        <v>0.15163038311626575</v>
      </c>
      <c r="J49" s="168">
        <f t="shared" si="45"/>
        <v>0.13284354495887629</v>
      </c>
      <c r="K49" s="168">
        <f t="shared" si="45"/>
        <v>0.10471685718039669</v>
      </c>
      <c r="L49" s="168">
        <f t="shared" si="45"/>
        <v>0.13191258219977575</v>
      </c>
      <c r="M49" s="168">
        <f t="shared" si="45"/>
        <v>7.3085266143834371E-2</v>
      </c>
      <c r="N49" s="168">
        <f t="shared" si="45"/>
        <v>9.05563810467227E-2</v>
      </c>
      <c r="O49" s="168">
        <f t="shared" si="45"/>
        <v>8.2595749887832914E-2</v>
      </c>
      <c r="P49" s="168">
        <f t="shared" si="45"/>
        <v>0.10577228036790354</v>
      </c>
      <c r="Q49" s="168">
        <f t="shared" si="45"/>
        <v>8.8206164936032838E-2</v>
      </c>
      <c r="R49" s="235"/>
      <c r="S49" s="235"/>
      <c r="T49" s="235"/>
      <c r="U49" s="235"/>
      <c r="V49" s="235"/>
      <c r="W49" s="235"/>
      <c r="X49" s="235"/>
      <c r="Y49" s="235"/>
      <c r="Z49" s="235"/>
      <c r="AA49" s="235"/>
      <c r="AB49" s="176"/>
      <c r="AC49" s="176"/>
      <c r="AD49" s="176"/>
      <c r="AE49" s="176"/>
      <c r="AF49" s="176"/>
      <c r="AG49" s="176"/>
      <c r="AH49" s="176"/>
      <c r="AI49" s="176"/>
      <c r="AJ49" s="176"/>
      <c r="AK49" s="176"/>
      <c r="AL49" s="176"/>
      <c r="AM49" s="176"/>
      <c r="AN49" s="176"/>
      <c r="AO49" s="401"/>
    </row>
    <row r="50" spans="1:41" hidden="1" x14ac:dyDescent="0.35">
      <c r="A50" s="159"/>
      <c r="B50" s="167" t="s">
        <v>155</v>
      </c>
      <c r="C50" s="235">
        <v>5.9375507743957501E-2</v>
      </c>
      <c r="D50" s="240">
        <v>8.7111291904700794E-2</v>
      </c>
      <c r="E50" s="235">
        <v>7.8793541177875737E-2</v>
      </c>
      <c r="F50" s="235">
        <v>9.9241949534063068E-2</v>
      </c>
      <c r="G50" s="235">
        <v>8.1234534877984155E-2</v>
      </c>
      <c r="H50" s="168">
        <v>0.11758214400387579</v>
      </c>
      <c r="I50" s="168">
        <v>0.15109154048019469</v>
      </c>
      <c r="J50" s="169">
        <v>0.15493095253100586</v>
      </c>
      <c r="K50" s="169">
        <v>0.12982663917595483</v>
      </c>
      <c r="L50" s="168">
        <v>0.13830205588900712</v>
      </c>
      <c r="M50" s="168">
        <v>0.1</v>
      </c>
      <c r="N50" s="176">
        <v>0.10299999999999999</v>
      </c>
      <c r="O50" s="176">
        <v>8.6999999999999994E-2</v>
      </c>
      <c r="P50" s="176">
        <v>0.106</v>
      </c>
      <c r="Q50" s="168">
        <v>9.9000000000000005E-2</v>
      </c>
      <c r="R50" s="235"/>
      <c r="S50" s="240"/>
      <c r="T50" s="235"/>
      <c r="U50" s="235"/>
      <c r="V50" s="235"/>
      <c r="W50" s="235"/>
      <c r="X50" s="240"/>
      <c r="Y50" s="235"/>
      <c r="Z50" s="235"/>
      <c r="AA50" s="235"/>
      <c r="AB50" s="176"/>
      <c r="AC50" s="176"/>
      <c r="AD50" s="176"/>
      <c r="AE50" s="176"/>
      <c r="AF50" s="176"/>
      <c r="AG50" s="176"/>
      <c r="AH50" s="176"/>
      <c r="AI50" s="176"/>
      <c r="AJ50" s="176"/>
      <c r="AK50" s="176"/>
      <c r="AL50" s="176"/>
      <c r="AM50" s="176"/>
      <c r="AN50" s="176"/>
      <c r="AO50" s="401"/>
    </row>
    <row r="51" spans="1:41" hidden="1" x14ac:dyDescent="0.35">
      <c r="A51" s="159"/>
      <c r="B51" s="167" t="s">
        <v>56</v>
      </c>
      <c r="C51" s="237">
        <f>ROUND(8588.46080539107,0)</f>
        <v>8588</v>
      </c>
      <c r="D51" s="237">
        <v>8699.880853350036</v>
      </c>
      <c r="E51" s="237">
        <f>ROUND(9007.93462975813,0)</f>
        <v>9008</v>
      </c>
      <c r="F51" s="237">
        <f>ROUND(+G51-SUM(C51,D51,E51),0)</f>
        <v>8869</v>
      </c>
      <c r="G51" s="237">
        <f>ROUND(35165.0600100329,0)</f>
        <v>35165</v>
      </c>
      <c r="H51" s="170">
        <v>9243</v>
      </c>
      <c r="I51" s="170">
        <v>9685</v>
      </c>
      <c r="J51" s="170">
        <v>9600</v>
      </c>
      <c r="K51" s="170">
        <f>+L51-SUM(H51:J51)</f>
        <v>10258</v>
      </c>
      <c r="L51" s="170">
        <v>38786</v>
      </c>
      <c r="M51" s="170">
        <v>11450</v>
      </c>
      <c r="N51" s="170">
        <v>10428</v>
      </c>
      <c r="O51" s="170">
        <v>9891</v>
      </c>
      <c r="P51" s="170">
        <f>+Q51-SUM(M51:O51)</f>
        <v>11494</v>
      </c>
      <c r="Q51" s="170">
        <v>43263</v>
      </c>
      <c r="R51" s="237"/>
      <c r="S51" s="237"/>
      <c r="T51" s="237"/>
      <c r="U51" s="237"/>
      <c r="V51" s="237"/>
      <c r="W51" s="237"/>
      <c r="X51" s="237"/>
      <c r="Y51" s="237"/>
      <c r="Z51" s="237"/>
      <c r="AA51" s="237"/>
      <c r="AB51" s="340"/>
      <c r="AC51" s="340"/>
      <c r="AD51" s="340"/>
      <c r="AE51" s="340"/>
      <c r="AF51" s="340"/>
      <c r="AG51" s="340"/>
      <c r="AH51" s="340"/>
      <c r="AI51" s="340"/>
      <c r="AJ51" s="340"/>
      <c r="AK51" s="340"/>
      <c r="AL51" s="340"/>
      <c r="AM51" s="340"/>
      <c r="AN51" s="340"/>
      <c r="AO51" s="276"/>
    </row>
    <row r="52" spans="1:41" hidden="1" x14ac:dyDescent="0.35">
      <c r="A52" s="159"/>
      <c r="B52" s="167" t="s">
        <v>58</v>
      </c>
      <c r="C52" s="236">
        <f t="shared" ref="C52:H52" si="46">C51/C48</f>
        <v>0.40867992766726946</v>
      </c>
      <c r="D52" s="236">
        <f t="shared" si="46"/>
        <v>0.41353174509696911</v>
      </c>
      <c r="E52" s="236">
        <f t="shared" si="46"/>
        <v>0.41622770538767212</v>
      </c>
      <c r="F52" s="236">
        <f>F51/F48</f>
        <v>0.38842902816099506</v>
      </c>
      <c r="G52" s="236">
        <f>G51/G48</f>
        <v>0.40640493718723636</v>
      </c>
      <c r="H52" s="177">
        <f t="shared" si="46"/>
        <v>0.38557483731019521</v>
      </c>
      <c r="I52" s="177">
        <f t="shared" ref="I52:Q52" si="47">I51/I48</f>
        <v>0.39974409773815422</v>
      </c>
      <c r="J52" s="177">
        <f t="shared" si="47"/>
        <v>0.39156503650528207</v>
      </c>
      <c r="K52" s="177">
        <f t="shared" si="47"/>
        <v>0.40667618141452583</v>
      </c>
      <c r="L52" s="177">
        <f t="shared" si="47"/>
        <v>0.39601392675181996</v>
      </c>
      <c r="M52" s="177">
        <f t="shared" si="47"/>
        <v>0.44510962525268233</v>
      </c>
      <c r="N52" s="177">
        <f t="shared" si="47"/>
        <v>0.39467110741049127</v>
      </c>
      <c r="O52" s="177">
        <f t="shared" si="47"/>
        <v>0.37265466053801521</v>
      </c>
      <c r="P52" s="177">
        <f t="shared" si="47"/>
        <v>0.4120894880252402</v>
      </c>
      <c r="Q52" s="177">
        <f t="shared" si="47"/>
        <v>0.40592043535372491</v>
      </c>
      <c r="R52" s="236"/>
      <c r="S52" s="236"/>
      <c r="T52" s="236"/>
      <c r="U52" s="236"/>
      <c r="V52" s="236"/>
      <c r="W52" s="236"/>
      <c r="X52" s="236"/>
      <c r="Y52" s="236"/>
      <c r="Z52" s="236"/>
      <c r="AA52" s="236"/>
      <c r="AB52" s="177"/>
      <c r="AC52" s="177"/>
      <c r="AD52" s="177"/>
      <c r="AE52" s="177"/>
      <c r="AF52" s="177"/>
      <c r="AG52" s="177"/>
      <c r="AH52" s="177"/>
      <c r="AI52" s="177"/>
      <c r="AJ52" s="177"/>
      <c r="AK52" s="177"/>
      <c r="AL52" s="177"/>
      <c r="AM52" s="177"/>
      <c r="AN52" s="177"/>
      <c r="AO52" s="401"/>
    </row>
    <row r="53" spans="1:41" hidden="1" x14ac:dyDescent="0.35">
      <c r="A53" s="159"/>
      <c r="B53" s="167"/>
      <c r="C53" s="236"/>
      <c r="D53" s="239"/>
      <c r="E53" s="239"/>
      <c r="F53" s="239"/>
      <c r="G53" s="239"/>
      <c r="K53" s="158"/>
      <c r="L53" s="158"/>
      <c r="M53" s="158"/>
      <c r="N53" s="158"/>
      <c r="O53" s="158"/>
      <c r="P53" s="158"/>
      <c r="Q53" s="158"/>
      <c r="R53" s="236"/>
      <c r="S53" s="239"/>
      <c r="T53" s="239"/>
      <c r="U53" s="239"/>
      <c r="V53" s="239"/>
      <c r="W53" s="236"/>
      <c r="X53" s="239"/>
      <c r="Y53" s="239"/>
      <c r="Z53" s="239"/>
      <c r="AA53" s="239"/>
      <c r="AB53" s="341"/>
      <c r="AC53" s="341"/>
      <c r="AD53" s="341"/>
      <c r="AE53" s="341"/>
      <c r="AF53" s="341"/>
      <c r="AG53" s="341"/>
      <c r="AH53" s="341"/>
      <c r="AI53" s="341"/>
      <c r="AJ53" s="341"/>
      <c r="AK53" s="341"/>
      <c r="AL53" s="341"/>
      <c r="AM53" s="341"/>
      <c r="AN53" s="341"/>
      <c r="AO53" s="401"/>
    </row>
    <row r="54" spans="1:41" hidden="1" x14ac:dyDescent="0.35">
      <c r="A54" s="172"/>
      <c r="B54" s="172" t="s">
        <v>163</v>
      </c>
      <c r="C54" s="238">
        <v>21116</v>
      </c>
      <c r="D54" s="241">
        <v>21447</v>
      </c>
      <c r="E54" s="241">
        <v>19983</v>
      </c>
      <c r="F54" s="241">
        <f>+G54-SUM(C54,D54,E54)</f>
        <v>20536</v>
      </c>
      <c r="G54" s="242">
        <v>83082</v>
      </c>
      <c r="H54" s="174">
        <v>21700</v>
      </c>
      <c r="I54" s="174">
        <v>23088</v>
      </c>
      <c r="J54" s="174">
        <v>21944</v>
      </c>
      <c r="K54" s="174">
        <f>+L54-SUM(H54:J54)</f>
        <v>20377</v>
      </c>
      <c r="L54" s="174">
        <v>87109</v>
      </c>
      <c r="M54" s="174">
        <v>19856</v>
      </c>
      <c r="N54" s="174">
        <v>19423</v>
      </c>
      <c r="O54" s="174">
        <v>17455</v>
      </c>
      <c r="P54" s="174">
        <f>+Q54-SUM(M54:O54)</f>
        <v>17945</v>
      </c>
      <c r="Q54" s="174">
        <v>74679</v>
      </c>
      <c r="R54" s="238"/>
      <c r="S54" s="241"/>
      <c r="T54" s="241"/>
      <c r="U54" s="241"/>
      <c r="V54" s="241"/>
      <c r="W54" s="238"/>
      <c r="X54" s="241"/>
      <c r="Y54" s="241"/>
      <c r="Z54" s="241"/>
      <c r="AA54" s="241"/>
      <c r="AB54" s="339"/>
      <c r="AC54" s="339"/>
      <c r="AD54" s="339"/>
      <c r="AE54" s="339"/>
      <c r="AF54" s="339"/>
      <c r="AG54" s="339"/>
      <c r="AH54" s="339"/>
      <c r="AI54" s="339"/>
      <c r="AJ54" s="339"/>
      <c r="AK54" s="339"/>
      <c r="AL54" s="339"/>
      <c r="AM54" s="339"/>
      <c r="AN54" s="339"/>
      <c r="AO54" s="276"/>
    </row>
    <row r="55" spans="1:41" hidden="1" x14ac:dyDescent="0.35">
      <c r="A55" s="159"/>
      <c r="B55" s="167" t="s">
        <v>144</v>
      </c>
      <c r="C55" s="235">
        <v>-0.18804620311319431</v>
      </c>
      <c r="D55" s="235">
        <v>-0.17514317269040014</v>
      </c>
      <c r="E55" s="235">
        <v>-0.14699169248747368</v>
      </c>
      <c r="F55" s="235">
        <v>-2.4629302876210457E-2</v>
      </c>
      <c r="G55" s="235">
        <v>-0.13894260862881636</v>
      </c>
      <c r="H55" s="168">
        <f t="shared" ref="H55:Q55" si="48">H54/C54-1</f>
        <v>2.7656753172949466E-2</v>
      </c>
      <c r="I55" s="168">
        <f t="shared" si="48"/>
        <v>7.6514197789900651E-2</v>
      </c>
      <c r="J55" s="168">
        <f t="shared" si="48"/>
        <v>9.8133413401391145E-2</v>
      </c>
      <c r="K55" s="168">
        <f t="shared" si="48"/>
        <v>-7.7425009738995021E-3</v>
      </c>
      <c r="L55" s="168">
        <f t="shared" si="48"/>
        <v>4.847018608122089E-2</v>
      </c>
      <c r="M55" s="168">
        <f t="shared" si="48"/>
        <v>-8.4976958525345592E-2</v>
      </c>
      <c r="N55" s="168">
        <f t="shared" si="48"/>
        <v>-0.15874047124047119</v>
      </c>
      <c r="O55" s="168">
        <f t="shared" si="48"/>
        <v>-0.20456616842872766</v>
      </c>
      <c r="P55" s="168">
        <f t="shared" si="48"/>
        <v>-0.11935024782843406</v>
      </c>
      <c r="Q55" s="168">
        <f t="shared" si="48"/>
        <v>-0.14269478469503727</v>
      </c>
      <c r="R55" s="235"/>
      <c r="S55" s="235"/>
      <c r="T55" s="235"/>
      <c r="U55" s="235"/>
      <c r="V55" s="235"/>
      <c r="W55" s="235"/>
      <c r="X55" s="235"/>
      <c r="Y55" s="235"/>
      <c r="Z55" s="235"/>
      <c r="AA55" s="235"/>
      <c r="AB55" s="176"/>
      <c r="AC55" s="176"/>
      <c r="AD55" s="176"/>
      <c r="AE55" s="176"/>
      <c r="AF55" s="176"/>
      <c r="AG55" s="176"/>
      <c r="AH55" s="176"/>
      <c r="AI55" s="176"/>
      <c r="AJ55" s="176"/>
      <c r="AK55" s="176"/>
      <c r="AL55" s="176"/>
      <c r="AM55" s="176"/>
      <c r="AN55" s="176"/>
      <c r="AO55" s="401"/>
    </row>
    <row r="56" spans="1:41" hidden="1" x14ac:dyDescent="0.35">
      <c r="A56" s="159"/>
      <c r="B56" s="167" t="s">
        <v>155</v>
      </c>
      <c r="C56" s="235">
        <v>-0.17873627364342526</v>
      </c>
      <c r="D56" s="240">
        <v>-0.18041377630015187</v>
      </c>
      <c r="E56" s="235">
        <v>-0.1599352906915209</v>
      </c>
      <c r="F56" s="235">
        <v>-5.2199751882280876E-2</v>
      </c>
      <c r="G56" s="235">
        <v>-0.14701258829889308</v>
      </c>
      <c r="H56" s="168">
        <v>-6.1027868993246415E-4</v>
      </c>
      <c r="I56" s="168">
        <v>8.6483353637906601E-2</v>
      </c>
      <c r="J56" s="169">
        <v>0.1368210449347933</v>
      </c>
      <c r="K56" s="169">
        <v>3.7987330551400689E-2</v>
      </c>
      <c r="L56" s="168">
        <v>6.4468661522303128E-2</v>
      </c>
      <c r="M56" s="168">
        <v>-4.3999999999999997E-2</v>
      </c>
      <c r="N56" s="176">
        <v>-0.14399999999999999</v>
      </c>
      <c r="O56" s="176">
        <v>-0.19900000000000001</v>
      </c>
      <c r="P56" s="176">
        <v>-0.11899999999999999</v>
      </c>
      <c r="Q56" s="168">
        <v>-0.127</v>
      </c>
      <c r="R56" s="235"/>
      <c r="S56" s="240"/>
      <c r="T56" s="235"/>
      <c r="U56" s="235"/>
      <c r="V56" s="235"/>
      <c r="W56" s="235"/>
      <c r="X56" s="240"/>
      <c r="Y56" s="235"/>
      <c r="Z56" s="235"/>
      <c r="AA56" s="235"/>
      <c r="AB56" s="168"/>
      <c r="AC56" s="168"/>
      <c r="AD56" s="168"/>
      <c r="AE56" s="168"/>
      <c r="AF56" s="168"/>
      <c r="AG56" s="168"/>
      <c r="AH56" s="168"/>
      <c r="AI56" s="168"/>
      <c r="AJ56" s="168"/>
      <c r="AK56" s="168"/>
      <c r="AL56" s="168"/>
      <c r="AM56" s="168"/>
      <c r="AN56" s="168"/>
      <c r="AO56" s="401"/>
    </row>
    <row r="57" spans="1:41" hidden="1" x14ac:dyDescent="0.35">
      <c r="A57" s="159"/>
      <c r="B57" s="167" t="s">
        <v>56</v>
      </c>
      <c r="C57" s="237">
        <f>ROUND(6703.27249362086,0)</f>
        <v>6703</v>
      </c>
      <c r="D57" s="237">
        <v>6801.5654992821783</v>
      </c>
      <c r="E57" s="237">
        <f>ROUND(6413.60301117024,0)-1</f>
        <v>6413</v>
      </c>
      <c r="F57" s="237">
        <f>ROUND(+G57-SUM(C57,D57,E57),0)</f>
        <v>6526</v>
      </c>
      <c r="G57" s="237">
        <f>ROUND(26442.9387487777,0)+1</f>
        <v>26444</v>
      </c>
      <c r="H57" s="170">
        <v>6515</v>
      </c>
      <c r="I57" s="170">
        <v>8009</v>
      </c>
      <c r="J57" s="170">
        <v>7621</v>
      </c>
      <c r="K57" s="170">
        <f>+L57-SUM(H57:J57)</f>
        <v>6623</v>
      </c>
      <c r="L57" s="170">
        <v>28768</v>
      </c>
      <c r="M57" s="170">
        <v>7279</v>
      </c>
      <c r="N57" s="170">
        <v>7162</v>
      </c>
      <c r="O57" s="170">
        <v>5072</v>
      </c>
      <c r="P57" s="170">
        <f>+Q57-SUM(M57:O57)</f>
        <v>6302</v>
      </c>
      <c r="Q57" s="170">
        <v>25815</v>
      </c>
      <c r="R57" s="237"/>
      <c r="S57" s="237"/>
      <c r="T57" s="237"/>
      <c r="U57" s="237"/>
      <c r="V57" s="237"/>
      <c r="W57" s="237"/>
      <c r="X57" s="237"/>
      <c r="Y57" s="237"/>
      <c r="Z57" s="237"/>
      <c r="AA57" s="237"/>
      <c r="AB57" s="170"/>
      <c r="AC57" s="170"/>
      <c r="AD57" s="170"/>
      <c r="AE57" s="170"/>
      <c r="AF57" s="170"/>
      <c r="AG57" s="170"/>
      <c r="AH57" s="170"/>
      <c r="AI57" s="170"/>
      <c r="AJ57" s="170"/>
      <c r="AK57" s="170"/>
      <c r="AL57" s="170"/>
      <c r="AM57" s="170"/>
      <c r="AN57" s="170"/>
      <c r="AO57" s="276"/>
    </row>
    <row r="58" spans="1:41" hidden="1" x14ac:dyDescent="0.35">
      <c r="A58" s="159"/>
      <c r="B58" s="167" t="s">
        <v>58</v>
      </c>
      <c r="C58" s="236">
        <f t="shared" ref="C58:H58" si="49">C57/C54</f>
        <v>0.31743701458609586</v>
      </c>
      <c r="D58" s="236">
        <f t="shared" si="49"/>
        <v>0.31713365502318169</v>
      </c>
      <c r="E58" s="236">
        <f t="shared" si="49"/>
        <v>0.32092278436671168</v>
      </c>
      <c r="F58" s="236">
        <f>F57/F54</f>
        <v>0.31778340475262951</v>
      </c>
      <c r="G58" s="236">
        <f>G57/G54</f>
        <v>0.3182879564767338</v>
      </c>
      <c r="H58" s="169">
        <f t="shared" si="49"/>
        <v>0.30023041474654377</v>
      </c>
      <c r="I58" s="169">
        <f t="shared" ref="I58:Q58" si="50">I57/I54</f>
        <v>0.34689015939015938</v>
      </c>
      <c r="J58" s="169">
        <f t="shared" si="50"/>
        <v>0.34729310973386801</v>
      </c>
      <c r="K58" s="169">
        <f t="shared" si="50"/>
        <v>0.325023310595279</v>
      </c>
      <c r="L58" s="169">
        <f t="shared" si="50"/>
        <v>0.33025290153715459</v>
      </c>
      <c r="M58" s="169">
        <f t="shared" si="50"/>
        <v>0.36658944399677679</v>
      </c>
      <c r="N58" s="169">
        <f t="shared" si="50"/>
        <v>0.36873809401225349</v>
      </c>
      <c r="O58" s="169">
        <f t="shared" si="50"/>
        <v>0.29057576625608705</v>
      </c>
      <c r="P58" s="169">
        <f t="shared" si="50"/>
        <v>0.35118417386458622</v>
      </c>
      <c r="Q58" s="169">
        <f t="shared" si="50"/>
        <v>0.34567950829550476</v>
      </c>
      <c r="R58" s="236"/>
      <c r="S58" s="236"/>
      <c r="T58" s="236"/>
      <c r="U58" s="236"/>
      <c r="V58" s="236"/>
      <c r="W58" s="236"/>
      <c r="X58" s="236"/>
      <c r="Y58" s="236"/>
      <c r="Z58" s="236"/>
      <c r="AA58" s="236"/>
      <c r="AB58" s="169"/>
      <c r="AC58" s="169"/>
      <c r="AD58" s="169"/>
      <c r="AE58" s="169"/>
      <c r="AF58" s="169"/>
      <c r="AG58" s="169"/>
      <c r="AH58" s="169"/>
      <c r="AI58" s="169"/>
      <c r="AJ58" s="169"/>
      <c r="AK58" s="169"/>
      <c r="AL58" s="169"/>
      <c r="AM58" s="169"/>
      <c r="AN58" s="169"/>
      <c r="AO58" s="401"/>
    </row>
    <row r="59" spans="1:41" hidden="1" x14ac:dyDescent="0.35">
      <c r="A59" s="159"/>
      <c r="B59" s="167"/>
      <c r="C59" s="236"/>
      <c r="D59" s="239"/>
      <c r="E59" s="239"/>
      <c r="F59" s="239"/>
      <c r="G59" s="239"/>
      <c r="K59" s="158"/>
      <c r="L59" s="158"/>
      <c r="M59" s="158"/>
      <c r="N59" s="158"/>
      <c r="O59" s="158"/>
      <c r="P59" s="158"/>
      <c r="Q59" s="158"/>
      <c r="R59" s="236"/>
      <c r="S59" s="239"/>
      <c r="T59" s="239"/>
      <c r="U59" s="239"/>
      <c r="V59" s="239"/>
      <c r="W59" s="236"/>
      <c r="X59" s="239"/>
      <c r="Y59" s="239"/>
      <c r="Z59" s="239"/>
      <c r="AA59" s="239"/>
      <c r="AO59" s="401"/>
    </row>
    <row r="60" spans="1:41" hidden="1" x14ac:dyDescent="0.35">
      <c r="A60" s="159"/>
      <c r="B60" s="160"/>
      <c r="C60" s="233"/>
      <c r="D60" s="239"/>
      <c r="E60" s="239"/>
      <c r="F60" s="239"/>
      <c r="G60" s="239"/>
      <c r="H60" s="195"/>
      <c r="I60" s="195"/>
      <c r="J60" s="195"/>
      <c r="K60" s="195"/>
      <c r="L60" s="195"/>
      <c r="M60" s="299"/>
      <c r="N60" s="299"/>
      <c r="O60" s="299"/>
      <c r="P60" s="299"/>
      <c r="Q60" s="195"/>
      <c r="R60" s="233"/>
      <c r="S60" s="239"/>
      <c r="T60" s="239"/>
      <c r="U60" s="239"/>
      <c r="V60" s="239"/>
      <c r="W60" s="233"/>
      <c r="X60" s="239"/>
      <c r="Y60" s="239"/>
      <c r="Z60" s="239"/>
      <c r="AA60" s="239"/>
      <c r="AB60" s="299"/>
      <c r="AC60" s="299"/>
      <c r="AD60" s="299"/>
      <c r="AE60" s="299"/>
      <c r="AF60" s="299"/>
      <c r="AG60" s="299"/>
      <c r="AH60" s="299"/>
      <c r="AI60" s="299"/>
      <c r="AJ60" s="299"/>
      <c r="AK60" s="299"/>
      <c r="AL60" s="299"/>
      <c r="AM60" s="299"/>
      <c r="AN60" s="299"/>
      <c r="AO60" s="276"/>
    </row>
    <row r="61" spans="1:41" x14ac:dyDescent="0.35">
      <c r="A61" s="164"/>
      <c r="B61" s="165" t="s">
        <v>221</v>
      </c>
      <c r="C61" s="234">
        <v>49007</v>
      </c>
      <c r="D61" s="242">
        <v>51559</v>
      </c>
      <c r="E61" s="242">
        <v>53744</v>
      </c>
      <c r="F61" s="242">
        <f>+G61-SUM(C61,D61,E61)</f>
        <v>55633</v>
      </c>
      <c r="G61" s="242">
        <v>209943</v>
      </c>
      <c r="H61" s="194">
        <v>57102</v>
      </c>
      <c r="I61" s="194">
        <v>59618</v>
      </c>
      <c r="J61" s="194">
        <v>82707</v>
      </c>
      <c r="K61" s="194">
        <f>+L61-SUM(H61:J61)</f>
        <v>85863</v>
      </c>
      <c r="L61" s="194">
        <v>285290</v>
      </c>
      <c r="M61" s="194">
        <v>86961</v>
      </c>
      <c r="N61" s="194">
        <v>87871</v>
      </c>
      <c r="O61" s="194">
        <v>88753</v>
      </c>
      <c r="P61" s="316">
        <f>+Q61-SUM(M61:O61)</f>
        <v>93744</v>
      </c>
      <c r="Q61" s="194">
        <v>357329</v>
      </c>
      <c r="R61" s="242">
        <f>H61</f>
        <v>57102</v>
      </c>
      <c r="S61" s="242">
        <f t="shared" ref="S61:V62" si="51">I61</f>
        <v>59618</v>
      </c>
      <c r="T61" s="242">
        <f t="shared" si="51"/>
        <v>82707</v>
      </c>
      <c r="U61" s="242">
        <f t="shared" si="51"/>
        <v>85863</v>
      </c>
      <c r="V61" s="242">
        <f t="shared" si="51"/>
        <v>285290</v>
      </c>
      <c r="W61" s="242">
        <f t="shared" ref="W61:AA62" si="52">M61</f>
        <v>86961</v>
      </c>
      <c r="X61" s="242">
        <f t="shared" si="52"/>
        <v>87871</v>
      </c>
      <c r="Y61" s="242">
        <f t="shared" si="52"/>
        <v>88753</v>
      </c>
      <c r="Z61" s="242">
        <f t="shared" si="52"/>
        <v>93744</v>
      </c>
      <c r="AA61" s="242">
        <f t="shared" si="52"/>
        <v>357329</v>
      </c>
      <c r="AB61" s="194">
        <v>92431</v>
      </c>
      <c r="AC61" s="194">
        <v>81679</v>
      </c>
      <c r="AD61" s="194">
        <v>90498.952496695405</v>
      </c>
      <c r="AE61" s="194">
        <v>98069.995171134913</v>
      </c>
      <c r="AF61" s="194">
        <v>362679</v>
      </c>
      <c r="AG61" s="194">
        <v>102322</v>
      </c>
      <c r="AH61" s="194">
        <v>111405</v>
      </c>
      <c r="AI61" s="194">
        <v>120463</v>
      </c>
      <c r="AJ61" s="194">
        <f>AK61-SUM(AG61:AI61)</f>
        <v>126482</v>
      </c>
      <c r="AK61" s="194">
        <v>460672</v>
      </c>
      <c r="AL61" s="194">
        <v>149039</v>
      </c>
      <c r="AM61" s="194">
        <v>161301</v>
      </c>
      <c r="AN61" s="194">
        <v>166298</v>
      </c>
      <c r="AO61" s="402"/>
    </row>
    <row r="62" spans="1:41" x14ac:dyDescent="0.35">
      <c r="A62" s="159"/>
      <c r="B62" s="167" t="s">
        <v>144</v>
      </c>
      <c r="C62" s="235">
        <v>0.25768618795873333</v>
      </c>
      <c r="D62" s="235">
        <v>0.30169910878840667</v>
      </c>
      <c r="E62" s="235">
        <v>0.29077503182265763</v>
      </c>
      <c r="F62" s="235">
        <v>0.22211238522033305</v>
      </c>
      <c r="G62" s="235">
        <v>0.26674671461498556</v>
      </c>
      <c r="H62" s="168">
        <f t="shared" ref="H62:Q62" si="53">H61/C61-1</f>
        <v>0.16518048442059308</v>
      </c>
      <c r="I62" s="168">
        <f t="shared" si="53"/>
        <v>0.15630636746251869</v>
      </c>
      <c r="J62" s="168">
        <f t="shared" si="53"/>
        <v>0.53890666865138437</v>
      </c>
      <c r="K62" s="168">
        <f t="shared" si="53"/>
        <v>0.54338252476048399</v>
      </c>
      <c r="L62" s="168">
        <f t="shared" si="53"/>
        <v>0.35889265181501639</v>
      </c>
      <c r="M62" s="168">
        <f t="shared" si="53"/>
        <v>0.52290637806031315</v>
      </c>
      <c r="N62" s="168">
        <f t="shared" si="53"/>
        <v>0.47390049984903881</v>
      </c>
      <c r="O62" s="168">
        <f t="shared" si="53"/>
        <v>7.3101430350514418E-2</v>
      </c>
      <c r="P62" s="168">
        <f t="shared" si="53"/>
        <v>9.178575172076453E-2</v>
      </c>
      <c r="Q62" s="168">
        <f t="shared" si="53"/>
        <v>0.25251147954712749</v>
      </c>
      <c r="R62" s="235">
        <f>H62</f>
        <v>0.16518048442059308</v>
      </c>
      <c r="S62" s="235">
        <f t="shared" si="51"/>
        <v>0.15630636746251869</v>
      </c>
      <c r="T62" s="235">
        <f t="shared" si="51"/>
        <v>0.53890666865138437</v>
      </c>
      <c r="U62" s="235">
        <f t="shared" si="51"/>
        <v>0.54338252476048399</v>
      </c>
      <c r="V62" s="235">
        <f>L62</f>
        <v>0.35889265181501639</v>
      </c>
      <c r="W62" s="235">
        <f t="shared" si="52"/>
        <v>0.52290637806031315</v>
      </c>
      <c r="X62" s="235">
        <f t="shared" si="52"/>
        <v>0.47390049984903881</v>
      </c>
      <c r="Y62" s="235">
        <f t="shared" si="52"/>
        <v>7.3101430350514418E-2</v>
      </c>
      <c r="Z62" s="235">
        <f t="shared" si="52"/>
        <v>9.178575172076453E-2</v>
      </c>
      <c r="AA62" s="235">
        <f t="shared" si="52"/>
        <v>0.25251147954712749</v>
      </c>
      <c r="AB62" s="168">
        <f>AB61/W61-1</f>
        <v>6.2901760559331166E-2</v>
      </c>
      <c r="AC62" s="168">
        <f>AC61/X61-1</f>
        <v>-7.0466934483504273E-2</v>
      </c>
      <c r="AD62" s="168">
        <f>AD61/Y61-1</f>
        <v>1.9672039217777382E-2</v>
      </c>
      <c r="AE62" s="168">
        <f t="shared" ref="AE62:AF62" si="54">AE61/Z61-1</f>
        <v>4.6146901893826975E-2</v>
      </c>
      <c r="AF62" s="168">
        <f t="shared" si="54"/>
        <v>1.4972196491188861E-2</v>
      </c>
      <c r="AG62" s="168">
        <f>AG61/AB61-1</f>
        <v>0.1070095530720212</v>
      </c>
      <c r="AH62" s="168">
        <f>AH61/AC61-1</f>
        <v>0.36393687483930992</v>
      </c>
      <c r="AI62" s="168">
        <f>AI61/AD61-1</f>
        <v>0.33109827988781126</v>
      </c>
      <c r="AJ62" s="168">
        <f t="shared" ref="AJ62:AN62" si="55">AJ61/AE61-1</f>
        <v>0.28971149411484465</v>
      </c>
      <c r="AK62" s="168">
        <f t="shared" si="55"/>
        <v>0.2701920982466588</v>
      </c>
      <c r="AL62" s="168">
        <f t="shared" si="55"/>
        <v>0.45656847989679639</v>
      </c>
      <c r="AM62" s="168">
        <f t="shared" si="55"/>
        <v>0.44787935909519327</v>
      </c>
      <c r="AN62" s="168">
        <f t="shared" si="55"/>
        <v>0.38049027502220589</v>
      </c>
      <c r="AO62" s="401"/>
    </row>
    <row r="63" spans="1:41" x14ac:dyDescent="0.35">
      <c r="A63" s="159"/>
      <c r="B63" s="167" t="s">
        <v>155</v>
      </c>
      <c r="C63" s="236">
        <v>0.26449313786220241</v>
      </c>
      <c r="D63" s="240">
        <v>0.30672714056653971</v>
      </c>
      <c r="E63" s="235">
        <v>0.28622381929732188</v>
      </c>
      <c r="F63" s="235">
        <v>0.21556896689772653</v>
      </c>
      <c r="G63" s="235">
        <v>0.2666081850078057</v>
      </c>
      <c r="H63" s="168">
        <v>0.15791931376504653</v>
      </c>
      <c r="I63" s="168">
        <v>0.1540402023110381</v>
      </c>
      <c r="J63" s="169">
        <v>0.5407405328511683</v>
      </c>
      <c r="K63" s="169">
        <v>0.54969054598859524</v>
      </c>
      <c r="L63" s="168">
        <v>0.35878167493354329</v>
      </c>
      <c r="M63" s="168">
        <v>0.53100000000000003</v>
      </c>
      <c r="N63" s="176">
        <v>0.47899999999999998</v>
      </c>
      <c r="O63" s="176">
        <v>7.8E-2</v>
      </c>
      <c r="P63" s="176">
        <v>0.09</v>
      </c>
      <c r="Q63" s="168">
        <v>0.25600000000000001</v>
      </c>
      <c r="R63" s="344">
        <f>H63</f>
        <v>0.15791931376504653</v>
      </c>
      <c r="S63" s="344">
        <f t="shared" ref="S63:U65" si="56">I63</f>
        <v>0.1540402023110381</v>
      </c>
      <c r="T63" s="344">
        <f t="shared" si="56"/>
        <v>0.5407405328511683</v>
      </c>
      <c r="U63" s="344">
        <f t="shared" si="56"/>
        <v>0.54969054598859524</v>
      </c>
      <c r="V63" s="344">
        <f>L63</f>
        <v>0.35878167493354329</v>
      </c>
      <c r="W63" s="344">
        <f t="shared" ref="W63:AA65" si="57">M63</f>
        <v>0.53100000000000003</v>
      </c>
      <c r="X63" s="344">
        <f t="shared" si="57"/>
        <v>0.47899999999999998</v>
      </c>
      <c r="Y63" s="344">
        <f t="shared" si="57"/>
        <v>7.8E-2</v>
      </c>
      <c r="Z63" s="344">
        <f t="shared" si="57"/>
        <v>0.09</v>
      </c>
      <c r="AA63" s="344">
        <f t="shared" si="57"/>
        <v>0.25600000000000001</v>
      </c>
      <c r="AB63" s="176">
        <v>6.6205178752887672E-2</v>
      </c>
      <c r="AC63" s="176">
        <v>-6.8137737405081777E-2</v>
      </c>
      <c r="AD63" s="176">
        <v>1.6102449288212473E-2</v>
      </c>
      <c r="AE63" s="176">
        <v>4.4702534273172612E-2</v>
      </c>
      <c r="AF63" s="176">
        <v>1.5083119496305475E-2</v>
      </c>
      <c r="AG63" s="176">
        <v>0.10005088587135669</v>
      </c>
      <c r="AH63" s="176">
        <v>0.35135000790399151</v>
      </c>
      <c r="AI63" s="176">
        <v>0.32679047851373277</v>
      </c>
      <c r="AJ63" s="176">
        <v>0.28887038058699699</v>
      </c>
      <c r="AK63" s="176">
        <v>0.2642814773706359</v>
      </c>
      <c r="AL63" s="176">
        <v>0.46000319655332511</v>
      </c>
      <c r="AM63" s="176">
        <v>0.45982518231785119</v>
      </c>
      <c r="AN63" s="176">
        <v>0.39445060262651221</v>
      </c>
      <c r="AO63" s="401"/>
    </row>
    <row r="64" spans="1:41" x14ac:dyDescent="0.35">
      <c r="A64" s="159"/>
      <c r="B64" s="167" t="s">
        <v>56</v>
      </c>
      <c r="C64" s="237">
        <f>ROUND(17250.6004479698,0)</f>
        <v>17251</v>
      </c>
      <c r="D64" s="237">
        <f>ROUND(17907.9207157307,0)</f>
        <v>17908</v>
      </c>
      <c r="E64" s="237">
        <f>ROUND(18114.961717834,0)-1</f>
        <v>18114</v>
      </c>
      <c r="F64" s="237">
        <f>ROUND(+G64-SUM(C64,D64,E64),0)</f>
        <v>19710</v>
      </c>
      <c r="G64" s="237">
        <f>ROUND(72983.3295386044,0)</f>
        <v>72983</v>
      </c>
      <c r="H64" s="170">
        <v>19027</v>
      </c>
      <c r="I64" s="170">
        <v>20962</v>
      </c>
      <c r="J64" s="170">
        <v>29069</v>
      </c>
      <c r="K64" s="170">
        <f>+L64-SUM(H64:J64)</f>
        <v>31628</v>
      </c>
      <c r="L64" s="170">
        <v>100686</v>
      </c>
      <c r="M64" s="170">
        <v>30059</v>
      </c>
      <c r="N64" s="170">
        <v>30440</v>
      </c>
      <c r="O64" s="170">
        <v>30920</v>
      </c>
      <c r="P64" s="170">
        <f>+Q64-SUM(M64:O64)</f>
        <v>34665</v>
      </c>
      <c r="Q64" s="170">
        <v>126084</v>
      </c>
      <c r="R64" s="237">
        <f>H64</f>
        <v>19027</v>
      </c>
      <c r="S64" s="237">
        <f t="shared" si="56"/>
        <v>20962</v>
      </c>
      <c r="T64" s="237">
        <f t="shared" si="56"/>
        <v>29069</v>
      </c>
      <c r="U64" s="237">
        <f t="shared" si="56"/>
        <v>31628</v>
      </c>
      <c r="V64" s="237">
        <f>L64</f>
        <v>100686</v>
      </c>
      <c r="W64" s="237">
        <f t="shared" si="57"/>
        <v>30059</v>
      </c>
      <c r="X64" s="237">
        <f t="shared" si="57"/>
        <v>30440</v>
      </c>
      <c r="Y64" s="237">
        <f t="shared" si="57"/>
        <v>30920</v>
      </c>
      <c r="Z64" s="237">
        <f t="shared" si="57"/>
        <v>34665</v>
      </c>
      <c r="AA64" s="237">
        <f t="shared" si="57"/>
        <v>126084</v>
      </c>
      <c r="AB64" s="170">
        <v>33815</v>
      </c>
      <c r="AC64" s="170">
        <v>24447</v>
      </c>
      <c r="AD64" s="170">
        <v>34027.680296218474</v>
      </c>
      <c r="AE64" s="170">
        <f>AF64-SUM(AB64:AD64)</f>
        <v>40939.319703781526</v>
      </c>
      <c r="AF64" s="170">
        <v>133229</v>
      </c>
      <c r="AG64" s="170">
        <v>37829</v>
      </c>
      <c r="AH64" s="170">
        <v>40094</v>
      </c>
      <c r="AI64" s="170">
        <v>44927</v>
      </c>
      <c r="AJ64" s="170">
        <f>AK64-SUM(AG64:AI64)</f>
        <v>47914</v>
      </c>
      <c r="AK64" s="170">
        <v>170764</v>
      </c>
      <c r="AL64" s="170">
        <v>53469</v>
      </c>
      <c r="AM64" s="170">
        <v>59647</v>
      </c>
      <c r="AN64" s="170">
        <v>60359</v>
      </c>
      <c r="AO64" s="276"/>
    </row>
    <row r="65" spans="1:42" x14ac:dyDescent="0.35">
      <c r="A65" s="159"/>
      <c r="B65" s="167" t="s">
        <v>58</v>
      </c>
      <c r="C65" s="236">
        <f t="shared" ref="C65:Q65" si="58">C64/C61</f>
        <v>0.35201093721305121</v>
      </c>
      <c r="D65" s="236">
        <f t="shared" si="58"/>
        <v>0.34733024302255666</v>
      </c>
      <c r="E65" s="236">
        <f t="shared" si="58"/>
        <v>0.3370422744864543</v>
      </c>
      <c r="F65" s="236">
        <f t="shared" si="58"/>
        <v>0.35428612514155267</v>
      </c>
      <c r="G65" s="236">
        <f t="shared" si="58"/>
        <v>0.34763245261809156</v>
      </c>
      <c r="H65" s="169">
        <f t="shared" si="58"/>
        <v>0.33321074568316345</v>
      </c>
      <c r="I65" s="169">
        <f t="shared" si="58"/>
        <v>0.35160521990003019</v>
      </c>
      <c r="J65" s="169">
        <f t="shared" si="58"/>
        <v>0.35146964585827078</v>
      </c>
      <c r="K65" s="169">
        <f t="shared" si="58"/>
        <v>0.36835423872913831</v>
      </c>
      <c r="L65" s="169">
        <f t="shared" si="58"/>
        <v>0.35292509376423992</v>
      </c>
      <c r="M65" s="169">
        <f t="shared" si="58"/>
        <v>0.34566069847402858</v>
      </c>
      <c r="N65" s="169">
        <f t="shared" si="58"/>
        <v>0.34641690660172297</v>
      </c>
      <c r="O65" s="169">
        <f t="shared" si="58"/>
        <v>0.34838258988428561</v>
      </c>
      <c r="P65" s="169">
        <f t="shared" si="58"/>
        <v>0.36978366615463387</v>
      </c>
      <c r="Q65" s="169">
        <f t="shared" si="58"/>
        <v>0.35285129390561637</v>
      </c>
      <c r="R65" s="236">
        <f>H65</f>
        <v>0.33321074568316345</v>
      </c>
      <c r="S65" s="236">
        <f t="shared" si="56"/>
        <v>0.35160521990003019</v>
      </c>
      <c r="T65" s="236">
        <f t="shared" si="56"/>
        <v>0.35146964585827078</v>
      </c>
      <c r="U65" s="236">
        <f t="shared" si="56"/>
        <v>0.36835423872913831</v>
      </c>
      <c r="V65" s="236">
        <f>L65</f>
        <v>0.35292509376423992</v>
      </c>
      <c r="W65" s="236">
        <f t="shared" si="57"/>
        <v>0.34566069847402858</v>
      </c>
      <c r="X65" s="236">
        <f t="shared" si="57"/>
        <v>0.34641690660172297</v>
      </c>
      <c r="Y65" s="236">
        <f t="shared" si="57"/>
        <v>0.34838258988428561</v>
      </c>
      <c r="Z65" s="236">
        <f t="shared" si="57"/>
        <v>0.36978366615463387</v>
      </c>
      <c r="AA65" s="236">
        <f t="shared" si="57"/>
        <v>0.35285129390561637</v>
      </c>
      <c r="AB65" s="169">
        <f t="shared" ref="AB65:AL65" si="59">AB64/AB61</f>
        <v>0.36584046477913257</v>
      </c>
      <c r="AC65" s="169">
        <f t="shared" si="59"/>
        <v>0.29930581912119392</v>
      </c>
      <c r="AD65" s="169">
        <f t="shared" si="59"/>
        <v>0.37600081942894314</v>
      </c>
      <c r="AE65" s="169">
        <f t="shared" si="59"/>
        <v>0.41745000223912782</v>
      </c>
      <c r="AF65" s="169">
        <f t="shared" si="59"/>
        <v>0.36734688250491482</v>
      </c>
      <c r="AG65" s="169">
        <f t="shared" si="59"/>
        <v>0.36970543969038916</v>
      </c>
      <c r="AH65" s="169">
        <f t="shared" si="59"/>
        <v>0.35989408015798213</v>
      </c>
      <c r="AI65" s="169">
        <f t="shared" si="59"/>
        <v>0.3729526908677353</v>
      </c>
      <c r="AJ65" s="169">
        <f t="shared" si="59"/>
        <v>0.37882070175993421</v>
      </c>
      <c r="AK65" s="169">
        <f t="shared" si="59"/>
        <v>0.37068456515698806</v>
      </c>
      <c r="AL65" s="169">
        <f t="shared" si="59"/>
        <v>0.35875844577593785</v>
      </c>
      <c r="AM65" s="169">
        <f t="shared" ref="AM65" si="60">AM64/AM61</f>
        <v>0.36978692010588898</v>
      </c>
      <c r="AN65" s="169">
        <f>AN64/AN61</f>
        <v>0.36295686057559323</v>
      </c>
      <c r="AO65" s="401"/>
    </row>
    <row r="66" spans="1:42" x14ac:dyDescent="0.35">
      <c r="A66" s="159"/>
      <c r="B66" s="167"/>
      <c r="C66" s="236"/>
      <c r="D66" s="239"/>
      <c r="E66" s="239"/>
      <c r="F66" s="239"/>
      <c r="G66" s="239"/>
      <c r="K66" s="158"/>
      <c r="L66" s="158"/>
      <c r="M66" s="158"/>
      <c r="N66" s="158"/>
      <c r="O66" s="158"/>
      <c r="P66" s="158"/>
      <c r="Q66" s="158"/>
      <c r="R66" s="236"/>
      <c r="S66" s="239"/>
      <c r="T66" s="239"/>
      <c r="U66" s="239"/>
      <c r="V66" s="239"/>
      <c r="W66" s="236"/>
      <c r="X66" s="239"/>
      <c r="Y66" s="239"/>
      <c r="Z66" s="239"/>
      <c r="AA66" s="239"/>
      <c r="AO66" s="276"/>
    </row>
    <row r="67" spans="1:42" x14ac:dyDescent="0.35">
      <c r="A67" s="164"/>
      <c r="B67" s="165" t="s">
        <v>81</v>
      </c>
      <c r="C67" s="166">
        <f t="shared" ref="C67:AL67" si="61">+C61+C17</f>
        <v>183033</v>
      </c>
      <c r="D67" s="166">
        <f t="shared" si="61"/>
        <v>189057</v>
      </c>
      <c r="E67" s="166">
        <f t="shared" si="61"/>
        <v>192345</v>
      </c>
      <c r="F67" s="166">
        <f t="shared" si="61"/>
        <v>197875</v>
      </c>
      <c r="G67" s="166">
        <f t="shared" si="61"/>
        <v>762310</v>
      </c>
      <c r="H67" s="166">
        <f t="shared" si="61"/>
        <v>206973</v>
      </c>
      <c r="I67" s="166">
        <f t="shared" si="61"/>
        <v>210112</v>
      </c>
      <c r="J67" s="166">
        <f t="shared" si="61"/>
        <v>231124</v>
      </c>
      <c r="K67" s="166">
        <f t="shared" si="61"/>
        <v>234903</v>
      </c>
      <c r="L67" s="166">
        <f t="shared" si="61"/>
        <v>883112</v>
      </c>
      <c r="M67" s="166">
        <f t="shared" si="61"/>
        <v>239573</v>
      </c>
      <c r="N67" s="166">
        <f t="shared" si="61"/>
        <v>243509</v>
      </c>
      <c r="O67" s="166">
        <f t="shared" si="61"/>
        <v>251392</v>
      </c>
      <c r="P67" s="166">
        <f t="shared" si="61"/>
        <v>256872</v>
      </c>
      <c r="Q67" s="166">
        <f t="shared" si="61"/>
        <v>991346</v>
      </c>
      <c r="R67" s="342">
        <f t="shared" si="61"/>
        <v>206972.96685598622</v>
      </c>
      <c r="S67" s="342">
        <f t="shared" si="61"/>
        <v>210112.46117321268</v>
      </c>
      <c r="T67" s="342">
        <f t="shared" si="61"/>
        <v>231123.88236976153</v>
      </c>
      <c r="U67" s="342">
        <f t="shared" si="61"/>
        <v>234903.3301324464</v>
      </c>
      <c r="V67" s="342">
        <f t="shared" si="61"/>
        <v>883111.64053140674</v>
      </c>
      <c r="W67" s="342">
        <f t="shared" si="61"/>
        <v>239573</v>
      </c>
      <c r="X67" s="342">
        <f t="shared" si="61"/>
        <v>243509</v>
      </c>
      <c r="Y67" s="342">
        <f t="shared" si="61"/>
        <v>251392</v>
      </c>
      <c r="Z67" s="342">
        <f t="shared" si="61"/>
        <v>256872</v>
      </c>
      <c r="AA67" s="342">
        <f t="shared" si="61"/>
        <v>991346</v>
      </c>
      <c r="AB67" s="342">
        <f t="shared" si="61"/>
        <v>245990</v>
      </c>
      <c r="AC67" s="342">
        <f t="shared" si="61"/>
        <v>222473</v>
      </c>
      <c r="AD67" s="342">
        <f t="shared" si="61"/>
        <v>241018.09034936316</v>
      </c>
      <c r="AE67" s="342">
        <f t="shared" si="61"/>
        <v>248952.85731846714</v>
      </c>
      <c r="AF67" s="342">
        <f t="shared" si="61"/>
        <v>958434</v>
      </c>
      <c r="AG67" s="342">
        <f t="shared" si="61"/>
        <v>261415</v>
      </c>
      <c r="AH67" s="342">
        <f t="shared" si="61"/>
        <v>275064</v>
      </c>
      <c r="AI67" s="342">
        <f t="shared" si="61"/>
        <v>290325</v>
      </c>
      <c r="AJ67" s="342">
        <f t="shared" si="61"/>
        <v>295489</v>
      </c>
      <c r="AK67" s="342">
        <f t="shared" si="61"/>
        <v>1122293</v>
      </c>
      <c r="AL67" s="342">
        <f t="shared" si="61"/>
        <v>329208</v>
      </c>
      <c r="AM67" s="342">
        <f t="shared" ref="AM67:AN67" si="62">+AM61+AM17</f>
        <v>346782</v>
      </c>
      <c r="AN67" s="342">
        <f t="shared" si="62"/>
        <v>361351</v>
      </c>
      <c r="AO67" s="346"/>
    </row>
    <row r="68" spans="1:42" x14ac:dyDescent="0.35">
      <c r="A68" s="159"/>
      <c r="B68" s="167"/>
      <c r="C68" s="284"/>
      <c r="D68" s="284"/>
      <c r="E68" s="284"/>
      <c r="F68" s="284"/>
      <c r="G68" s="284"/>
      <c r="K68" s="158"/>
      <c r="L68" s="158"/>
      <c r="M68" s="158"/>
      <c r="N68" s="158"/>
      <c r="O68" s="158"/>
      <c r="P68" s="158"/>
      <c r="Q68" s="158"/>
      <c r="R68" s="346"/>
      <c r="S68" s="346"/>
      <c r="T68" s="346"/>
      <c r="U68" s="346"/>
      <c r="V68" s="346"/>
      <c r="W68" s="343"/>
      <c r="X68" s="343"/>
      <c r="Y68" s="343"/>
      <c r="Z68" s="343"/>
      <c r="AA68" s="343"/>
      <c r="AO68" s="276"/>
    </row>
    <row r="69" spans="1:42" hidden="1" x14ac:dyDescent="0.35">
      <c r="A69" s="159"/>
      <c r="B69" s="378"/>
      <c r="C69" s="169"/>
      <c r="K69" s="158"/>
      <c r="L69" s="158"/>
      <c r="M69" s="158"/>
      <c r="N69" s="158"/>
      <c r="O69" s="158"/>
      <c r="P69" s="158"/>
      <c r="Q69" s="158"/>
      <c r="R69" s="158"/>
      <c r="S69" s="158"/>
      <c r="T69" s="158"/>
      <c r="U69" s="158"/>
      <c r="V69" s="158"/>
      <c r="W69" s="259"/>
      <c r="AO69" s="276"/>
    </row>
    <row r="70" spans="1:42" hidden="1" x14ac:dyDescent="0.35">
      <c r="A70" s="159"/>
      <c r="B70" s="379"/>
      <c r="C70" s="169"/>
      <c r="K70" s="158"/>
      <c r="L70" s="158"/>
      <c r="M70" s="158"/>
      <c r="N70" s="158"/>
      <c r="O70" s="158"/>
      <c r="P70" s="158"/>
      <c r="Q70" s="158"/>
      <c r="R70" s="158"/>
      <c r="S70" s="158"/>
      <c r="T70" s="158"/>
      <c r="U70" s="158"/>
      <c r="V70" s="158"/>
      <c r="W70" s="259"/>
      <c r="AO70" s="276"/>
    </row>
    <row r="71" spans="1:42" x14ac:dyDescent="0.35">
      <c r="A71" s="159"/>
      <c r="B71" s="175"/>
      <c r="C71" s="169"/>
      <c r="K71" s="158"/>
      <c r="L71" s="158"/>
      <c r="M71" s="158"/>
      <c r="N71" s="158"/>
      <c r="O71" s="158"/>
      <c r="P71" s="158"/>
      <c r="Q71" s="158"/>
      <c r="R71" s="158"/>
      <c r="S71" s="158"/>
      <c r="T71" s="158"/>
      <c r="U71" s="158"/>
      <c r="V71" s="158"/>
      <c r="W71" s="259"/>
      <c r="AO71" s="276"/>
    </row>
    <row r="72" spans="1:42" x14ac:dyDescent="0.35">
      <c r="A72" s="159"/>
      <c r="B72" s="380" t="s">
        <v>258</v>
      </c>
      <c r="C72" s="169"/>
      <c r="K72" s="158"/>
      <c r="L72" s="158"/>
      <c r="M72" s="158"/>
      <c r="N72" s="158"/>
      <c r="O72" s="158"/>
      <c r="P72" s="158"/>
      <c r="Q72" s="158"/>
      <c r="R72" s="158"/>
      <c r="S72" s="158"/>
      <c r="T72" s="158"/>
      <c r="U72" s="158"/>
      <c r="V72" s="158"/>
      <c r="W72" s="259"/>
      <c r="AO72" s="276"/>
    </row>
    <row r="73" spans="1:42" x14ac:dyDescent="0.35">
      <c r="A73" s="159"/>
      <c r="B73" s="380" t="s">
        <v>224</v>
      </c>
      <c r="C73" s="169"/>
      <c r="K73" s="158"/>
      <c r="L73" s="158"/>
      <c r="M73" s="158"/>
      <c r="N73" s="158"/>
      <c r="O73" s="158"/>
      <c r="P73" s="158"/>
      <c r="Q73" s="158"/>
      <c r="R73" s="158"/>
      <c r="S73" s="158"/>
      <c r="T73" s="158"/>
      <c r="U73" s="158"/>
      <c r="V73" s="158"/>
      <c r="W73" s="259"/>
      <c r="AO73" s="276"/>
    </row>
    <row r="74" spans="1:42" x14ac:dyDescent="0.35">
      <c r="A74" s="159"/>
      <c r="B74" s="167" t="s">
        <v>264</v>
      </c>
      <c r="C74" s="169"/>
      <c r="K74" s="158"/>
      <c r="L74" s="158"/>
      <c r="M74" s="158"/>
      <c r="N74" s="158"/>
      <c r="O74" s="158"/>
      <c r="P74" s="158"/>
      <c r="Q74" s="158"/>
      <c r="R74" s="158"/>
      <c r="S74" s="158"/>
      <c r="T74" s="158"/>
      <c r="U74" s="158"/>
      <c r="V74" s="158"/>
      <c r="W74" s="259"/>
      <c r="AO74" s="276"/>
    </row>
    <row r="75" spans="1:42" x14ac:dyDescent="0.35">
      <c r="A75" s="159"/>
      <c r="B75" s="167"/>
      <c r="C75" s="169"/>
      <c r="K75" s="158"/>
      <c r="L75" s="158"/>
      <c r="M75" s="158"/>
      <c r="N75" s="158"/>
      <c r="O75" s="158"/>
      <c r="P75" s="158"/>
      <c r="Q75" s="158"/>
      <c r="R75" s="158"/>
      <c r="S75" s="158"/>
      <c r="T75" s="158"/>
      <c r="U75" s="158"/>
      <c r="V75" s="158"/>
      <c r="W75" s="259"/>
      <c r="AO75" s="276"/>
    </row>
    <row r="76" spans="1:42" ht="24" x14ac:dyDescent="0.35">
      <c r="A76" s="164"/>
      <c r="B76" s="165" t="s">
        <v>259</v>
      </c>
      <c r="C76" s="178"/>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276"/>
    </row>
    <row r="77" spans="1:42" x14ac:dyDescent="0.35">
      <c r="A77" s="159"/>
      <c r="B77" s="360" t="s">
        <v>148</v>
      </c>
      <c r="C77" s="361">
        <v>77240.412532799455</v>
      </c>
      <c r="D77" s="361">
        <v>79617.534971087662</v>
      </c>
      <c r="E77" s="361">
        <v>80949.247830402906</v>
      </c>
      <c r="F77" s="361">
        <v>83284.909143715704</v>
      </c>
      <c r="G77" s="361">
        <f>C77+D77+E77+F77</f>
        <v>321092.10447800573</v>
      </c>
      <c r="H77" s="361">
        <v>90659.480287046856</v>
      </c>
      <c r="I77" s="361">
        <v>93663.40367665753</v>
      </c>
      <c r="J77" s="361">
        <v>96028.058361202435</v>
      </c>
      <c r="K77" s="361">
        <v>95227.546474638701</v>
      </c>
      <c r="L77" s="361">
        <f>H77+I77+J77+K77</f>
        <v>375578.48879954551</v>
      </c>
      <c r="M77" s="361">
        <v>100958.7534962692</v>
      </c>
      <c r="N77" s="361">
        <v>103525.8957768306</v>
      </c>
      <c r="O77" s="361">
        <v>109286.83625354461</v>
      </c>
      <c r="P77" s="361">
        <v>107198.73751952131</v>
      </c>
      <c r="Q77" s="361">
        <v>420970.22304616572</v>
      </c>
      <c r="R77" s="361">
        <v>90659.480287046856</v>
      </c>
      <c r="S77" s="361">
        <v>93663.40367665753</v>
      </c>
      <c r="T77" s="361">
        <v>96028.058361202435</v>
      </c>
      <c r="U77" s="361">
        <v>95227.546474638701</v>
      </c>
      <c r="V77" s="361">
        <f>SUM(R77:U77)</f>
        <v>375578.48879954551</v>
      </c>
      <c r="W77" s="361">
        <v>100958.7534962692</v>
      </c>
      <c r="X77" s="361">
        <v>103525.8957768306</v>
      </c>
      <c r="Y77" s="361">
        <v>109286.83625354461</v>
      </c>
      <c r="Z77" s="361">
        <v>107198.73751952131</v>
      </c>
      <c r="AA77" s="361">
        <v>420970.22304616572</v>
      </c>
      <c r="AB77" s="361">
        <v>107827.65817521796</v>
      </c>
      <c r="AC77" s="361">
        <v>100706.54271371941</v>
      </c>
      <c r="AD77" s="361">
        <v>109678.25203491189</v>
      </c>
      <c r="AE77" s="361">
        <v>111185.3843587006</v>
      </c>
      <c r="AF77" s="361">
        <f>AB77+AC77+AD77+AE77</f>
        <v>429397.83728254982</v>
      </c>
      <c r="AG77" s="361">
        <v>118368.74818935194</v>
      </c>
      <c r="AH77" s="361">
        <v>122992.8981440388</v>
      </c>
      <c r="AI77" s="361">
        <v>128642.32559993613</v>
      </c>
      <c r="AJ77" s="361">
        <v>127736.86740445091</v>
      </c>
      <c r="AK77" s="361">
        <v>497740.83933777775</v>
      </c>
      <c r="AL77" s="361">
        <v>135664.43661664976</v>
      </c>
      <c r="AM77" s="361">
        <v>141898.90936728878</v>
      </c>
      <c r="AN77" s="361">
        <v>149334.60774529996</v>
      </c>
      <c r="AO77" s="276"/>
      <c r="AP77" s="400"/>
    </row>
    <row r="78" spans="1:42" x14ac:dyDescent="0.35">
      <c r="A78" s="180"/>
      <c r="B78" s="179" t="s">
        <v>129</v>
      </c>
      <c r="C78" s="362">
        <f>C77/$C$67</f>
        <v>0.42200265816983523</v>
      </c>
      <c r="D78" s="362">
        <f>D77/$D$67</f>
        <v>0.42112979139141987</v>
      </c>
      <c r="E78" s="362">
        <f>E77/$E$67</f>
        <v>0.42085444295616165</v>
      </c>
      <c r="F78" s="362">
        <f>F77/$F$67</f>
        <v>0.42089657179388856</v>
      </c>
      <c r="G78" s="362">
        <f>G77/$G$67</f>
        <v>0.42120935640094676</v>
      </c>
      <c r="H78" s="362"/>
      <c r="I78" s="362"/>
      <c r="J78" s="362"/>
      <c r="K78" s="362"/>
      <c r="L78" s="362"/>
      <c r="M78" s="362"/>
      <c r="N78" s="362"/>
      <c r="O78" s="362"/>
      <c r="P78" s="362"/>
      <c r="Q78" s="362"/>
      <c r="R78" s="344">
        <f>R77/SUM(R$77,R$81,R$85)</f>
        <v>0.43802570772505084</v>
      </c>
      <c r="S78" s="344">
        <f>S77/SUM(S$77,S$81,S$85)</f>
        <v>0.44577748103880055</v>
      </c>
      <c r="T78" s="344">
        <f>T77/SUM(T$77,T$81,T$85)</f>
        <v>0.41548306205575408</v>
      </c>
      <c r="U78" s="344">
        <f>U77/SUM(U$77,U$81,U$85)</f>
        <v>0.40539036386136468</v>
      </c>
      <c r="V78" s="344">
        <f>V77/SUM(V$77,V$81,V$85)</f>
        <v>0.4252899311502038</v>
      </c>
      <c r="W78" s="344">
        <f>W77/$W$67</f>
        <v>0.42141123372111716</v>
      </c>
      <c r="X78" s="344">
        <f>X77/$X$67</f>
        <v>0.42514196919551472</v>
      </c>
      <c r="Y78" s="344">
        <f>Y77/$Y$67</f>
        <v>0.43472678626823691</v>
      </c>
      <c r="Z78" s="344">
        <f>Z77/$Z$67</f>
        <v>0.41732356005917853</v>
      </c>
      <c r="AA78" s="344">
        <f>AA77/$AA$67</f>
        <v>0.42464510175676878</v>
      </c>
      <c r="AB78" s="251">
        <f>AB77/$AB$67</f>
        <v>0.43834163248594643</v>
      </c>
      <c r="AC78" s="251">
        <f>AC77/$AC$67</f>
        <v>0.45266860569021594</v>
      </c>
      <c r="AD78" s="251">
        <f>AD77/$AD$67</f>
        <v>0.45506232281539477</v>
      </c>
      <c r="AE78" s="251">
        <f>AE77/$AE$67</f>
        <v>0.44661220423941261</v>
      </c>
      <c r="AF78" s="251">
        <f>AF77/$AF$67</f>
        <v>0.4480202468636858</v>
      </c>
      <c r="AG78" s="251">
        <f>AG77/$AG$67</f>
        <v>0.45280013843640166</v>
      </c>
      <c r="AH78" s="251">
        <f>AH77/$AH$67</f>
        <v>0.44714284000828464</v>
      </c>
      <c r="AI78" s="251">
        <f>AI77/$AI$67</f>
        <v>0.44309765125268624</v>
      </c>
      <c r="AJ78" s="251">
        <f>AJ77/$AJ$67</f>
        <v>0.43228975496363964</v>
      </c>
      <c r="AK78" s="251">
        <f>AK77/$AK$67</f>
        <v>0.44350346953761427</v>
      </c>
      <c r="AL78" s="251">
        <f>AL77/AL$67</f>
        <v>0.4120933774897626</v>
      </c>
      <c r="AM78" s="251">
        <f>AM77/AM$67</f>
        <v>0.40918764343965019</v>
      </c>
      <c r="AN78" s="251">
        <f>AN77/AN$67</f>
        <v>0.41326745393066566</v>
      </c>
      <c r="AO78" s="401"/>
    </row>
    <row r="79" spans="1:42" x14ac:dyDescent="0.35">
      <c r="A79" s="180"/>
      <c r="B79" s="179" t="s">
        <v>127</v>
      </c>
      <c r="C79" s="362"/>
      <c r="D79" s="362"/>
      <c r="E79" s="362"/>
      <c r="F79" s="362"/>
      <c r="G79" s="362"/>
      <c r="H79" s="251"/>
      <c r="I79" s="251"/>
      <c r="J79" s="251"/>
      <c r="K79" s="251"/>
      <c r="L79" s="363"/>
      <c r="M79" s="251"/>
      <c r="N79" s="251"/>
      <c r="O79" s="251"/>
      <c r="P79" s="251"/>
      <c r="Q79" s="363"/>
      <c r="R79" s="344">
        <f>R77/F77-1</f>
        <v>8.8546307117963741E-2</v>
      </c>
      <c r="S79" s="344">
        <f>S77/R77-1</f>
        <v>3.3134134236150858E-2</v>
      </c>
      <c r="T79" s="344">
        <f t="shared" ref="T79:U79" si="63">T77/S77-1</f>
        <v>2.5246303163486417E-2</v>
      </c>
      <c r="U79" s="344">
        <f t="shared" si="63"/>
        <v>-8.3362290170719833E-3</v>
      </c>
      <c r="V79" s="359" t="s">
        <v>80</v>
      </c>
      <c r="W79" s="344">
        <f>W77/U77-1</f>
        <v>6.0184339865953174E-2</v>
      </c>
      <c r="X79" s="344">
        <f>X77/W77-1</f>
        <v>2.5427634471103744E-2</v>
      </c>
      <c r="Y79" s="344">
        <f>Y77/X77-1</f>
        <v>5.5647337639394001E-2</v>
      </c>
      <c r="Z79" s="344">
        <f>Z77/Y77-1</f>
        <v>-1.9106589646157635E-2</v>
      </c>
      <c r="AA79" s="359" t="s">
        <v>80</v>
      </c>
      <c r="AB79" s="251">
        <f>AB77/Z77-1</f>
        <v>5.8668662546714767E-3</v>
      </c>
      <c r="AC79" s="251">
        <f>AC77/AB77-1</f>
        <v>-6.60416407256742E-2</v>
      </c>
      <c r="AD79" s="251">
        <f>AD77/AC77-1</f>
        <v>8.9087650905627314E-2</v>
      </c>
      <c r="AE79" s="251">
        <f>AE77/AD77-1</f>
        <v>1.3741396273428741E-2</v>
      </c>
      <c r="AF79" s="358" t="s">
        <v>80</v>
      </c>
      <c r="AG79" s="251">
        <f>AG77/AE77-1</f>
        <v>6.4607087272161134E-2</v>
      </c>
      <c r="AH79" s="251">
        <f>AH77/AG77-1</f>
        <v>3.9065631979901427E-2</v>
      </c>
      <c r="AI79" s="251">
        <f>AI77/AH77-1</f>
        <v>4.5932956627147581E-2</v>
      </c>
      <c r="AJ79" s="251">
        <f t="shared" ref="AJ79" si="64">AJ77/AI77-1</f>
        <v>-7.038571413121808E-3</v>
      </c>
      <c r="AK79" s="363" t="s">
        <v>80</v>
      </c>
      <c r="AL79" s="363">
        <f>AL77/AJ77-1</f>
        <v>6.2061716192694183E-2</v>
      </c>
      <c r="AM79" s="363">
        <f>AM77/AL77-1</f>
        <v>4.5955099996146442E-2</v>
      </c>
      <c r="AN79" s="363">
        <f>AN77/AM77-1</f>
        <v>5.2401377932826287E-2</v>
      </c>
      <c r="AO79" s="401"/>
    </row>
    <row r="80" spans="1:42" x14ac:dyDescent="0.35">
      <c r="A80" s="180"/>
      <c r="B80" s="179" t="s">
        <v>128</v>
      </c>
      <c r="C80" s="362"/>
      <c r="D80" s="362"/>
      <c r="E80" s="362"/>
      <c r="F80" s="362"/>
      <c r="G80" s="362"/>
      <c r="H80" s="251"/>
      <c r="I80" s="251"/>
      <c r="J80" s="251"/>
      <c r="K80" s="251"/>
      <c r="L80" s="251"/>
      <c r="M80" s="251"/>
      <c r="N80" s="251"/>
      <c r="O80" s="251"/>
      <c r="P80" s="251"/>
      <c r="Q80" s="251"/>
      <c r="R80" s="344">
        <f>R77/C77-1</f>
        <v>0.17373117664990612</v>
      </c>
      <c r="S80" s="344">
        <f t="shared" ref="S80:V80" si="65">S77/D77-1</f>
        <v>0.17641677440365977</v>
      </c>
      <c r="T80" s="344">
        <f t="shared" si="65"/>
        <v>0.18627486894493694</v>
      </c>
      <c r="U80" s="344">
        <f t="shared" si="65"/>
        <v>0.14339497339565899</v>
      </c>
      <c r="V80" s="344">
        <f t="shared" si="65"/>
        <v>0.16969082565925264</v>
      </c>
      <c r="W80" s="344">
        <f t="shared" ref="W80:AI80" si="66">W77/R77-1</f>
        <v>0.11360392952411269</v>
      </c>
      <c r="X80" s="344">
        <f t="shared" si="66"/>
        <v>0.10529717811900285</v>
      </c>
      <c r="Y80" s="344">
        <f t="shared" si="66"/>
        <v>0.13807191479880032</v>
      </c>
      <c r="Z80" s="344">
        <f t="shared" si="66"/>
        <v>0.12571143002272778</v>
      </c>
      <c r="AA80" s="344">
        <f t="shared" si="66"/>
        <v>0.12085818437500229</v>
      </c>
      <c r="AB80" s="251">
        <f t="shared" si="66"/>
        <v>6.8036742145420659E-2</v>
      </c>
      <c r="AC80" s="251">
        <f t="shared" si="66"/>
        <v>-2.7233312418651567E-2</v>
      </c>
      <c r="AD80" s="251">
        <f t="shared" si="66"/>
        <v>3.5815455436847277E-3</v>
      </c>
      <c r="AE80" s="251">
        <f t="shared" si="66"/>
        <v>3.7189307742111266E-2</v>
      </c>
      <c r="AF80" s="251">
        <f t="shared" si="66"/>
        <v>2.0019502033662651E-2</v>
      </c>
      <c r="AG80" s="251">
        <f t="shared" si="66"/>
        <v>9.7758684483390201E-2</v>
      </c>
      <c r="AH80" s="251">
        <f t="shared" si="66"/>
        <v>0.22129997545118085</v>
      </c>
      <c r="AI80" s="251">
        <f t="shared" si="66"/>
        <v>0.17290641684358499</v>
      </c>
      <c r="AJ80" s="251">
        <f t="shared" ref="AJ80" si="67">AJ77/AE77-1</f>
        <v>0.1488638380054772</v>
      </c>
      <c r="AK80" s="251">
        <f t="shared" ref="AK80:AN80" si="68">AK77/AF77-1</f>
        <v>0.15916009844795109</v>
      </c>
      <c r="AL80" s="251">
        <f t="shared" si="68"/>
        <v>0.14611701730282967</v>
      </c>
      <c r="AM80" s="251">
        <f t="shared" si="68"/>
        <v>0.15371628369232249</v>
      </c>
      <c r="AN80" s="251">
        <f t="shared" si="68"/>
        <v>0.1608512754170397</v>
      </c>
      <c r="AO80" s="401"/>
    </row>
    <row r="81" spans="1:42" x14ac:dyDescent="0.35">
      <c r="A81" s="180"/>
      <c r="B81" s="360" t="s">
        <v>147</v>
      </c>
      <c r="C81" s="361">
        <v>28565.750130000004</v>
      </c>
      <c r="D81" s="361">
        <v>28156.917699999998</v>
      </c>
      <c r="E81" s="361">
        <v>30230.509270000002</v>
      </c>
      <c r="F81" s="361">
        <v>33211.816870000002</v>
      </c>
      <c r="G81" s="361">
        <f>C81+D81+E81+F81</f>
        <v>120164.99397000001</v>
      </c>
      <c r="H81" s="361">
        <v>34104.735787288213</v>
      </c>
      <c r="I81" s="361">
        <v>31671.265590000003</v>
      </c>
      <c r="J81" s="361">
        <v>52232.656980799991</v>
      </c>
      <c r="K81" s="361">
        <v>57047.38757359999</v>
      </c>
      <c r="L81" s="361">
        <f>H81+I81+J81+K81</f>
        <v>175056.04593168822</v>
      </c>
      <c r="M81" s="361">
        <v>53248.401116638008</v>
      </c>
      <c r="N81" s="361">
        <v>53986.086069446013</v>
      </c>
      <c r="O81" s="361">
        <v>55980.109864710008</v>
      </c>
      <c r="P81" s="361">
        <v>62630.014391522003</v>
      </c>
      <c r="Q81" s="361">
        <v>225844.61144231603</v>
      </c>
      <c r="R81" s="361">
        <v>34104.735787288213</v>
      </c>
      <c r="S81" s="361">
        <v>31671.265590000003</v>
      </c>
      <c r="T81" s="361">
        <v>52232.656980799991</v>
      </c>
      <c r="U81" s="361">
        <v>57047.38757359999</v>
      </c>
      <c r="V81" s="361">
        <v>175056.04593168822</v>
      </c>
      <c r="W81" s="361">
        <v>53248.401116638008</v>
      </c>
      <c r="X81" s="361">
        <v>53986.086069446013</v>
      </c>
      <c r="Y81" s="361">
        <v>55980.109864710008</v>
      </c>
      <c r="Z81" s="361">
        <v>62630.014391522003</v>
      </c>
      <c r="AA81" s="361">
        <v>225844.61144231603</v>
      </c>
      <c r="AB81" s="361">
        <v>57262.171140788683</v>
      </c>
      <c r="AC81" s="361">
        <v>53513.086060000031</v>
      </c>
      <c r="AD81" s="361">
        <v>58187.223970000006</v>
      </c>
      <c r="AE81" s="361">
        <v>58248.805019211271</v>
      </c>
      <c r="AF81" s="361">
        <f>AB81+AC81+AD81+AE81</f>
        <v>227211.28618999996</v>
      </c>
      <c r="AG81" s="361">
        <v>62256.95429999999</v>
      </c>
      <c r="AH81" s="361">
        <v>64548.337290000018</v>
      </c>
      <c r="AI81" s="361">
        <v>65676.51857</v>
      </c>
      <c r="AJ81" s="361">
        <v>67653.553387259613</v>
      </c>
      <c r="AK81" s="361">
        <v>260135.36354725959</v>
      </c>
      <c r="AL81" s="361">
        <v>69547.860097327924</v>
      </c>
      <c r="AM81" s="361">
        <v>71490.34009854187</v>
      </c>
      <c r="AN81" s="361">
        <v>71740.345549999998</v>
      </c>
      <c r="AO81" s="276"/>
      <c r="AP81" s="400"/>
    </row>
    <row r="82" spans="1:42" x14ac:dyDescent="0.35">
      <c r="A82" s="180"/>
      <c r="B82" s="179" t="s">
        <v>129</v>
      </c>
      <c r="C82" s="362">
        <f>C81/$C$67</f>
        <v>0.15606885168248349</v>
      </c>
      <c r="D82" s="362">
        <f>D81/$D$67</f>
        <v>0.14893348408152038</v>
      </c>
      <c r="E82" s="362">
        <f>E81/$E$67</f>
        <v>0.15716815758142921</v>
      </c>
      <c r="F82" s="362">
        <f>F81/$F$67</f>
        <v>0.16784240995578018</v>
      </c>
      <c r="G82" s="362">
        <f>+G81/$G$67</f>
        <v>0.15763271368603327</v>
      </c>
      <c r="H82" s="362"/>
      <c r="I82" s="362"/>
      <c r="J82" s="362"/>
      <c r="K82" s="362"/>
      <c r="L82" s="362"/>
      <c r="M82" s="362"/>
      <c r="N82" s="362"/>
      <c r="O82" s="362"/>
      <c r="P82" s="362"/>
      <c r="Q82" s="362"/>
      <c r="R82" s="344">
        <f>R81/SUM(R$77,R$81,R$85)</f>
        <v>0.16477869697359374</v>
      </c>
      <c r="S82" s="344">
        <f>S81/SUM(S$77,S$81,S$85)</f>
        <v>0.15073482749740777</v>
      </c>
      <c r="T82" s="344">
        <f>T81/SUM(T$77,T$81,T$85)</f>
        <v>0.22599420036236684</v>
      </c>
      <c r="U82" s="344">
        <f>U81/SUM(U$77,U$81,U$85)</f>
        <v>0.24285474174178273</v>
      </c>
      <c r="V82" s="344">
        <f>V81/SUM(V$77,V$81,V$85)</f>
        <v>0.19822640524401805</v>
      </c>
      <c r="W82" s="344">
        <f>+W81/$W$67</f>
        <v>0.22226378229866475</v>
      </c>
      <c r="X82" s="344">
        <f>+X81/$X$67</f>
        <v>0.2217005780872412</v>
      </c>
      <c r="Y82" s="344">
        <f>+Y81/$Y$67</f>
        <v>0.22268055413342511</v>
      </c>
      <c r="Z82" s="344">
        <f>+Z81/$Z$67</f>
        <v>0.24381798869289764</v>
      </c>
      <c r="AA82" s="344">
        <f>+AA81/$AA$67</f>
        <v>0.22781613225081457</v>
      </c>
      <c r="AB82" s="251">
        <f>+AB81/$AB$67</f>
        <v>0.23278251612174755</v>
      </c>
      <c r="AC82" s="251">
        <f>+AC81/$AC$67</f>
        <v>0.24053744076809336</v>
      </c>
      <c r="AD82" s="251">
        <f>+AD81/$AD$67</f>
        <v>0.24142264128661806</v>
      </c>
      <c r="AE82" s="251">
        <f>AE81/$AE$67</f>
        <v>0.23397524192581506</v>
      </c>
      <c r="AF82" s="251">
        <f>+AF81/$AF$67</f>
        <v>0.23706513561705861</v>
      </c>
      <c r="AG82" s="251">
        <f>+AG81/$AG$67</f>
        <v>0.23815371841707625</v>
      </c>
      <c r="AH82" s="251">
        <f>+AH81/$AH$67</f>
        <v>0.23466661318820353</v>
      </c>
      <c r="AI82" s="251">
        <f>+AI81/AI$67</f>
        <v>0.22621723437526908</v>
      </c>
      <c r="AJ82" s="251">
        <f>+AJ81/AJ$67</f>
        <v>0.22895455799457717</v>
      </c>
      <c r="AK82" s="251">
        <f>+AK81/AK$67</f>
        <v>0.23178917051719969</v>
      </c>
      <c r="AL82" s="251">
        <f>+AL81/AL$67</f>
        <v>0.21125811066963113</v>
      </c>
      <c r="AM82" s="251">
        <f>AM81/AM$67</f>
        <v>0.20615354919961784</v>
      </c>
      <c r="AN82" s="251">
        <f>AN81/AN$67</f>
        <v>0.19853368483828743</v>
      </c>
      <c r="AO82" s="401"/>
    </row>
    <row r="83" spans="1:42" x14ac:dyDescent="0.35">
      <c r="A83" s="180"/>
      <c r="B83" s="179" t="s">
        <v>127</v>
      </c>
      <c r="C83" s="362"/>
      <c r="D83" s="362"/>
      <c r="E83" s="362"/>
      <c r="F83" s="362"/>
      <c r="G83" s="362"/>
      <c r="H83" s="251"/>
      <c r="I83" s="251"/>
      <c r="J83" s="251"/>
      <c r="K83" s="251"/>
      <c r="L83" s="363"/>
      <c r="M83" s="251"/>
      <c r="N83" s="251"/>
      <c r="O83" s="251"/>
      <c r="P83" s="251"/>
      <c r="Q83" s="363"/>
      <c r="R83" s="344">
        <f>R81/F81-1</f>
        <v>2.6885578731911552E-2</v>
      </c>
      <c r="S83" s="344">
        <f>S81/R81-1</f>
        <v>-7.1352852942940359E-2</v>
      </c>
      <c r="T83" s="344">
        <f t="shared" ref="T83:U83" si="69">T81/S81-1</f>
        <v>0.64921281192160873</v>
      </c>
      <c r="U83" s="344">
        <f t="shared" si="69"/>
        <v>9.2178550184989216E-2</v>
      </c>
      <c r="V83" s="359" t="s">
        <v>80</v>
      </c>
      <c r="W83" s="344">
        <f>W81/U81-1</f>
        <v>-6.6593521956823998E-2</v>
      </c>
      <c r="X83" s="344">
        <f>X81/W81-1</f>
        <v>1.3853654519919711E-2</v>
      </c>
      <c r="Y83" s="344">
        <f>Y81/X81-1</f>
        <v>3.6935883677489567E-2</v>
      </c>
      <c r="Z83" s="344">
        <f>Z81/Y81-1</f>
        <v>0.1187904872441865</v>
      </c>
      <c r="AA83" s="359" t="s">
        <v>80</v>
      </c>
      <c r="AB83" s="251">
        <f>AB81/Z81-1</f>
        <v>-8.5707201297720692E-2</v>
      </c>
      <c r="AC83" s="251">
        <f>AC81/AB81-1</f>
        <v>-6.5472283116385754E-2</v>
      </c>
      <c r="AD83" s="251">
        <f>AD81/AC81-1</f>
        <v>8.7345699045635827E-2</v>
      </c>
      <c r="AE83" s="251">
        <f>AE81/AD81-1</f>
        <v>1.058325952154382E-3</v>
      </c>
      <c r="AF83" s="358" t="s">
        <v>80</v>
      </c>
      <c r="AG83" s="251">
        <f>AG81/AE81-1</f>
        <v>6.8810841346303553E-2</v>
      </c>
      <c r="AH83" s="251">
        <f>AH81/AG81-1</f>
        <v>3.6805253577912866E-2</v>
      </c>
      <c r="AI83" s="251">
        <f>AI81/AH81-1</f>
        <v>1.7478084291022711E-2</v>
      </c>
      <c r="AJ83" s="251">
        <f>AJ81/AI81-1</f>
        <v>3.0102612932389583E-2</v>
      </c>
      <c r="AK83" s="363" t="s">
        <v>80</v>
      </c>
      <c r="AL83" s="363">
        <f>AL81/AJ81-1</f>
        <v>2.8000106649609391E-2</v>
      </c>
      <c r="AM83" s="363">
        <f>AM81/AL81-1</f>
        <v>2.7930118892163902E-2</v>
      </c>
      <c r="AN83" s="363">
        <f>AN81/AM81-1</f>
        <v>3.4970522047248487E-3</v>
      </c>
      <c r="AO83" s="401"/>
    </row>
    <row r="84" spans="1:42" x14ac:dyDescent="0.35">
      <c r="A84" s="180"/>
      <c r="B84" s="179" t="s">
        <v>128</v>
      </c>
      <c r="C84" s="362"/>
      <c r="D84" s="362"/>
      <c r="E84" s="362"/>
      <c r="F84" s="362"/>
      <c r="G84" s="362"/>
      <c r="H84" s="251"/>
      <c r="I84" s="251"/>
      <c r="J84" s="251"/>
      <c r="K84" s="251"/>
      <c r="L84" s="251"/>
      <c r="M84" s="251"/>
      <c r="N84" s="251"/>
      <c r="O84" s="251"/>
      <c r="P84" s="251"/>
      <c r="Q84" s="251"/>
      <c r="R84" s="344">
        <f>R81/C81-1</f>
        <v>0.19390303535110442</v>
      </c>
      <c r="S84" s="344">
        <f t="shared" ref="S84:V84" si="70">S81/D81-1</f>
        <v>0.12481294747684712</v>
      </c>
      <c r="T84" s="344">
        <f t="shared" si="70"/>
        <v>0.72781267144031769</v>
      </c>
      <c r="U84" s="344">
        <f t="shared" si="70"/>
        <v>0.71768343168032134</v>
      </c>
      <c r="V84" s="344">
        <f t="shared" si="70"/>
        <v>0.45679735959868739</v>
      </c>
      <c r="W84" s="344">
        <f t="shared" ref="W84:AI84" si="71">W81/R81-1</f>
        <v>0.5613198544844078</v>
      </c>
      <c r="X84" s="344">
        <f t="shared" si="71"/>
        <v>0.70457621644560264</v>
      </c>
      <c r="Y84" s="344">
        <f t="shared" si="71"/>
        <v>7.1745400301721718E-2</v>
      </c>
      <c r="Z84" s="344">
        <f t="shared" si="71"/>
        <v>9.7859464830349241E-2</v>
      </c>
      <c r="AA84" s="344">
        <f t="shared" si="71"/>
        <v>0.29012745741125068</v>
      </c>
      <c r="AB84" s="251">
        <f t="shared" si="71"/>
        <v>7.5378226199857234E-2</v>
      </c>
      <c r="AC84" s="251">
        <f t="shared" si="71"/>
        <v>-8.761516973790795E-3</v>
      </c>
      <c r="AD84" s="251">
        <f t="shared" si="71"/>
        <v>3.9426755514128997E-2</v>
      </c>
      <c r="AE84" s="251">
        <f t="shared" si="71"/>
        <v>-6.9953829882941854E-2</v>
      </c>
      <c r="AF84" s="251">
        <f t="shared" si="71"/>
        <v>6.0513940932922505E-3</v>
      </c>
      <c r="AG84" s="251">
        <f t="shared" si="71"/>
        <v>8.7226576633477437E-2</v>
      </c>
      <c r="AH84" s="251">
        <f t="shared" si="71"/>
        <v>0.20621593786661863</v>
      </c>
      <c r="AI84" s="251">
        <f t="shared" si="71"/>
        <v>0.12871029220884123</v>
      </c>
      <c r="AJ84" s="251">
        <f t="shared" ref="AJ84" si="72">AJ81/AE81-1</f>
        <v>0.16145821987157549</v>
      </c>
      <c r="AK84" s="251">
        <f t="shared" ref="AK84:AN84" si="73">AK81/AF81-1</f>
        <v>0.1449051141312041</v>
      </c>
      <c r="AL84" s="251">
        <f t="shared" si="73"/>
        <v>0.1171099016857613</v>
      </c>
      <c r="AM84" s="251">
        <f t="shared" si="73"/>
        <v>0.10754735288305128</v>
      </c>
      <c r="AN84" s="251">
        <f t="shared" si="73"/>
        <v>9.23286908628842E-2</v>
      </c>
      <c r="AO84" s="401"/>
    </row>
    <row r="85" spans="1:42" x14ac:dyDescent="0.35">
      <c r="A85" s="180"/>
      <c r="B85" s="360" t="s">
        <v>217</v>
      </c>
      <c r="C85" s="361"/>
      <c r="D85" s="361"/>
      <c r="E85" s="361"/>
      <c r="F85" s="361"/>
      <c r="G85" s="361"/>
      <c r="H85" s="361"/>
      <c r="I85" s="361"/>
      <c r="J85" s="361"/>
      <c r="K85" s="361"/>
      <c r="L85" s="361"/>
      <c r="M85" s="361"/>
      <c r="N85" s="361"/>
      <c r="O85" s="361"/>
      <c r="P85" s="361"/>
      <c r="Q85" s="361"/>
      <c r="R85" s="364">
        <v>82208.75078165115</v>
      </c>
      <c r="S85" s="361">
        <v>84777.791906555154</v>
      </c>
      <c r="T85" s="361">
        <v>82863.167027759118</v>
      </c>
      <c r="U85" s="361">
        <v>82628.396084207692</v>
      </c>
      <c r="V85" s="361">
        <v>332477.10580017301</v>
      </c>
      <c r="W85" s="361">
        <v>85365.845387092791</v>
      </c>
      <c r="X85" s="361">
        <v>85997.018153723373</v>
      </c>
      <c r="Y85" s="361">
        <v>86125.053881745378</v>
      </c>
      <c r="Z85" s="361">
        <v>87043.248088956665</v>
      </c>
      <c r="AA85" s="361">
        <v>344531.16551151831</v>
      </c>
      <c r="AB85" s="361">
        <v>80900.367339627395</v>
      </c>
      <c r="AC85" s="361">
        <v>68253.371226280564</v>
      </c>
      <c r="AD85" s="361">
        <v>73152.783378038745</v>
      </c>
      <c r="AE85" s="361">
        <v>79518.623723887344</v>
      </c>
      <c r="AF85" s="361">
        <f>AB85+AC85+AD85+AE85</f>
        <v>301825.14566783409</v>
      </c>
      <c r="AG85" s="361">
        <v>80788.873072383198</v>
      </c>
      <c r="AH85" s="361">
        <v>87522.885930257893</v>
      </c>
      <c r="AI85" s="361">
        <v>96006.384880064012</v>
      </c>
      <c r="AJ85" s="361">
        <v>100098.85978899083</v>
      </c>
      <c r="AK85" s="361">
        <v>364417.00367169589</v>
      </c>
      <c r="AL85" s="361">
        <v>123995.45277107442</v>
      </c>
      <c r="AM85" s="361">
        <v>133393.1215039602</v>
      </c>
      <c r="AN85" s="361">
        <v>140276.30279210003</v>
      </c>
      <c r="AO85" s="276"/>
    </row>
    <row r="86" spans="1:42" x14ac:dyDescent="0.35">
      <c r="A86" s="180"/>
      <c r="B86" s="179" t="s">
        <v>129</v>
      </c>
      <c r="C86" s="362"/>
      <c r="D86" s="362"/>
      <c r="E86" s="362"/>
      <c r="F86" s="362"/>
      <c r="G86" s="362"/>
      <c r="H86" s="176"/>
      <c r="I86" s="176"/>
      <c r="J86" s="176"/>
      <c r="K86" s="176"/>
      <c r="L86" s="176"/>
      <c r="M86" s="176"/>
      <c r="N86" s="176"/>
      <c r="O86" s="176"/>
      <c r="P86" s="176"/>
      <c r="Q86" s="176"/>
      <c r="R86" s="344">
        <f>R85/SUM(R$77,R$81,R$85)</f>
        <v>0.3971955953013554</v>
      </c>
      <c r="S86" s="344">
        <f>S85/SUM(S$77,S$81,S$85)</f>
        <v>0.40348769146379171</v>
      </c>
      <c r="T86" s="344">
        <f>T85/SUM(T$77,T$81,T$85)</f>
        <v>0.35852273758187914</v>
      </c>
      <c r="U86" s="344">
        <f>U85/SUM(U$77,U$81,U$85)</f>
        <v>0.35175489439685265</v>
      </c>
      <c r="V86" s="344">
        <f>V85/SUM(V$77,V$81,V$85)</f>
        <v>0.37648366360577817</v>
      </c>
      <c r="W86" s="344">
        <f>+W85/$W$67</f>
        <v>0.35632498398021811</v>
      </c>
      <c r="X86" s="344">
        <f>+X85/$X$67</f>
        <v>0.35315745271724402</v>
      </c>
      <c r="Y86" s="344">
        <f>+Y85/$Y$67</f>
        <v>0.34259265959833796</v>
      </c>
      <c r="Z86" s="344">
        <f>+Z85/$Z$67</f>
        <v>0.33885845124792374</v>
      </c>
      <c r="AA86" s="344">
        <f>+AA85/$AA$67</f>
        <v>0.34753876599241668</v>
      </c>
      <c r="AB86" s="251">
        <f>+AB85/$AB$67</f>
        <v>0.32887665083795031</v>
      </c>
      <c r="AC86" s="251">
        <f>+AC85/$AC$67</f>
        <v>0.30679395354169076</v>
      </c>
      <c r="AD86" s="251">
        <f>+AD85/$AD$67</f>
        <v>0.30351573722952302</v>
      </c>
      <c r="AE86" s="251">
        <f>AE85/$AE$67</f>
        <v>0.31941237622416602</v>
      </c>
      <c r="AF86" s="251">
        <f>+AF85/$AF$67</f>
        <v>0.31491489833189773</v>
      </c>
      <c r="AG86" s="251">
        <f>+AG85/$AG$67</f>
        <v>0.30904451952788936</v>
      </c>
      <c r="AH86" s="251">
        <f>+AH85/$AH$67</f>
        <v>0.31819098802554274</v>
      </c>
      <c r="AI86" s="251">
        <f>+AI85/AI$67</f>
        <v>0.33068590331547065</v>
      </c>
      <c r="AJ86" s="251">
        <f t="shared" ref="AJ86:AK86" si="74">+AJ85/AJ$67</f>
        <v>0.33875663658880983</v>
      </c>
      <c r="AK86" s="251">
        <f t="shared" si="74"/>
        <v>0.32470754399403357</v>
      </c>
      <c r="AL86" s="251">
        <f>+AL85/AL$67</f>
        <v>0.37664775087809049</v>
      </c>
      <c r="AM86" s="251">
        <f>AM85/AM$67</f>
        <v>0.38465987711000049</v>
      </c>
      <c r="AN86" s="251">
        <f>AN85/AN$67</f>
        <v>0.38819956992536353</v>
      </c>
      <c r="AO86" s="401"/>
    </row>
    <row r="87" spans="1:42" x14ac:dyDescent="0.35">
      <c r="A87" s="180"/>
      <c r="B87" s="179" t="s">
        <v>127</v>
      </c>
      <c r="C87" s="362"/>
      <c r="D87" s="362"/>
      <c r="E87" s="362"/>
      <c r="F87" s="362"/>
      <c r="G87" s="362"/>
      <c r="H87" s="176"/>
      <c r="I87" s="176"/>
      <c r="J87" s="176"/>
      <c r="K87" s="176"/>
      <c r="L87" s="176"/>
      <c r="M87" s="176"/>
      <c r="N87" s="176"/>
      <c r="O87" s="176"/>
      <c r="P87" s="176"/>
      <c r="Q87" s="176"/>
      <c r="R87" s="344">
        <f>R85/(F67-F77-F81)-1</f>
        <v>1.0205141430092546E-2</v>
      </c>
      <c r="S87" s="344">
        <f>S85/R85-1</f>
        <v>3.1250214855197855E-2</v>
      </c>
      <c r="T87" s="344">
        <f t="shared" ref="T87:U87" si="75">T85/S85-1</f>
        <v>-2.2584038056881695E-2</v>
      </c>
      <c r="U87" s="344">
        <f t="shared" si="75"/>
        <v>-2.8332364302799951E-3</v>
      </c>
      <c r="V87" s="359" t="s">
        <v>80</v>
      </c>
      <c r="W87" s="344">
        <f>W85/U85-1</f>
        <v>3.3129643471420334E-2</v>
      </c>
      <c r="X87" s="344">
        <f>X85/W85-1</f>
        <v>7.3937388397962156E-3</v>
      </c>
      <c r="Y87" s="344">
        <f>Y85/X85-1</f>
        <v>1.4888391571103998E-3</v>
      </c>
      <c r="Z87" s="344">
        <f>Z85/Y85-1</f>
        <v>1.0661174255658823E-2</v>
      </c>
      <c r="AA87" s="359" t="s">
        <v>80</v>
      </c>
      <c r="AB87" s="251">
        <f>AB85/Z85-1</f>
        <v>-7.0572742679034128E-2</v>
      </c>
      <c r="AC87" s="251">
        <f>AC85/AB85-1</f>
        <v>-0.15632804311324755</v>
      </c>
      <c r="AD87" s="251">
        <f>AD85/AC85-1</f>
        <v>7.1782712908277313E-2</v>
      </c>
      <c r="AE87" s="251">
        <f>AE85/AD85-1</f>
        <v>8.7021163814795965E-2</v>
      </c>
      <c r="AF87" s="358" t="s">
        <v>80</v>
      </c>
      <c r="AG87" s="251">
        <f>AG85/AE85-1</f>
        <v>1.5974237090754295E-2</v>
      </c>
      <c r="AH87" s="251">
        <f>AH85/AG85-1</f>
        <v>8.3353221821046208E-2</v>
      </c>
      <c r="AI87" s="251">
        <f>AI85/AH85-1</f>
        <v>9.6928921614469532E-2</v>
      </c>
      <c r="AJ87" s="251">
        <f>AJ85/AI85-1</f>
        <v>4.2627111874271151E-2</v>
      </c>
      <c r="AK87" s="358" t="s">
        <v>80</v>
      </c>
      <c r="AL87" s="251">
        <f>AL85/AJ85-1</f>
        <v>0.23872992192376419</v>
      </c>
      <c r="AM87" s="251">
        <f>AM85/AL85-1</f>
        <v>7.579043039776745E-2</v>
      </c>
      <c r="AN87" s="251">
        <f>AN85/AM85-1</f>
        <v>5.1600721315570031E-2</v>
      </c>
      <c r="AO87" s="401"/>
    </row>
    <row r="88" spans="1:42" x14ac:dyDescent="0.35">
      <c r="A88" s="180"/>
      <c r="B88" s="179" t="s">
        <v>128</v>
      </c>
      <c r="C88" s="362"/>
      <c r="D88" s="362"/>
      <c r="E88" s="362"/>
      <c r="F88" s="362"/>
      <c r="G88" s="362"/>
      <c r="H88" s="176"/>
      <c r="I88" s="176"/>
      <c r="J88" s="176"/>
      <c r="K88" s="176"/>
      <c r="L88" s="176"/>
      <c r="M88" s="176"/>
      <c r="N88" s="176"/>
      <c r="O88" s="176"/>
      <c r="P88" s="176"/>
      <c r="Q88" s="176"/>
      <c r="R88" s="344">
        <f>R85/(C67-C77-C81)-1</f>
        <v>6.4510131661843939E-2</v>
      </c>
      <c r="S88" s="344">
        <f t="shared" ref="S88:V88" si="76">S85/(D67-D77-D81)-1</f>
        <v>4.3001169285445728E-2</v>
      </c>
      <c r="T88" s="344">
        <f t="shared" si="76"/>
        <v>2.0919350050641494E-2</v>
      </c>
      <c r="U88" s="344">
        <f t="shared" si="76"/>
        <v>1.5361865479404102E-2</v>
      </c>
      <c r="V88" s="344">
        <f t="shared" si="76"/>
        <v>3.5583557080323125E-2</v>
      </c>
      <c r="W88" s="344">
        <f t="shared" ref="W88:AI88" si="77">W85/R85-1</f>
        <v>3.840338863470838E-2</v>
      </c>
      <c r="X88" s="344">
        <f t="shared" si="77"/>
        <v>1.4381434332614962E-2</v>
      </c>
      <c r="Y88" s="344">
        <f t="shared" si="77"/>
        <v>3.9364737928656801E-2</v>
      </c>
      <c r="Z88" s="344">
        <f t="shared" si="77"/>
        <v>5.3430203343772353E-2</v>
      </c>
      <c r="AA88" s="344">
        <f t="shared" si="77"/>
        <v>3.6255307511579682E-2</v>
      </c>
      <c r="AB88" s="251">
        <f t="shared" si="77"/>
        <v>-5.2309890767397782E-2</v>
      </c>
      <c r="AC88" s="251">
        <f t="shared" si="77"/>
        <v>-0.20632862985697109</v>
      </c>
      <c r="AD88" s="251">
        <f t="shared" si="77"/>
        <v>-0.15062133396767796</v>
      </c>
      <c r="AE88" s="251">
        <f t="shared" si="77"/>
        <v>-8.6446962059357979E-2</v>
      </c>
      <c r="AF88" s="251">
        <f t="shared" si="77"/>
        <v>-0.12395401089558755</v>
      </c>
      <c r="AG88" s="251">
        <f t="shared" si="77"/>
        <v>-1.3781676265588461E-3</v>
      </c>
      <c r="AH88" s="251">
        <f t="shared" si="77"/>
        <v>0.28232326634962934</v>
      </c>
      <c r="AI88" s="251">
        <f t="shared" si="77"/>
        <v>0.31240918590783462</v>
      </c>
      <c r="AJ88" s="251">
        <f t="shared" ref="AJ88" si="78">AJ85/AE85-1</f>
        <v>0.25881026483260405</v>
      </c>
      <c r="AK88" s="251">
        <f t="shared" ref="AK88:AN88" si="79">AK85/AF85-1</f>
        <v>0.20737787723209</v>
      </c>
      <c r="AL88" s="251">
        <f t="shared" si="79"/>
        <v>0.53480854547853474</v>
      </c>
      <c r="AM88" s="251">
        <f t="shared" si="79"/>
        <v>0.52409418503697114</v>
      </c>
      <c r="AN88" s="251">
        <f t="shared" si="79"/>
        <v>0.46111430992157687</v>
      </c>
      <c r="AO88" s="401"/>
    </row>
    <row r="89" spans="1:42" hidden="1" x14ac:dyDescent="0.35">
      <c r="A89" s="180"/>
      <c r="B89" s="167" t="s">
        <v>82</v>
      </c>
      <c r="C89" s="322">
        <v>11777.272072499996</v>
      </c>
      <c r="D89" s="322">
        <v>11915.431817500003</v>
      </c>
      <c r="E89" s="322">
        <v>10973.253296499999</v>
      </c>
      <c r="F89" s="322">
        <v>10686.693969299999</v>
      </c>
      <c r="G89" s="322">
        <f>C89+D89+E89+F89</f>
        <v>45352.651155799991</v>
      </c>
      <c r="H89" s="322">
        <v>11157.050967200001</v>
      </c>
      <c r="I89" s="322">
        <v>11094.3475992</v>
      </c>
      <c r="J89" s="322">
        <v>11047.168775000002</v>
      </c>
      <c r="K89" s="322">
        <v>10730.098052000003</v>
      </c>
      <c r="L89" s="322">
        <f>H89+I89+J89+K89</f>
        <v>44028.665393400006</v>
      </c>
      <c r="M89" s="322">
        <v>10655.176801822998</v>
      </c>
      <c r="N89" s="322">
        <v>11018.624987452999</v>
      </c>
      <c r="O89" s="322">
        <v>10498.847609164</v>
      </c>
      <c r="P89" s="322">
        <v>10038.998879698998</v>
      </c>
      <c r="Q89" s="322">
        <v>42211.648278138993</v>
      </c>
      <c r="R89" s="246"/>
      <c r="S89" s="246"/>
      <c r="T89" s="246"/>
      <c r="U89" s="246"/>
      <c r="V89" s="246"/>
      <c r="W89" s="246"/>
      <c r="X89" s="246"/>
      <c r="Y89" s="246"/>
      <c r="Z89" s="246"/>
      <c r="AA89" s="246"/>
      <c r="AB89" s="322"/>
      <c r="AC89" s="322"/>
      <c r="AD89" s="322"/>
      <c r="AE89" s="322"/>
      <c r="AF89" s="322"/>
      <c r="AG89" s="322"/>
      <c r="AH89" s="322"/>
      <c r="AI89" s="322"/>
      <c r="AJ89" s="322"/>
      <c r="AK89" s="322"/>
      <c r="AL89" s="322"/>
      <c r="AM89" s="322"/>
      <c r="AN89" s="322"/>
      <c r="AO89" s="276"/>
    </row>
    <row r="90" spans="1:42" hidden="1" x14ac:dyDescent="0.35">
      <c r="A90" s="159"/>
      <c r="B90" s="167"/>
      <c r="C90" s="362">
        <f>C89/$C$67</f>
        <v>6.4345074781596748E-2</v>
      </c>
      <c r="D90" s="362">
        <f>D89/$D$67</f>
        <v>6.3025605068841681E-2</v>
      </c>
      <c r="E90" s="362">
        <f>E89/$E$67</f>
        <v>5.7049849471002619E-2</v>
      </c>
      <c r="F90" s="362">
        <f>F89/$F$67</f>
        <v>5.4007297381174976E-2</v>
      </c>
      <c r="G90" s="362">
        <f>+G89/$G$67</f>
        <v>5.949371142422373E-2</v>
      </c>
      <c r="H90" s="251">
        <f>+H89/$H$67</f>
        <v>5.3905828137969687E-2</v>
      </c>
      <c r="I90" s="251">
        <f>+I89/$I$67</f>
        <v>5.2802065561224493E-2</v>
      </c>
      <c r="J90" s="251">
        <f>+J89/$J$67</f>
        <v>4.779758387272634E-2</v>
      </c>
      <c r="K90" s="251">
        <f>+K89/$K$67</f>
        <v>4.567884638340082E-2</v>
      </c>
      <c r="L90" s="251">
        <f>+L89/$L$67</f>
        <v>4.9856264430106267E-2</v>
      </c>
      <c r="M90" s="251">
        <f>+M89/$M$67</f>
        <v>4.4475699689960881E-2</v>
      </c>
      <c r="N90" s="251">
        <f>+N89/$N$67</f>
        <v>4.5249354181787937E-2</v>
      </c>
      <c r="O90" s="251">
        <f>+O89/$O$67</f>
        <v>4.1762854860791114E-2</v>
      </c>
      <c r="P90" s="251">
        <f>+P89/$P$67</f>
        <v>3.9081717274358427E-2</v>
      </c>
      <c r="Q90" s="251">
        <f>+Q89/$Q$67</f>
        <v>4.2580136781849118E-2</v>
      </c>
      <c r="R90" s="247"/>
      <c r="S90" s="247"/>
      <c r="T90" s="247"/>
      <c r="U90" s="247"/>
      <c r="V90" s="247"/>
      <c r="W90" s="247"/>
      <c r="X90" s="247"/>
      <c r="Y90" s="247"/>
      <c r="Z90" s="247"/>
      <c r="AA90" s="247"/>
      <c r="AB90" s="251"/>
      <c r="AC90" s="251"/>
      <c r="AD90" s="251"/>
      <c r="AE90" s="251"/>
      <c r="AF90" s="251"/>
      <c r="AG90" s="251"/>
      <c r="AH90" s="251"/>
      <c r="AI90" s="251"/>
      <c r="AJ90" s="251"/>
      <c r="AK90" s="251"/>
      <c r="AL90" s="251"/>
      <c r="AM90" s="251"/>
      <c r="AN90" s="251"/>
      <c r="AO90" s="403"/>
    </row>
    <row r="91" spans="1:42" hidden="1" x14ac:dyDescent="0.35">
      <c r="A91" s="159"/>
      <c r="B91" s="167" t="s">
        <v>83</v>
      </c>
      <c r="C91" s="322">
        <v>25764.426733570672</v>
      </c>
      <c r="D91" s="322">
        <v>29067.521734920243</v>
      </c>
      <c r="E91" s="322">
        <v>27949.59919703141</v>
      </c>
      <c r="F91" s="322">
        <v>29267.703627641393</v>
      </c>
      <c r="G91" s="322">
        <f>C91+D91+E91+F91</f>
        <v>112049.25129316372</v>
      </c>
      <c r="H91" s="322">
        <v>30705.141506376644</v>
      </c>
      <c r="I91" s="322">
        <v>31008.768678223187</v>
      </c>
      <c r="J91" s="322">
        <v>28940.265280251941</v>
      </c>
      <c r="K91" s="322">
        <v>30278.087631000475</v>
      </c>
      <c r="L91" s="322">
        <f>H91+I91+J91+K91</f>
        <v>120932.26309585225</v>
      </c>
      <c r="M91" s="322">
        <v>31923.459981583557</v>
      </c>
      <c r="N91" s="322">
        <v>32576.653344619222</v>
      </c>
      <c r="O91" s="322">
        <v>33869.986247853667</v>
      </c>
      <c r="P91" s="322">
        <v>35491.337726365215</v>
      </c>
      <c r="Q91" s="322">
        <v>133861.43730042168</v>
      </c>
      <c r="R91" s="246"/>
      <c r="S91" s="246"/>
      <c r="T91" s="246"/>
      <c r="U91" s="246"/>
      <c r="V91" s="246"/>
      <c r="W91" s="246"/>
      <c r="X91" s="246"/>
      <c r="Y91" s="246"/>
      <c r="Z91" s="246"/>
      <c r="AA91" s="246"/>
      <c r="AB91" s="322"/>
      <c r="AC91" s="322"/>
      <c r="AD91" s="322"/>
      <c r="AE91" s="322"/>
      <c r="AF91" s="322"/>
      <c r="AG91" s="322"/>
      <c r="AH91" s="322"/>
      <c r="AI91" s="322"/>
      <c r="AJ91" s="322"/>
      <c r="AK91" s="322"/>
      <c r="AL91" s="322"/>
      <c r="AM91" s="322"/>
      <c r="AN91" s="322"/>
      <c r="AO91" s="276"/>
    </row>
    <row r="92" spans="1:42" hidden="1" x14ac:dyDescent="0.35">
      <c r="A92" s="159"/>
      <c r="B92" s="167"/>
      <c r="C92" s="362">
        <f>C91/$C$67</f>
        <v>0.14076383348123384</v>
      </c>
      <c r="D92" s="362">
        <f>D91/$D$67</f>
        <v>0.15375004223551755</v>
      </c>
      <c r="E92" s="362">
        <f>E91/$E$67</f>
        <v>0.14530972573777021</v>
      </c>
      <c r="F92" s="362">
        <f>F91/$F$67</f>
        <v>0.14791006255283079</v>
      </c>
      <c r="G92" s="362">
        <f>+G91/$G$67</f>
        <v>0.14698646389679226</v>
      </c>
      <c r="H92" s="251">
        <f>+H91/$H$67</f>
        <v>0.14835336737824084</v>
      </c>
      <c r="I92" s="251">
        <f>+I91/$I$67</f>
        <v>0.14758209278015147</v>
      </c>
      <c r="J92" s="251">
        <f>+J91/$J$67</f>
        <v>0.1252153185314028</v>
      </c>
      <c r="K92" s="251">
        <f>+K91/$K$67</f>
        <v>0.12889613002388423</v>
      </c>
      <c r="L92" s="251">
        <f>+L91/$L$67</f>
        <v>0.13693876099051111</v>
      </c>
      <c r="M92" s="251">
        <f>+M91/$M$67</f>
        <v>0.13325149320492524</v>
      </c>
      <c r="N92" s="251">
        <f>+N91/$N$67</f>
        <v>0.13378007935895275</v>
      </c>
      <c r="O92" s="251">
        <f>+O91/$O$67</f>
        <v>0.13472976963409206</v>
      </c>
      <c r="P92" s="251">
        <f>+P91/$P$67</f>
        <v>0.13816740526941518</v>
      </c>
      <c r="Q92" s="251">
        <f>+Q91/$Q$67</f>
        <v>0.1350299868062429</v>
      </c>
      <c r="R92" s="247"/>
      <c r="S92" s="247"/>
      <c r="T92" s="247"/>
      <c r="U92" s="247"/>
      <c r="V92" s="247"/>
      <c r="W92" s="247"/>
      <c r="X92" s="247"/>
      <c r="Y92" s="247"/>
      <c r="Z92" s="247"/>
      <c r="AA92" s="247"/>
      <c r="AB92" s="251"/>
      <c r="AC92" s="251"/>
      <c r="AD92" s="251"/>
      <c r="AE92" s="251"/>
      <c r="AF92" s="251"/>
      <c r="AG92" s="251"/>
      <c r="AH92" s="251"/>
      <c r="AI92" s="251"/>
      <c r="AJ92" s="251"/>
      <c r="AK92" s="251"/>
      <c r="AL92" s="251"/>
      <c r="AM92" s="251"/>
      <c r="AN92" s="251"/>
      <c r="AO92" s="403"/>
    </row>
    <row r="93" spans="1:42" hidden="1" x14ac:dyDescent="0.35">
      <c r="A93" s="159"/>
      <c r="B93" s="167" t="s">
        <v>145</v>
      </c>
      <c r="C93" s="322">
        <v>17410.271742980407</v>
      </c>
      <c r="D93" s="322">
        <v>19372.484825376403</v>
      </c>
      <c r="E93" s="322">
        <v>20196.911081007562</v>
      </c>
      <c r="F93" s="322">
        <v>18979.045773073736</v>
      </c>
      <c r="G93" s="322">
        <f>C93+D93+E93+F93</f>
        <v>75958.713422438115</v>
      </c>
      <c r="H93" s="322">
        <v>18305.315812747518</v>
      </c>
      <c r="I93" s="322">
        <v>20129.601494531445</v>
      </c>
      <c r="J93" s="322">
        <v>19119.021666580204</v>
      </c>
      <c r="K93" s="322">
        <v>18239.227283938799</v>
      </c>
      <c r="L93" s="322">
        <f>H93+I93+J93+K93</f>
        <v>75793.166257797973</v>
      </c>
      <c r="M93" s="322">
        <v>18914.344019143853</v>
      </c>
      <c r="N93" s="322">
        <v>18910.595438868673</v>
      </c>
      <c r="O93" s="322">
        <v>17997.144426475701</v>
      </c>
      <c r="P93" s="322">
        <v>17159.237901694589</v>
      </c>
      <c r="Q93" s="322">
        <v>72981.321786182816</v>
      </c>
      <c r="R93" s="246"/>
      <c r="S93" s="246"/>
      <c r="T93" s="246"/>
      <c r="U93" s="246"/>
      <c r="V93" s="246"/>
      <c r="W93" s="246"/>
      <c r="X93" s="246"/>
      <c r="Y93" s="246"/>
      <c r="Z93" s="246"/>
      <c r="AA93" s="246"/>
      <c r="AB93" s="322"/>
      <c r="AC93" s="322"/>
      <c r="AD93" s="322"/>
      <c r="AE93" s="322"/>
      <c r="AF93" s="322"/>
      <c r="AG93" s="322"/>
      <c r="AH93" s="322"/>
      <c r="AI93" s="322"/>
      <c r="AJ93" s="322"/>
      <c r="AK93" s="322"/>
      <c r="AL93" s="322"/>
      <c r="AM93" s="322"/>
      <c r="AN93" s="322"/>
      <c r="AO93" s="276"/>
    </row>
    <row r="94" spans="1:42" hidden="1" x14ac:dyDescent="0.35">
      <c r="A94" s="159"/>
      <c r="B94" s="167"/>
      <c r="C94" s="362">
        <f>C93/$C$67</f>
        <v>9.5120943999062499E-2</v>
      </c>
      <c r="D94" s="362">
        <f>D93/$D$67</f>
        <v>0.1024690163568469</v>
      </c>
      <c r="E94" s="362">
        <f>E93/$E$67</f>
        <v>0.10500356692925504</v>
      </c>
      <c r="F94" s="362">
        <f>F93/$F$67</f>
        <v>9.5914318499425069E-2</v>
      </c>
      <c r="G94" s="362">
        <f>+G93/$G$67</f>
        <v>9.9642813845336034E-2</v>
      </c>
      <c r="H94" s="251">
        <f>+H93/$H$67</f>
        <v>8.8443013401494491E-2</v>
      </c>
      <c r="I94" s="251">
        <f>+I93/$I$67</f>
        <v>9.5804149665566204E-2</v>
      </c>
      <c r="J94" s="251">
        <f>+J93/$J$67</f>
        <v>8.2721922719320384E-2</v>
      </c>
      <c r="K94" s="251">
        <f>+K93/$K$67</f>
        <v>7.7645782658964754E-2</v>
      </c>
      <c r="L94" s="251">
        <f>+L93/$L$67</f>
        <v>8.5825089295353221E-2</v>
      </c>
      <c r="M94" s="251">
        <f>+M93/$M$67</f>
        <v>7.8950232368187795E-2</v>
      </c>
      <c r="N94" s="251">
        <f>+N93/$N$67</f>
        <v>7.7658712568605973E-2</v>
      </c>
      <c r="O94" s="251">
        <f>+O93/$O$67</f>
        <v>7.158996478199664E-2</v>
      </c>
      <c r="P94" s="251">
        <f>+P93/$P$67</f>
        <v>6.680073305652072E-2</v>
      </c>
      <c r="Q94" s="251">
        <f>+Q93/$Q$67</f>
        <v>7.3618415554390512E-2</v>
      </c>
      <c r="R94" s="247"/>
      <c r="S94" s="247"/>
      <c r="T94" s="247"/>
      <c r="U94" s="247"/>
      <c r="V94" s="247"/>
      <c r="W94" s="247"/>
      <c r="X94" s="247"/>
      <c r="Y94" s="247"/>
      <c r="Z94" s="247"/>
      <c r="AA94" s="247"/>
      <c r="AB94" s="251"/>
      <c r="AC94" s="251"/>
      <c r="AD94" s="251"/>
      <c r="AE94" s="251"/>
      <c r="AF94" s="251"/>
      <c r="AG94" s="251"/>
      <c r="AH94" s="251"/>
      <c r="AI94" s="251"/>
      <c r="AJ94" s="251"/>
      <c r="AK94" s="251"/>
      <c r="AL94" s="251"/>
      <c r="AM94" s="251"/>
      <c r="AN94" s="251"/>
      <c r="AO94" s="403"/>
    </row>
    <row r="95" spans="1:42" hidden="1" x14ac:dyDescent="0.35">
      <c r="A95" s="159"/>
      <c r="B95" s="167" t="s">
        <v>84</v>
      </c>
      <c r="C95" s="322">
        <v>22274.810192991354</v>
      </c>
      <c r="D95" s="322">
        <v>20927.645273326867</v>
      </c>
      <c r="E95" s="322">
        <v>22045.096551340244</v>
      </c>
      <c r="F95" s="322">
        <v>22445.043933137891</v>
      </c>
      <c r="G95" s="322">
        <f>C95+D95+E95+F95</f>
        <v>87692.595950796356</v>
      </c>
      <c r="H95" s="322">
        <v>22041.640142077915</v>
      </c>
      <c r="I95" s="322">
        <v>22544.661708458822</v>
      </c>
      <c r="J95" s="322">
        <v>23756.90679042659</v>
      </c>
      <c r="K95" s="322">
        <v>23380.70133182123</v>
      </c>
      <c r="L95" s="322">
        <f>H95+I95+J95+K95</f>
        <v>91723.909972784561</v>
      </c>
      <c r="M95" s="322">
        <v>23872.89008237336</v>
      </c>
      <c r="N95" s="322">
        <v>23491.633729172969</v>
      </c>
      <c r="O95" s="322">
        <v>23757.629003696387</v>
      </c>
      <c r="P95" s="322">
        <v>24353.12647592483</v>
      </c>
      <c r="Q95" s="322">
        <v>95475.27929116755</v>
      </c>
      <c r="R95" s="246"/>
      <c r="S95" s="246"/>
      <c r="T95" s="246"/>
      <c r="U95" s="246"/>
      <c r="V95" s="246"/>
      <c r="W95" s="246"/>
      <c r="X95" s="246"/>
      <c r="Y95" s="246"/>
      <c r="Z95" s="246"/>
      <c r="AA95" s="246"/>
      <c r="AB95" s="322"/>
      <c r="AC95" s="322"/>
      <c r="AD95" s="322"/>
      <c r="AE95" s="322"/>
      <c r="AF95" s="322"/>
      <c r="AG95" s="322"/>
      <c r="AH95" s="322"/>
      <c r="AI95" s="322"/>
      <c r="AJ95" s="322"/>
      <c r="AK95" s="322"/>
      <c r="AL95" s="322"/>
      <c r="AM95" s="322"/>
      <c r="AN95" s="322"/>
      <c r="AO95" s="276"/>
    </row>
    <row r="96" spans="1:42" hidden="1" x14ac:dyDescent="0.35">
      <c r="A96" s="159"/>
      <c r="B96" s="167"/>
      <c r="C96" s="362">
        <f>C95/$C$67</f>
        <v>0.1216983286783878</v>
      </c>
      <c r="D96" s="362">
        <f>D95/$D$67</f>
        <v>0.11069489769395932</v>
      </c>
      <c r="E96" s="362">
        <f>E95/$E$67</f>
        <v>0.11461226728711557</v>
      </c>
      <c r="F96" s="362">
        <f>F95/$F$67</f>
        <v>0.11343041785540312</v>
      </c>
      <c r="G96" s="362">
        <f>+G95/$G$67</f>
        <v>0.11503534775983046</v>
      </c>
      <c r="H96" s="251">
        <f>+H95/$H$67</f>
        <v>0.10649524402737515</v>
      </c>
      <c r="I96" s="251">
        <f>+I95/$I$67</f>
        <v>0.10729830618174507</v>
      </c>
      <c r="J96" s="251">
        <f>+J95/$J$67</f>
        <v>0.10278857578800379</v>
      </c>
      <c r="K96" s="251">
        <f>+K95/$K$67</f>
        <v>9.9533430104431317E-2</v>
      </c>
      <c r="L96" s="251">
        <f>+L95/$L$67</f>
        <v>0.10386441354299858</v>
      </c>
      <c r="M96" s="177">
        <f>+M95/$M$67</f>
        <v>9.9647665147463857E-2</v>
      </c>
      <c r="N96" s="177">
        <f>+N95/$N$67</f>
        <v>9.6471316169722557E-2</v>
      </c>
      <c r="O96" s="251">
        <f>+O95/$O$67</f>
        <v>9.4504315983390028E-2</v>
      </c>
      <c r="P96" s="251">
        <f>+P95/$P$67</f>
        <v>9.4806465772543633E-2</v>
      </c>
      <c r="Q96" s="251">
        <f>+Q95/$Q$67</f>
        <v>9.6308735084589592E-2</v>
      </c>
      <c r="R96" s="247"/>
      <c r="S96" s="247"/>
      <c r="T96" s="247"/>
      <c r="U96" s="247"/>
      <c r="V96" s="247"/>
      <c r="W96" s="247"/>
      <c r="X96" s="247"/>
      <c r="Y96" s="247"/>
      <c r="Z96" s="247"/>
      <c r="AA96" s="247"/>
      <c r="AB96" s="251"/>
      <c r="AC96" s="251"/>
      <c r="AD96" s="251"/>
      <c r="AE96" s="251"/>
      <c r="AF96" s="251"/>
      <c r="AG96" s="251"/>
      <c r="AH96" s="251"/>
      <c r="AI96" s="251"/>
      <c r="AJ96" s="251"/>
      <c r="AK96" s="251"/>
      <c r="AL96" s="251"/>
      <c r="AM96" s="251"/>
      <c r="AN96" s="251"/>
      <c r="AO96" s="403"/>
    </row>
    <row r="97" spans="1:41" x14ac:dyDescent="0.35">
      <c r="A97" s="159"/>
      <c r="B97" s="167"/>
      <c r="C97" s="345"/>
      <c r="D97" s="341"/>
      <c r="E97" s="341"/>
      <c r="F97" s="341"/>
      <c r="G97" s="341"/>
      <c r="H97" s="341"/>
      <c r="I97" s="341"/>
      <c r="J97" s="341"/>
      <c r="K97" s="341"/>
      <c r="L97" s="341"/>
      <c r="M97" s="341"/>
      <c r="N97" s="341"/>
      <c r="O97" s="341"/>
      <c r="P97" s="341"/>
      <c r="Q97" s="341"/>
      <c r="R97" s="341"/>
      <c r="S97" s="341"/>
      <c r="T97" s="341"/>
      <c r="U97" s="341"/>
      <c r="V97" s="341"/>
      <c r="W97" s="345"/>
      <c r="X97" s="341"/>
      <c r="Y97" s="341"/>
      <c r="Z97" s="341"/>
      <c r="AA97" s="341"/>
      <c r="AB97" s="341"/>
      <c r="AC97" s="341"/>
      <c r="AD97" s="341"/>
      <c r="AE97" s="341"/>
      <c r="AF97" s="341"/>
      <c r="AG97" s="341"/>
      <c r="AH97" s="341"/>
      <c r="AI97" s="341"/>
      <c r="AJ97" s="341"/>
      <c r="AK97" s="341"/>
      <c r="AL97" s="341"/>
      <c r="AM97" s="341"/>
      <c r="AN97" s="341"/>
      <c r="AO97" s="276"/>
    </row>
    <row r="98" spans="1:41" x14ac:dyDescent="0.35">
      <c r="A98" s="164"/>
      <c r="B98" s="165" t="s">
        <v>85</v>
      </c>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276"/>
    </row>
    <row r="99" spans="1:41" x14ac:dyDescent="0.35">
      <c r="A99" s="159"/>
      <c r="B99" s="167" t="s">
        <v>86</v>
      </c>
      <c r="C99" s="249">
        <v>0.82105973846635671</v>
      </c>
      <c r="D99" s="249">
        <v>0.81400847363493545</v>
      </c>
      <c r="E99" s="248">
        <v>0.82404533520497025</v>
      </c>
      <c r="F99" s="248">
        <v>0.82643961529096666</v>
      </c>
      <c r="G99" s="248">
        <v>0.82145591153024466</v>
      </c>
      <c r="H99" s="181">
        <v>0.82715136756968299</v>
      </c>
      <c r="I99" s="181">
        <v>0.82854382424611639</v>
      </c>
      <c r="J99" s="181">
        <v>0.82929942368598675</v>
      </c>
      <c r="K99" s="286">
        <v>0.82836862801966649</v>
      </c>
      <c r="L99" s="181">
        <v>0.82955389576860017</v>
      </c>
      <c r="M99" s="181">
        <v>0.81855634816945144</v>
      </c>
      <c r="N99" s="181">
        <v>0.81270507455576591</v>
      </c>
      <c r="O99" s="181">
        <v>0.83038839740325865</v>
      </c>
      <c r="P99" s="181">
        <v>0.83745990220810362</v>
      </c>
      <c r="Q99" s="181">
        <v>0.8250177032035233</v>
      </c>
      <c r="R99" s="355">
        <f t="shared" ref="R99:AA101" si="80">H99</f>
        <v>0.82715136756968299</v>
      </c>
      <c r="S99" s="355">
        <f t="shared" si="80"/>
        <v>0.82854382424611639</v>
      </c>
      <c r="T99" s="355">
        <f t="shared" si="80"/>
        <v>0.82929942368598675</v>
      </c>
      <c r="U99" s="355">
        <f t="shared" si="80"/>
        <v>0.82836862801966649</v>
      </c>
      <c r="V99" s="355">
        <f t="shared" si="80"/>
        <v>0.82955389576860017</v>
      </c>
      <c r="W99" s="355">
        <f t="shared" si="80"/>
        <v>0.81855634816945144</v>
      </c>
      <c r="X99" s="355">
        <f t="shared" si="80"/>
        <v>0.81270507455576591</v>
      </c>
      <c r="Y99" s="355">
        <f t="shared" si="80"/>
        <v>0.83038839740325865</v>
      </c>
      <c r="Z99" s="355">
        <f t="shared" si="80"/>
        <v>0.83745990220810362</v>
      </c>
      <c r="AA99" s="355">
        <f t="shared" si="80"/>
        <v>0.8250177032035233</v>
      </c>
      <c r="AB99" s="370">
        <v>0.84507458179113126</v>
      </c>
      <c r="AC99" s="370">
        <v>0.84968513033042214</v>
      </c>
      <c r="AD99" s="370">
        <v>0.84610925274915805</v>
      </c>
      <c r="AE99" s="370">
        <v>0.85892786847547209</v>
      </c>
      <c r="AF99" s="370">
        <v>0.85000351799429719</v>
      </c>
      <c r="AG99" s="370">
        <v>0.85828202509147322</v>
      </c>
      <c r="AH99" s="370">
        <v>0.85539427073740448</v>
      </c>
      <c r="AI99" s="370">
        <v>0.86016039054776272</v>
      </c>
      <c r="AJ99" s="370">
        <v>0.86123715176185733</v>
      </c>
      <c r="AK99" s="370">
        <v>0.85900829818951019</v>
      </c>
      <c r="AL99" s="370">
        <v>0.85775195649255742</v>
      </c>
      <c r="AM99" s="370">
        <v>0.86082951267316399</v>
      </c>
      <c r="AN99" s="370">
        <v>0.85969496377656596</v>
      </c>
      <c r="AO99" s="401"/>
    </row>
    <row r="100" spans="1:41" x14ac:dyDescent="0.35">
      <c r="A100" s="159"/>
      <c r="B100" s="167" t="s">
        <v>87</v>
      </c>
      <c r="C100" s="249">
        <v>0.14249703777966138</v>
      </c>
      <c r="D100" s="249">
        <v>0.15313371099721249</v>
      </c>
      <c r="E100" s="248">
        <v>0.1394577451974317</v>
      </c>
      <c r="F100" s="248">
        <v>0.135860522684847</v>
      </c>
      <c r="G100" s="248">
        <v>0.14265249070671021</v>
      </c>
      <c r="H100" s="181">
        <v>0.13536065090615684</v>
      </c>
      <c r="I100" s="181">
        <v>0.13078738958269875</v>
      </c>
      <c r="J100" s="181">
        <v>0.12937211193991105</v>
      </c>
      <c r="K100" s="286">
        <v>0.13174300264266617</v>
      </c>
      <c r="L100" s="181">
        <v>0.12967211406933662</v>
      </c>
      <c r="M100" s="181">
        <v>0.12147028254436018</v>
      </c>
      <c r="N100" s="181">
        <v>0.12383525865573757</v>
      </c>
      <c r="O100" s="181">
        <v>0.11091840631364562</v>
      </c>
      <c r="P100" s="181">
        <v>0.10081285620853966</v>
      </c>
      <c r="Q100" s="181">
        <v>0.114022752903628</v>
      </c>
      <c r="R100" s="355">
        <f t="shared" si="80"/>
        <v>0.13536065090615684</v>
      </c>
      <c r="S100" s="355">
        <f t="shared" si="80"/>
        <v>0.13078738958269875</v>
      </c>
      <c r="T100" s="355">
        <f t="shared" si="80"/>
        <v>0.12937211193991105</v>
      </c>
      <c r="U100" s="355">
        <f t="shared" si="80"/>
        <v>0.13174300264266617</v>
      </c>
      <c r="V100" s="355">
        <f t="shared" si="80"/>
        <v>0.12967211406933662</v>
      </c>
      <c r="W100" s="355">
        <f t="shared" si="80"/>
        <v>0.12147028254436018</v>
      </c>
      <c r="X100" s="355">
        <f t="shared" si="80"/>
        <v>0.12383525865573757</v>
      </c>
      <c r="Y100" s="355">
        <f t="shared" si="80"/>
        <v>0.11091840631364562</v>
      </c>
      <c r="Z100" s="355">
        <f t="shared" si="80"/>
        <v>0.10081285620853966</v>
      </c>
      <c r="AA100" s="355">
        <f t="shared" si="80"/>
        <v>0.114022752903628</v>
      </c>
      <c r="AB100" s="370">
        <v>9.4629318894951228E-2</v>
      </c>
      <c r="AC100" s="370">
        <v>8.4639484341920146E-2</v>
      </c>
      <c r="AD100" s="370">
        <v>9.5027448940333908E-2</v>
      </c>
      <c r="AE100" s="370">
        <v>9.4985781730874436E-2</v>
      </c>
      <c r="AF100" s="370">
        <v>9.2503463849838291E-2</v>
      </c>
      <c r="AG100" s="370">
        <v>9.4679987238737287E-2</v>
      </c>
      <c r="AH100" s="370">
        <v>9.5157845905182364E-2</v>
      </c>
      <c r="AI100" s="370">
        <v>9.4491814778412342E-2</v>
      </c>
      <c r="AJ100" s="370">
        <v>9.3090449127121971E-2</v>
      </c>
      <c r="AK100" s="370">
        <v>9.4212473926149412E-2</v>
      </c>
      <c r="AL100" s="370">
        <v>9.9550595682622325E-2</v>
      </c>
      <c r="AM100" s="370">
        <v>9.2536940797546763E-2</v>
      </c>
      <c r="AN100" s="370">
        <v>9.4454488940220349E-2</v>
      </c>
      <c r="AO100" s="401"/>
    </row>
    <row r="101" spans="1:41" x14ac:dyDescent="0.35">
      <c r="A101" s="159"/>
      <c r="B101" s="167" t="s">
        <v>137</v>
      </c>
      <c r="C101" s="250">
        <v>3.6443223753981881E-2</v>
      </c>
      <c r="D101" s="249">
        <v>3.2857815367852025E-2</v>
      </c>
      <c r="E101" s="248">
        <v>3.6496919597598043E-2</v>
      </c>
      <c r="F101" s="248">
        <v>3.7699862024186348E-2</v>
      </c>
      <c r="G101" s="248">
        <v>3.5891597763045076E-2</v>
      </c>
      <c r="H101" s="198">
        <v>3.7487981524160156E-2</v>
      </c>
      <c r="I101" s="198">
        <v>4.0668786171184891E-2</v>
      </c>
      <c r="J101" s="198">
        <v>4.1328464374102217E-2</v>
      </c>
      <c r="K101" s="287">
        <v>3.9888369337667325E-2</v>
      </c>
      <c r="L101" s="198">
        <v>4.0773990162063248E-2</v>
      </c>
      <c r="M101" s="198">
        <v>5.9973369286188342E-2</v>
      </c>
      <c r="N101" s="198">
        <v>6.345966678849653E-2</v>
      </c>
      <c r="O101" s="181">
        <v>5.8693196283095724E-2</v>
      </c>
      <c r="P101" s="198">
        <v>6.1727241583356691E-2</v>
      </c>
      <c r="Q101" s="198">
        <v>6.095954389284871E-2</v>
      </c>
      <c r="R101" s="355">
        <v>3.7999999999999999E-2</v>
      </c>
      <c r="S101" s="355">
        <v>0.04</v>
      </c>
      <c r="T101" s="355">
        <v>4.2000000000000003E-2</v>
      </c>
      <c r="U101" s="355">
        <f t="shared" si="80"/>
        <v>3.9888369337667325E-2</v>
      </c>
      <c r="V101" s="355">
        <v>0.04</v>
      </c>
      <c r="W101" s="355">
        <f t="shared" si="80"/>
        <v>5.9973369286188342E-2</v>
      </c>
      <c r="X101" s="355">
        <f t="shared" si="80"/>
        <v>6.345966678849653E-2</v>
      </c>
      <c r="Y101" s="355">
        <f t="shared" si="80"/>
        <v>5.8693196283095724E-2</v>
      </c>
      <c r="Z101" s="355">
        <f t="shared" si="80"/>
        <v>6.1727241583356691E-2</v>
      </c>
      <c r="AA101" s="355">
        <f t="shared" si="80"/>
        <v>6.095954389284871E-2</v>
      </c>
      <c r="AB101" s="370">
        <v>6.0296099313917398E-2</v>
      </c>
      <c r="AC101" s="370">
        <v>6.5000000000000002E-2</v>
      </c>
      <c r="AD101" s="370">
        <v>5.8863298310508079E-2</v>
      </c>
      <c r="AE101" s="370">
        <v>4.6086349793653482E-2</v>
      </c>
      <c r="AF101" s="370">
        <v>5.749301815586453E-2</v>
      </c>
      <c r="AG101" s="370">
        <v>4.7037987669789338E-2</v>
      </c>
      <c r="AH101" s="370">
        <v>5.0447883357413167E-2</v>
      </c>
      <c r="AI101" s="370">
        <v>4.6347794673824959E-2</v>
      </c>
      <c r="AJ101" s="370">
        <v>4.5672399111020612E-2</v>
      </c>
      <c r="AK101" s="370">
        <v>4.6779227884340364E-2</v>
      </c>
      <c r="AL101" s="370">
        <v>4.2697447824820427E-2</v>
      </c>
      <c r="AM101" s="370">
        <v>4.6633546529289263E-2</v>
      </c>
      <c r="AN101" s="370">
        <v>4.5850547283213784E-2</v>
      </c>
      <c r="AO101" s="401"/>
    </row>
    <row r="102" spans="1:41" x14ac:dyDescent="0.35">
      <c r="A102" s="159"/>
      <c r="B102" s="160"/>
      <c r="C102" s="163"/>
      <c r="K102" s="158"/>
      <c r="L102" s="158"/>
      <c r="M102" s="158"/>
      <c r="N102" s="158"/>
      <c r="O102" s="158"/>
    </row>
    <row r="103" spans="1:41" x14ac:dyDescent="0.35">
      <c r="B103" s="182"/>
      <c r="K103" s="158"/>
      <c r="L103" s="158"/>
      <c r="M103" s="158"/>
      <c r="N103" s="158"/>
      <c r="O103" s="158"/>
    </row>
    <row r="104" spans="1:41" x14ac:dyDescent="0.35">
      <c r="B104" s="171" t="s">
        <v>260</v>
      </c>
      <c r="K104" s="158"/>
      <c r="L104" s="158"/>
      <c r="M104" s="158"/>
      <c r="N104" s="158"/>
      <c r="O104" s="158"/>
    </row>
    <row r="105" spans="1:41" x14ac:dyDescent="0.35">
      <c r="B105" s="171" t="s">
        <v>166</v>
      </c>
      <c r="K105" s="158"/>
      <c r="L105" s="158"/>
      <c r="M105" s="158"/>
      <c r="N105" s="158"/>
      <c r="O105" s="158"/>
    </row>
    <row r="106" spans="1:41" x14ac:dyDescent="0.35">
      <c r="K106" s="276"/>
      <c r="L106" s="158"/>
      <c r="M106" s="158"/>
      <c r="N106" s="158"/>
      <c r="O106" s="158"/>
    </row>
    <row r="107" spans="1:41" x14ac:dyDescent="0.35">
      <c r="K107" s="158"/>
      <c r="L107" s="158"/>
      <c r="M107" s="158"/>
      <c r="N107" s="158"/>
      <c r="O107" s="158"/>
      <c r="AB107" s="356"/>
      <c r="AC107" s="356"/>
      <c r="AD107" s="356"/>
      <c r="AE107" s="356"/>
      <c r="AF107" s="356"/>
      <c r="AG107" s="356"/>
      <c r="AH107" s="356"/>
      <c r="AI107" s="356"/>
      <c r="AJ107" s="356"/>
      <c r="AK107" s="356"/>
      <c r="AL107" s="356"/>
      <c r="AM107" s="356"/>
      <c r="AN107" s="356"/>
    </row>
    <row r="108" spans="1:41" x14ac:dyDescent="0.35">
      <c r="C108" s="256"/>
      <c r="D108" s="256"/>
      <c r="E108" s="256"/>
      <c r="F108" s="256"/>
      <c r="G108" s="256"/>
      <c r="H108" s="256"/>
      <c r="I108" s="256"/>
      <c r="J108" s="256"/>
      <c r="K108" s="285"/>
      <c r="L108" s="285"/>
      <c r="M108" s="285"/>
      <c r="N108" s="285"/>
      <c r="O108" s="285"/>
      <c r="P108" s="285"/>
      <c r="Q108" s="285"/>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row>
    <row r="110" spans="1:41" x14ac:dyDescent="0.35">
      <c r="N110" s="310"/>
      <c r="O110" s="310"/>
    </row>
  </sheetData>
  <mergeCells count="8">
    <mergeCell ref="AL2:AN2"/>
    <mergeCell ref="C2:G2"/>
    <mergeCell ref="H3:L3"/>
    <mergeCell ref="R2:V2"/>
    <mergeCell ref="AG2:AK2"/>
    <mergeCell ref="AB2:AF2"/>
    <mergeCell ref="W2:AA2"/>
    <mergeCell ref="M3:Q3"/>
  </mergeCells>
  <pageMargins left="0.7" right="0.7" top="0.35" bottom="1.25" header="0.55000000000000004" footer="0.3"/>
  <pageSetup paperSize="9" scale="34" fitToHeight="0" orientation="landscape" r:id="rId1"/>
  <ignoredErrors>
    <ignoredError sqref="L94 L92 L9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GY45"/>
  <sheetViews>
    <sheetView showGridLines="0" view="pageBreakPreview" zoomScale="90" zoomScaleNormal="85" zoomScaleSheetLayoutView="90" workbookViewId="0">
      <pane xSplit="2" ySplit="4" topLeftCell="L5" activePane="bottomRight" state="frozen"/>
      <selection activeCell="I106" sqref="I106"/>
      <selection pane="topRight" activeCell="I106" sqref="I106"/>
      <selection pane="bottomLeft" activeCell="I106" sqref="I106"/>
      <selection pane="bottomRight" activeCell="AF13" sqref="AF13"/>
    </sheetView>
  </sheetViews>
  <sheetFormatPr defaultColWidth="9.140625" defaultRowHeight="12.75" outlineLevelCol="1" x14ac:dyDescent="0.2"/>
  <cols>
    <col min="1" max="1" width="2.42578125" style="7" customWidth="1"/>
    <col min="2" max="2" width="30.5703125" style="2" customWidth="1"/>
    <col min="3" max="3" width="10" style="24" hidden="1" customWidth="1" outlineLevel="1"/>
    <col min="4" max="4" width="10.28515625" style="2" hidden="1" customWidth="1" outlineLevel="1"/>
    <col min="5" max="5" width="10.7109375" style="2" hidden="1" customWidth="1" outlineLevel="1"/>
    <col min="6" max="6" width="9.140625" style="2" hidden="1" customWidth="1" outlineLevel="1"/>
    <col min="7" max="7" width="9.140625" style="2" hidden="1" customWidth="1" collapsed="1"/>
    <col min="8" max="11" width="0" style="2" hidden="1" customWidth="1" outlineLevel="1"/>
    <col min="12" max="12" width="9.140625" style="2" customWidth="1" collapsed="1"/>
    <col min="13" max="16" width="9.140625" style="2" hidden="1" customWidth="1" outlineLevel="1"/>
    <col min="17" max="17" width="9.140625" style="2" customWidth="1" collapsed="1"/>
    <col min="18" max="21" width="9.140625" style="2" customWidth="1" outlineLevel="1"/>
    <col min="22" max="25" width="9.140625" style="2"/>
    <col min="26" max="26" width="11.7109375" style="2" customWidth="1"/>
    <col min="27" max="27" width="9.140625" style="2"/>
    <col min="28" max="30" width="11.7109375" style="2" customWidth="1"/>
    <col min="31" max="31" width="9.140625" style="2" customWidth="1"/>
    <col min="32" max="16384" width="9.140625" style="2"/>
  </cols>
  <sheetData>
    <row r="1" spans="1:207" x14ac:dyDescent="0.2">
      <c r="AD1" s="410"/>
    </row>
    <row r="2" spans="1:207" x14ac:dyDescent="0.2">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row>
    <row r="3" spans="1:207" ht="23.25" customHeight="1" x14ac:dyDescent="0.2">
      <c r="A3" s="56"/>
      <c r="B3" s="55"/>
      <c r="D3" s="55"/>
      <c r="G3" s="149">
        <v>2017</v>
      </c>
      <c r="H3" s="149">
        <v>2018</v>
      </c>
      <c r="I3" s="149">
        <v>2018</v>
      </c>
      <c r="J3" s="149">
        <v>2018</v>
      </c>
      <c r="K3" s="149">
        <v>2018</v>
      </c>
      <c r="L3" s="149">
        <v>2018</v>
      </c>
      <c r="M3" s="149">
        <v>2019</v>
      </c>
      <c r="N3" s="149">
        <v>2019</v>
      </c>
      <c r="O3" s="149">
        <v>2019</v>
      </c>
      <c r="P3" s="149">
        <v>2019</v>
      </c>
      <c r="Q3" s="149">
        <v>2019</v>
      </c>
      <c r="R3" s="149">
        <v>2020</v>
      </c>
      <c r="S3" s="149">
        <v>2020</v>
      </c>
      <c r="T3" s="149">
        <v>2020</v>
      </c>
      <c r="U3" s="149">
        <v>2020</v>
      </c>
      <c r="V3" s="149">
        <v>2020</v>
      </c>
      <c r="W3" s="149">
        <v>2021</v>
      </c>
      <c r="X3" s="149">
        <v>2021</v>
      </c>
      <c r="Y3" s="149">
        <v>2021</v>
      </c>
      <c r="Z3" s="149">
        <v>2021</v>
      </c>
      <c r="AA3" s="149">
        <v>2021</v>
      </c>
      <c r="AB3" s="149">
        <v>2022</v>
      </c>
      <c r="AC3" s="149">
        <v>2022</v>
      </c>
      <c r="AD3" s="149">
        <v>2022</v>
      </c>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row>
    <row r="4" spans="1:207" ht="15.75" customHeight="1" x14ac:dyDescent="0.2">
      <c r="A4" s="56"/>
      <c r="B4" s="55"/>
      <c r="C4" s="154" t="s">
        <v>8</v>
      </c>
      <c r="D4" s="154" t="s">
        <v>9</v>
      </c>
      <c r="E4" s="154" t="s">
        <v>10</v>
      </c>
      <c r="F4" s="154" t="s">
        <v>11</v>
      </c>
      <c r="G4" s="148" t="s">
        <v>12</v>
      </c>
      <c r="H4" s="148" t="s">
        <v>8</v>
      </c>
      <c r="I4" s="148" t="s">
        <v>9</v>
      </c>
      <c r="J4" s="148" t="s">
        <v>10</v>
      </c>
      <c r="K4" s="148" t="s">
        <v>11</v>
      </c>
      <c r="L4" s="148" t="s">
        <v>12</v>
      </c>
      <c r="M4" s="148" t="s">
        <v>8</v>
      </c>
      <c r="N4" s="148" t="s">
        <v>9</v>
      </c>
      <c r="O4" s="148" t="s">
        <v>10</v>
      </c>
      <c r="P4" s="148" t="s">
        <v>11</v>
      </c>
      <c r="Q4" s="148" t="s">
        <v>12</v>
      </c>
      <c r="R4" s="148" t="s">
        <v>8</v>
      </c>
      <c r="S4" s="148" t="s">
        <v>9</v>
      </c>
      <c r="T4" s="148" t="s">
        <v>10</v>
      </c>
      <c r="U4" s="148" t="s">
        <v>11</v>
      </c>
      <c r="V4" s="148" t="s">
        <v>12</v>
      </c>
      <c r="W4" s="148" t="s">
        <v>8</v>
      </c>
      <c r="X4" s="148" t="s">
        <v>9</v>
      </c>
      <c r="Y4" s="148" t="s">
        <v>10</v>
      </c>
      <c r="Z4" s="148" t="s">
        <v>11</v>
      </c>
      <c r="AA4" s="148" t="s">
        <v>12</v>
      </c>
      <c r="AB4" s="148" t="s">
        <v>8</v>
      </c>
      <c r="AC4" s="148" t="s">
        <v>9</v>
      </c>
      <c r="AD4" s="148" t="s">
        <v>10</v>
      </c>
      <c r="AE4" s="389"/>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row>
    <row r="5" spans="1:207" x14ac:dyDescent="0.2">
      <c r="A5" s="56"/>
      <c r="B5" s="55"/>
      <c r="C5" s="92"/>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row>
    <row r="6" spans="1:207" s="73" customFormat="1" x14ac:dyDescent="0.2">
      <c r="A6" s="83"/>
      <c r="B6" s="73" t="s">
        <v>0</v>
      </c>
      <c r="C6" s="79">
        <v>26428</v>
      </c>
      <c r="D6" s="79">
        <v>26317</v>
      </c>
      <c r="E6" s="79">
        <v>27358</v>
      </c>
      <c r="F6" s="79">
        <v>27756</v>
      </c>
      <c r="G6" s="79">
        <v>27756</v>
      </c>
      <c r="H6" s="79">
        <v>27095</v>
      </c>
      <c r="I6" s="79">
        <v>27094</v>
      </c>
      <c r="J6" s="79">
        <v>28812</v>
      </c>
      <c r="K6" s="79">
        <v>29152</v>
      </c>
      <c r="L6" s="79">
        <v>29152</v>
      </c>
      <c r="M6" s="79">
        <v>29122</v>
      </c>
      <c r="N6" s="79">
        <v>30019</v>
      </c>
      <c r="O6" s="79">
        <v>31496</v>
      </c>
      <c r="P6" s="79">
        <v>31728</v>
      </c>
      <c r="Q6" s="79">
        <f>P6</f>
        <v>31728</v>
      </c>
      <c r="R6" s="79">
        <v>32780</v>
      </c>
      <c r="S6" s="79">
        <v>31622</v>
      </c>
      <c r="T6" s="79">
        <v>31816</v>
      </c>
      <c r="U6" s="79">
        <v>31936</v>
      </c>
      <c r="V6" s="79">
        <f>U6</f>
        <v>31936</v>
      </c>
      <c r="W6" s="79">
        <v>31631</v>
      </c>
      <c r="X6" s="79">
        <v>32994</v>
      </c>
      <c r="Y6" s="79">
        <v>34548</v>
      </c>
      <c r="Z6" s="79">
        <v>37431</v>
      </c>
      <c r="AA6" s="79">
        <f>Z6</f>
        <v>37431</v>
      </c>
      <c r="AB6" s="79">
        <v>39110</v>
      </c>
      <c r="AC6" s="79">
        <v>40617</v>
      </c>
      <c r="AD6" s="79">
        <v>43111</v>
      </c>
      <c r="AE6" s="318"/>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row>
    <row r="7" spans="1:207" s="8" customFormat="1" x14ac:dyDescent="0.2">
      <c r="A7" s="6"/>
      <c r="B7" s="1"/>
      <c r="C7" s="140"/>
      <c r="D7" s="140"/>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row>
    <row r="8" spans="1:207" s="74" customFormat="1" ht="14.25" x14ac:dyDescent="0.2">
      <c r="A8" s="83"/>
      <c r="B8" s="73" t="s">
        <v>79</v>
      </c>
      <c r="C8" s="79">
        <v>22394</v>
      </c>
      <c r="D8" s="79">
        <v>23293</v>
      </c>
      <c r="E8" s="79">
        <v>22775</v>
      </c>
      <c r="F8" s="79">
        <v>24215</v>
      </c>
      <c r="G8" s="79">
        <f>F8</f>
        <v>24215</v>
      </c>
      <c r="H8" s="79">
        <v>24849</v>
      </c>
      <c r="I8" s="79">
        <v>24617</v>
      </c>
      <c r="J8" s="79">
        <v>25488</v>
      </c>
      <c r="K8" s="79">
        <v>25931</v>
      </c>
      <c r="L8" s="79">
        <f>K8</f>
        <v>25931</v>
      </c>
      <c r="M8" s="79">
        <v>26024</v>
      </c>
      <c r="N8" s="79">
        <v>27124</v>
      </c>
      <c r="O8" s="79">
        <v>27469</v>
      </c>
      <c r="P8" s="79">
        <v>27738</v>
      </c>
      <c r="Q8" s="79">
        <f>P8</f>
        <v>27738</v>
      </c>
      <c r="R8" s="79">
        <v>29116</v>
      </c>
      <c r="S8" s="381" t="s">
        <v>235</v>
      </c>
      <c r="T8" s="381" t="s">
        <v>269</v>
      </c>
      <c r="U8" s="381" t="s">
        <v>235</v>
      </c>
      <c r="V8" s="381" t="s">
        <v>235</v>
      </c>
      <c r="W8" s="381" t="s">
        <v>235</v>
      </c>
      <c r="X8" s="381" t="s">
        <v>235</v>
      </c>
      <c r="Y8" s="381" t="s">
        <v>235</v>
      </c>
      <c r="Z8" s="381" t="s">
        <v>235</v>
      </c>
      <c r="AA8" s="381" t="s">
        <v>235</v>
      </c>
      <c r="AB8" s="381" t="s">
        <v>235</v>
      </c>
      <c r="AC8" s="381" t="s">
        <v>235</v>
      </c>
      <c r="AD8" s="381" t="s">
        <v>235</v>
      </c>
      <c r="AE8" s="318"/>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row>
    <row r="9" spans="1:207" x14ac:dyDescent="0.2">
      <c r="A9" s="6"/>
      <c r="B9" s="55"/>
      <c r="C9" s="92"/>
      <c r="D9" s="92"/>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row>
    <row r="10" spans="1:207" s="74" customFormat="1" ht="14.25" x14ac:dyDescent="0.2">
      <c r="A10" s="83"/>
      <c r="B10" s="73" t="s">
        <v>219</v>
      </c>
      <c r="C10" s="93">
        <v>1.1094043047244797</v>
      </c>
      <c r="D10" s="93">
        <v>1.0632378826256816</v>
      </c>
      <c r="E10" s="93">
        <v>1.1343578485181121</v>
      </c>
      <c r="F10" s="93">
        <v>1.0824282469543671</v>
      </c>
      <c r="G10" s="93">
        <v>1.0824282469543671</v>
      </c>
      <c r="H10" s="93">
        <v>1.0272043140569036</v>
      </c>
      <c r="I10" s="93">
        <v>1.032416622659138</v>
      </c>
      <c r="J10" s="93">
        <v>1.0606167608286252</v>
      </c>
      <c r="K10" s="93">
        <v>1.0550306582854498</v>
      </c>
      <c r="L10" s="93">
        <v>1.0550306582854498</v>
      </c>
      <c r="M10" s="93">
        <v>1.0547908930218257</v>
      </c>
      <c r="N10" s="93">
        <v>1.0407279531042619</v>
      </c>
      <c r="O10" s="93">
        <v>1.08</v>
      </c>
      <c r="P10" s="93">
        <v>1.0774978729540701</v>
      </c>
      <c r="Q10" s="93">
        <f>P10</f>
        <v>1.0774978729540701</v>
      </c>
      <c r="R10" s="93">
        <v>1.06</v>
      </c>
      <c r="S10" s="381" t="s">
        <v>235</v>
      </c>
      <c r="T10" s="381" t="s">
        <v>269</v>
      </c>
      <c r="U10" s="381" t="s">
        <v>235</v>
      </c>
      <c r="V10" s="381" t="s">
        <v>235</v>
      </c>
      <c r="W10" s="381" t="s">
        <v>235</v>
      </c>
      <c r="X10" s="381" t="s">
        <v>235</v>
      </c>
      <c r="Y10" s="381" t="s">
        <v>235</v>
      </c>
      <c r="Z10" s="381" t="s">
        <v>235</v>
      </c>
      <c r="AA10" s="381" t="s">
        <v>235</v>
      </c>
      <c r="AB10" s="381" t="s">
        <v>235</v>
      </c>
      <c r="AC10" s="381" t="s">
        <v>235</v>
      </c>
      <c r="AD10" s="381" t="s">
        <v>235</v>
      </c>
      <c r="AE10" s="318"/>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row>
    <row r="11" spans="1:207" x14ac:dyDescent="0.2">
      <c r="A11" s="6"/>
      <c r="B11" s="55"/>
      <c r="C11" s="92"/>
      <c r="D11" s="92"/>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row>
    <row r="12" spans="1:207" s="74" customFormat="1" x14ac:dyDescent="0.2">
      <c r="A12" s="83"/>
      <c r="B12" s="73" t="s">
        <v>220</v>
      </c>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row>
    <row r="13" spans="1:207" x14ac:dyDescent="0.2">
      <c r="A13" s="6"/>
      <c r="B13" s="80" t="s">
        <v>48</v>
      </c>
      <c r="C13" s="10">
        <v>7.0543868104712068E-2</v>
      </c>
      <c r="D13" s="10">
        <v>6.8413258321300074E-2</v>
      </c>
      <c r="E13" s="10">
        <v>7.8682951663760131E-2</v>
      </c>
      <c r="F13" s="254">
        <v>9.0865388386000639E-2</v>
      </c>
      <c r="G13" s="254">
        <v>7.7344020427689564E-2</v>
      </c>
      <c r="H13" s="273">
        <v>8.0392074175461611E-2</v>
      </c>
      <c r="I13" s="273">
        <v>8.3199807659539757E-2</v>
      </c>
      <c r="J13" s="273">
        <v>7.85834865138509E-2</v>
      </c>
      <c r="K13" s="95">
        <v>8.6041315523410405E-2</v>
      </c>
      <c r="L13" s="254">
        <v>8.2089428257938343E-2</v>
      </c>
      <c r="M13" s="145">
        <v>7.9081549855751734E-2</v>
      </c>
      <c r="N13" s="145">
        <v>8.4175051580166541E-2</v>
      </c>
      <c r="O13" s="145">
        <v>7.5242799743906075E-2</v>
      </c>
      <c r="P13" s="145">
        <v>8.1402448811873057E-2</v>
      </c>
      <c r="Q13" s="145">
        <v>7.996062015913441E-2</v>
      </c>
      <c r="R13" s="145">
        <v>8.0666291683971769E-2</v>
      </c>
      <c r="S13" s="145">
        <v>8.9891554169399771E-2</v>
      </c>
      <c r="T13" s="351">
        <v>8.4717007371973033E-2</v>
      </c>
      <c r="U13" s="351">
        <v>8.7893571549537419E-2</v>
      </c>
      <c r="V13" s="351">
        <v>8.2128349430730371E-2</v>
      </c>
      <c r="W13" s="351">
        <v>8.2573813172722055E-2</v>
      </c>
      <c r="X13" s="351">
        <v>7.2942283209148681E-2</v>
      </c>
      <c r="Y13" s="351">
        <v>7.7332515560155815E-2</v>
      </c>
      <c r="Z13" s="351">
        <v>8.0701826775208776E-2</v>
      </c>
      <c r="AA13" s="351">
        <v>7.6672052583416167E-2</v>
      </c>
      <c r="AB13" s="351">
        <v>8.0545732206175391E-2</v>
      </c>
      <c r="AC13" s="351">
        <v>7.373476496833492E-2</v>
      </c>
      <c r="AD13" s="351">
        <v>6.6654494331300676E-2</v>
      </c>
      <c r="AE13" s="318"/>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row>
    <row r="14" spans="1:207" x14ac:dyDescent="0.2">
      <c r="A14" s="6"/>
      <c r="B14" s="80" t="s">
        <v>45</v>
      </c>
      <c r="C14" s="10">
        <v>0.16718845169265559</v>
      </c>
      <c r="D14" s="10">
        <v>0.16609294905650634</v>
      </c>
      <c r="E14" s="10">
        <v>0.17151675219019799</v>
      </c>
      <c r="F14" s="254">
        <v>0.18004267933978224</v>
      </c>
      <c r="G14" s="254">
        <v>0.17074782349225345</v>
      </c>
      <c r="H14" s="273">
        <v>0.16875311796250148</v>
      </c>
      <c r="I14" s="273">
        <v>0.17246104394198541</v>
      </c>
      <c r="J14" s="273">
        <v>0.15646660865059261</v>
      </c>
      <c r="K14" s="95">
        <v>0.16347290863176006</v>
      </c>
      <c r="L14" s="254">
        <v>0.16387840170410725</v>
      </c>
      <c r="M14" s="145">
        <v>0.15658657950420171</v>
      </c>
      <c r="N14" s="145">
        <v>0.15782506406378663</v>
      </c>
      <c r="O14" s="145">
        <v>0.14878314416660995</v>
      </c>
      <c r="P14" s="145">
        <v>0.16350984859168816</v>
      </c>
      <c r="Q14" s="145">
        <v>0.15225578197830744</v>
      </c>
      <c r="R14" s="145">
        <v>0.17756147197119954</v>
      </c>
      <c r="S14" s="145">
        <v>0.1974545126171123</v>
      </c>
      <c r="T14" s="351">
        <v>0.19667141217386097</v>
      </c>
      <c r="U14" s="351">
        <v>0.20412117815548159</v>
      </c>
      <c r="V14" s="351">
        <v>0.19182918602069332</v>
      </c>
      <c r="W14" s="351">
        <v>0.19682799792728145</v>
      </c>
      <c r="X14" s="351">
        <v>0.18612988897315338</v>
      </c>
      <c r="Y14" s="351">
        <v>0.1837367368366993</v>
      </c>
      <c r="Z14" s="351">
        <v>0.18387836907072522</v>
      </c>
      <c r="AA14" s="351">
        <v>0.18740996099057888</v>
      </c>
      <c r="AB14" s="351">
        <v>0.17278516058807039</v>
      </c>
      <c r="AC14" s="351">
        <v>0.16869183068986821</v>
      </c>
      <c r="AD14" s="351">
        <v>0.15346954938992724</v>
      </c>
      <c r="AE14" s="318"/>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row>
    <row r="15" spans="1:207" x14ac:dyDescent="0.2">
      <c r="A15" s="6"/>
      <c r="B15" s="80" t="s">
        <v>46</v>
      </c>
      <c r="C15" s="10">
        <v>0.24154938838377771</v>
      </c>
      <c r="D15" s="10">
        <v>0.2470451552352449</v>
      </c>
      <c r="E15" s="10">
        <v>0.24654080328190808</v>
      </c>
      <c r="F15" s="254">
        <v>0.25623991335447316</v>
      </c>
      <c r="G15" s="254">
        <v>0.24560333276201043</v>
      </c>
      <c r="H15" s="273">
        <v>0.24735224929156971</v>
      </c>
      <c r="I15" s="273">
        <v>0.24907263736585927</v>
      </c>
      <c r="J15" s="273">
        <v>0.22620406291789719</v>
      </c>
      <c r="K15" s="95">
        <v>0.23435108111157243</v>
      </c>
      <c r="L15" s="254">
        <v>0.23670661738731769</v>
      </c>
      <c r="M15" s="145">
        <v>0.22627728301993461</v>
      </c>
      <c r="N15" s="145">
        <v>0.22404913040086827</v>
      </c>
      <c r="O15" s="145">
        <v>0.21674863331481722</v>
      </c>
      <c r="P15" s="145">
        <v>0.22833874714387031</v>
      </c>
      <c r="Q15" s="145">
        <v>0.21954984667495586</v>
      </c>
      <c r="R15" s="145">
        <v>0.24349506187494788</v>
      </c>
      <c r="S15" s="145">
        <v>0.26353252217925593</v>
      </c>
      <c r="T15" s="351">
        <v>0.25893702285417286</v>
      </c>
      <c r="U15" s="351">
        <v>0.26637160193390208</v>
      </c>
      <c r="V15" s="351">
        <v>0.25396202207835289</v>
      </c>
      <c r="W15" s="351">
        <v>0.26503966246249155</v>
      </c>
      <c r="X15" s="351">
        <v>0.24937191673295264</v>
      </c>
      <c r="Y15" s="351">
        <v>0.25311726064773865</v>
      </c>
      <c r="Z15" s="351">
        <v>0.24958701817168855</v>
      </c>
      <c r="AA15" s="351">
        <v>0.2520823855353348</v>
      </c>
      <c r="AB15" s="351">
        <v>0.24162594438343749</v>
      </c>
      <c r="AC15" s="351">
        <v>0.23810419909738464</v>
      </c>
      <c r="AD15" s="351">
        <v>0.22274688856274488</v>
      </c>
      <c r="AE15" s="318"/>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row>
    <row r="16" spans="1:207" x14ac:dyDescent="0.2">
      <c r="A16" s="6"/>
      <c r="B16" s="80" t="s">
        <v>47</v>
      </c>
      <c r="C16" s="274">
        <v>0.38800000000000001</v>
      </c>
      <c r="D16" s="95">
        <v>0.39117560568524334</v>
      </c>
      <c r="E16" s="10">
        <v>0.38341186844162889</v>
      </c>
      <c r="F16" s="254">
        <v>0.38267699470046296</v>
      </c>
      <c r="G16" s="254">
        <v>0.38605801267864925</v>
      </c>
      <c r="H16" s="254">
        <v>0.39566771616851942</v>
      </c>
      <c r="I16" s="254">
        <v>0.38953687892037764</v>
      </c>
      <c r="J16" s="254">
        <v>0.36698213657314627</v>
      </c>
      <c r="K16" s="145">
        <v>0.37112622445702192</v>
      </c>
      <c r="L16" s="254">
        <v>0.372235222510376</v>
      </c>
      <c r="M16" s="145">
        <v>0.36560196961153252</v>
      </c>
      <c r="N16" s="145">
        <v>0.36501842011120145</v>
      </c>
      <c r="O16" s="145">
        <v>0.35706193682575654</v>
      </c>
      <c r="P16" s="274">
        <v>0.36199840679369394</v>
      </c>
      <c r="Q16" s="354">
        <v>0.36146546649661448</v>
      </c>
      <c r="R16" s="145">
        <v>0.37293535284921092</v>
      </c>
      <c r="S16" s="145">
        <v>0.38745042926556528</v>
      </c>
      <c r="T16" s="351">
        <v>0.38677134006324027</v>
      </c>
      <c r="U16" s="351">
        <v>0.37850956690687021</v>
      </c>
      <c r="V16" s="351">
        <v>0.37386473773063189</v>
      </c>
      <c r="W16" s="351">
        <v>0.39280543210797381</v>
      </c>
      <c r="X16" s="351">
        <v>0.37829173543400607</v>
      </c>
      <c r="Y16" s="351">
        <v>0.38651250204940735</v>
      </c>
      <c r="Z16" s="351">
        <v>0.37369405006205575</v>
      </c>
      <c r="AA16" s="351">
        <v>0.38120342608068464</v>
      </c>
      <c r="AB16" s="351">
        <v>0.362362235076923</v>
      </c>
      <c r="AC16" s="351">
        <v>0.36212131172504652</v>
      </c>
      <c r="AD16" s="351">
        <v>0.34187408577290018</v>
      </c>
      <c r="AE16" s="318"/>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row>
    <row r="17" spans="1:207" x14ac:dyDescent="0.2">
      <c r="A17" s="6"/>
      <c r="B17" s="55"/>
      <c r="C17" s="92"/>
      <c r="D17" s="92"/>
      <c r="E17" s="55"/>
      <c r="F17" s="55"/>
      <c r="G17" s="55"/>
      <c r="H17" s="55"/>
      <c r="I17" s="55"/>
      <c r="J17" s="55"/>
      <c r="K17" s="279"/>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row>
    <row r="18" spans="1:207" s="74" customFormat="1" x14ac:dyDescent="0.2">
      <c r="A18" s="83"/>
      <c r="B18" s="84" t="s">
        <v>165</v>
      </c>
      <c r="C18" s="96">
        <v>0.309</v>
      </c>
      <c r="D18" s="96">
        <v>0.35313642061404282</v>
      </c>
      <c r="E18" s="96">
        <v>0.315</v>
      </c>
      <c r="F18" s="96">
        <v>0.308</v>
      </c>
      <c r="G18" s="96">
        <v>0.32</v>
      </c>
      <c r="H18" s="96">
        <v>0.34771793917908539</v>
      </c>
      <c r="I18" s="96">
        <v>0.32887684750491686</v>
      </c>
      <c r="J18" s="96">
        <v>0.32664985108232508</v>
      </c>
      <c r="K18" s="96">
        <v>0.29138218163140767</v>
      </c>
      <c r="L18" s="96">
        <v>0.3182750662449782</v>
      </c>
      <c r="M18" s="96">
        <v>0.31946164643712327</v>
      </c>
      <c r="N18" s="96">
        <v>0.37242299219705011</v>
      </c>
      <c r="O18" s="96">
        <v>0.34489076991892847</v>
      </c>
      <c r="P18" s="96">
        <v>0.30887759596046266</v>
      </c>
      <c r="Q18" s="96">
        <v>0.33160055826371893</v>
      </c>
      <c r="R18" s="96">
        <v>0.31995558781720007</v>
      </c>
      <c r="S18" s="96">
        <v>0.14480475861212913</v>
      </c>
      <c r="T18" s="96">
        <v>0.2187065381701101</v>
      </c>
      <c r="U18" s="96">
        <v>0.22339677692447238</v>
      </c>
      <c r="V18" s="96">
        <v>0.23403179596651874</v>
      </c>
      <c r="W18" s="96">
        <v>0.26809255500268453</v>
      </c>
      <c r="X18" s="96">
        <v>0.29480874988485051</v>
      </c>
      <c r="Y18" s="96">
        <v>0.29731422620433601</v>
      </c>
      <c r="Z18" s="96">
        <v>0.29391266675770744</v>
      </c>
      <c r="AA18" s="96">
        <v>0.28288000000000002</v>
      </c>
      <c r="AB18" s="96">
        <v>0.34057937472275257</v>
      </c>
      <c r="AC18" s="96">
        <v>0.37968018909629725</v>
      </c>
      <c r="AD18" s="96">
        <v>0.34208603380353286</v>
      </c>
      <c r="AE18" s="318"/>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row>
    <row r="19" spans="1:207" s="38" customFormat="1" x14ac:dyDescent="0.2">
      <c r="A19" s="81"/>
      <c r="B19" s="82"/>
      <c r="C19" s="97"/>
      <c r="D19" s="97"/>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row>
    <row r="20" spans="1:207" x14ac:dyDescent="0.2">
      <c r="B20" s="138" t="s">
        <v>141</v>
      </c>
      <c r="D20" s="24"/>
      <c r="AK20" s="55"/>
      <c r="AL20" s="55"/>
      <c r="AM20" s="55"/>
      <c r="AN20" s="55"/>
      <c r="AO20" s="55"/>
      <c r="AP20" s="55"/>
      <c r="AQ20" s="55"/>
      <c r="AR20" s="55"/>
      <c r="AS20" s="55"/>
      <c r="AT20" s="55"/>
      <c r="AU20" s="55"/>
      <c r="AV20" s="55"/>
      <c r="AW20" s="55"/>
      <c r="AX20" s="55"/>
      <c r="AY20" s="55"/>
      <c r="AZ20" s="55"/>
    </row>
    <row r="21" spans="1:207" x14ac:dyDescent="0.2">
      <c r="B21" s="136" t="s">
        <v>140</v>
      </c>
      <c r="C21" s="139">
        <f>(64.85+66.69+67.85)/3</f>
        <v>66.463333333333324</v>
      </c>
      <c r="D21" s="139">
        <v>64.45</v>
      </c>
      <c r="E21" s="139">
        <f>+(64.18+63.9+65.28)/3</f>
        <v>64.453333333333333</v>
      </c>
      <c r="F21" s="139">
        <f>+(64.74+64.46+63.87)/3</f>
        <v>64.356666666666669</v>
      </c>
      <c r="G21" s="300">
        <f>AVERAGE(C21:F21)</f>
        <v>64.930833333333339</v>
      </c>
      <c r="H21" s="300">
        <v>64.64</v>
      </c>
      <c r="I21" s="300">
        <v>67.510000000000005</v>
      </c>
      <c r="J21" s="300">
        <v>70.67</v>
      </c>
      <c r="K21" s="300">
        <v>71.099999999999994</v>
      </c>
      <c r="L21" s="300">
        <f>AVERAGE(H21:K21)</f>
        <v>68.47999999999999</v>
      </c>
      <c r="M21" s="300">
        <v>70.316666666666677</v>
      </c>
      <c r="N21" s="300">
        <v>69.416666666666671</v>
      </c>
      <c r="O21" s="300">
        <v>70.353333333333339</v>
      </c>
      <c r="P21" s="300">
        <v>71.346666666666664</v>
      </c>
      <c r="Q21" s="300">
        <v>70.358333333333348</v>
      </c>
      <c r="R21" s="323">
        <v>73.081666666666663</v>
      </c>
      <c r="S21" s="323">
        <v>75.408333333333331</v>
      </c>
      <c r="T21" s="349">
        <v>74.061666666666667</v>
      </c>
      <c r="U21" s="349">
        <v>73.73833333333333</v>
      </c>
      <c r="V21" s="349">
        <v>74.072500000000005</v>
      </c>
      <c r="W21" s="323">
        <v>73.173333333333346</v>
      </c>
      <c r="X21" s="323">
        <v>73.665000000000006</v>
      </c>
      <c r="Y21" s="372">
        <v>73.879166666666663</v>
      </c>
      <c r="Z21" s="372">
        <v>74.788333333333341</v>
      </c>
      <c r="AA21" s="349">
        <v>73.87645833333336</v>
      </c>
      <c r="AB21" s="372">
        <v>75.245833333333323</v>
      </c>
      <c r="AC21" s="372">
        <v>77.677499999999995</v>
      </c>
      <c r="AD21" s="372">
        <v>80.013333333333335</v>
      </c>
      <c r="AE21" s="318"/>
      <c r="AK21" s="55"/>
      <c r="AL21" s="55"/>
      <c r="AM21" s="55"/>
      <c r="AN21" s="55"/>
      <c r="AO21" s="55"/>
      <c r="AP21" s="55"/>
      <c r="AQ21" s="55"/>
      <c r="AR21" s="55"/>
      <c r="AS21" s="55"/>
      <c r="AT21" s="55"/>
      <c r="AU21" s="55"/>
      <c r="AV21" s="55"/>
      <c r="AW21" s="55"/>
      <c r="AX21" s="55"/>
      <c r="AY21" s="55"/>
      <c r="AZ21" s="55"/>
    </row>
    <row r="22" spans="1:207" x14ac:dyDescent="0.2">
      <c r="B22" s="34" t="s">
        <v>142</v>
      </c>
      <c r="C22" s="99">
        <v>1.1734384099723827E-2</v>
      </c>
      <c r="D22" s="99">
        <v>3.0292391794974449E-2</v>
      </c>
      <c r="E22" s="99">
        <v>-5.1719679337924873E-5</v>
      </c>
      <c r="F22" s="99">
        <v>1.4997931319817859E-3</v>
      </c>
      <c r="G22" s="253"/>
      <c r="H22" s="301">
        <f>-(H21/F21-1)</f>
        <v>-4.4025482985445841E-3</v>
      </c>
      <c r="I22" s="301">
        <f>-(I21/H21-1)</f>
        <v>-4.4399752475247523E-2</v>
      </c>
      <c r="J22" s="301">
        <f>-(J21/I21-1)</f>
        <v>-4.6807880314027495E-2</v>
      </c>
      <c r="K22" s="302">
        <f>-(K21/J21-1)</f>
        <v>-6.0846186500636001E-3</v>
      </c>
      <c r="L22" s="253"/>
      <c r="M22" s="301">
        <f>-(M21/K21-1)</f>
        <v>1.1017346460384214E-2</v>
      </c>
      <c r="N22" s="301">
        <f>-(N21/M21-1)</f>
        <v>1.2799241526428196E-2</v>
      </c>
      <c r="O22" s="301">
        <f>-(O21/N21-1)</f>
        <v>-1.3493397358943504E-2</v>
      </c>
      <c r="P22" s="301">
        <f>-(P21/O21-1)</f>
        <v>-1.4119207808206191E-2</v>
      </c>
      <c r="Q22" s="301"/>
      <c r="R22" s="301">
        <f>-(R21/P21-1)</f>
        <v>-2.4317884507568666E-2</v>
      </c>
      <c r="S22" s="301">
        <f>-(S21/R21-1)</f>
        <v>-3.1836529909462064E-2</v>
      </c>
      <c r="T22" s="301">
        <f>-(T21/S21-1)</f>
        <v>1.7858326886948772E-2</v>
      </c>
      <c r="U22" s="301">
        <f>-(U21/T21-1)</f>
        <v>4.365731259986072E-3</v>
      </c>
      <c r="V22" s="301"/>
      <c r="W22" s="301">
        <f>-(W21/U21-1)</f>
        <v>7.662229053183367E-3</v>
      </c>
      <c r="X22" s="301">
        <f>-(X21/W21-1)</f>
        <v>-6.7192055393585637E-3</v>
      </c>
      <c r="Y22" s="301">
        <f>-(Y21/X21-1)</f>
        <v>-2.9073055951491789E-3</v>
      </c>
      <c r="Z22" s="301">
        <f>-(Z21/Y21-1)</f>
        <v>-1.2306130505893798E-2</v>
      </c>
      <c r="AA22" s="301"/>
      <c r="AB22" s="301">
        <f>-(AB21/Z21-1)</f>
        <v>-6.1172642791877951E-3</v>
      </c>
      <c r="AC22" s="301">
        <f>-(AC21/AB21-1)</f>
        <v>-3.2316296583421167E-2</v>
      </c>
      <c r="AD22" s="301">
        <f>-(AD21/AC21-1)</f>
        <v>-3.0070912855503007E-2</v>
      </c>
      <c r="AE22" s="318"/>
      <c r="AK22" s="55"/>
      <c r="AL22" s="55"/>
      <c r="AM22" s="55"/>
      <c r="AN22" s="55"/>
      <c r="AO22" s="55"/>
      <c r="AP22" s="55"/>
      <c r="AQ22" s="55"/>
      <c r="AR22" s="55"/>
      <c r="AS22" s="55"/>
      <c r="AT22" s="55"/>
      <c r="AU22" s="55"/>
      <c r="AV22" s="55"/>
      <c r="AW22" s="55"/>
      <c r="AX22" s="55"/>
      <c r="AY22" s="55"/>
      <c r="AZ22" s="55"/>
    </row>
    <row r="23" spans="1:207" x14ac:dyDescent="0.2">
      <c r="B23" s="34" t="s">
        <v>143</v>
      </c>
      <c r="C23" s="99">
        <v>1.5503875968992498E-2</v>
      </c>
      <c r="D23" s="99">
        <v>3.8968139569561022E-2</v>
      </c>
      <c r="E23" s="99">
        <v>3.4165834165834186E-2</v>
      </c>
      <c r="F23" s="99">
        <v>4.9431342622224372E-2</v>
      </c>
      <c r="G23" s="302">
        <v>3.4521641079018006E-2</v>
      </c>
      <c r="H23" s="302">
        <f t="shared" ref="H23:AD23" si="0">-(H21/C21-1)</f>
        <v>2.7433672701740131E-2</v>
      </c>
      <c r="I23" s="302">
        <f t="shared" si="0"/>
        <v>-4.7478665632273209E-2</v>
      </c>
      <c r="J23" s="302">
        <f t="shared" si="0"/>
        <v>-9.6452213487794758E-2</v>
      </c>
      <c r="K23" s="302">
        <f t="shared" si="0"/>
        <v>-0.1047806495053607</v>
      </c>
      <c r="L23" s="302">
        <f t="shared" si="0"/>
        <v>-5.466072872415495E-2</v>
      </c>
      <c r="M23" s="302">
        <f t="shared" si="0"/>
        <v>-8.7819719471947444E-2</v>
      </c>
      <c r="N23" s="302">
        <f t="shared" si="0"/>
        <v>-2.8242729472176986E-2</v>
      </c>
      <c r="O23" s="302">
        <f t="shared" si="0"/>
        <v>4.4809207112871396E-3</v>
      </c>
      <c r="P23" s="302">
        <f t="shared" si="0"/>
        <v>-3.469292076887065E-3</v>
      </c>
      <c r="Q23" s="302">
        <f t="shared" si="0"/>
        <v>-2.7428933021807156E-2</v>
      </c>
      <c r="R23" s="302">
        <f t="shared" si="0"/>
        <v>-3.9322114245081474E-2</v>
      </c>
      <c r="S23" s="302">
        <f t="shared" si="0"/>
        <v>-8.631452581032395E-2</v>
      </c>
      <c r="T23" s="302">
        <f t="shared" si="0"/>
        <v>-5.2710129820903839E-2</v>
      </c>
      <c r="U23" s="302">
        <f t="shared" si="0"/>
        <v>-3.3521771631470632E-2</v>
      </c>
      <c r="V23" s="302">
        <f t="shared" si="0"/>
        <v>-5.278929290536527E-2</v>
      </c>
      <c r="W23" s="302">
        <f t="shared" si="0"/>
        <v>-1.2543045451438584E-3</v>
      </c>
      <c r="X23" s="302">
        <f t="shared" si="0"/>
        <v>2.3118576638302413E-2</v>
      </c>
      <c r="Y23" s="302">
        <f t="shared" si="0"/>
        <v>2.4641627472602456E-3</v>
      </c>
      <c r="Z23" s="302">
        <f t="shared" si="0"/>
        <v>-1.4239540718305799E-2</v>
      </c>
      <c r="AA23" s="302">
        <f t="shared" si="0"/>
        <v>2.6466187406479769E-3</v>
      </c>
      <c r="AB23" s="302">
        <f t="shared" si="0"/>
        <v>-2.8323159620990968E-2</v>
      </c>
      <c r="AC23" s="302">
        <f t="shared" si="0"/>
        <v>-5.4469558134799367E-2</v>
      </c>
      <c r="AD23" s="302">
        <f t="shared" si="0"/>
        <v>-8.302972195589664E-2</v>
      </c>
      <c r="AE23" s="318"/>
      <c r="AK23" s="55"/>
      <c r="AL23" s="55"/>
      <c r="AM23" s="55"/>
      <c r="AN23" s="55"/>
      <c r="AO23" s="55"/>
      <c r="AP23" s="55"/>
      <c r="AQ23" s="55"/>
      <c r="AR23" s="55"/>
      <c r="AS23" s="55"/>
      <c r="AT23" s="55"/>
      <c r="AU23" s="55"/>
      <c r="AV23" s="55"/>
      <c r="AW23" s="55"/>
      <c r="AX23" s="55"/>
      <c r="AY23" s="55"/>
      <c r="AZ23" s="55"/>
    </row>
    <row r="24" spans="1:207" x14ac:dyDescent="0.2">
      <c r="B24" s="34"/>
      <c r="C24" s="99"/>
      <c r="D24" s="99"/>
      <c r="G24" s="253"/>
      <c r="H24" s="253"/>
      <c r="I24" s="253"/>
      <c r="J24" s="253"/>
      <c r="K24" s="31"/>
      <c r="L24" s="253"/>
      <c r="M24" s="253"/>
      <c r="N24" s="253"/>
      <c r="O24" s="253"/>
      <c r="P24" s="253"/>
      <c r="Q24" s="253"/>
      <c r="Y24" s="253"/>
      <c r="Z24" s="253"/>
      <c r="AB24" s="253"/>
      <c r="AC24" s="253"/>
      <c r="AD24" s="253"/>
      <c r="AE24" s="318"/>
      <c r="AK24" s="55"/>
      <c r="AL24" s="55"/>
      <c r="AM24" s="55"/>
      <c r="AN24" s="55"/>
      <c r="AO24" s="55"/>
      <c r="AP24" s="55"/>
      <c r="AQ24" s="55"/>
      <c r="AR24" s="55"/>
      <c r="AS24" s="55"/>
      <c r="AT24" s="55"/>
      <c r="AU24" s="55"/>
      <c r="AV24" s="55"/>
      <c r="AW24" s="55"/>
      <c r="AX24" s="55"/>
      <c r="AY24" s="55"/>
      <c r="AZ24" s="55"/>
    </row>
    <row r="25" spans="1:207" x14ac:dyDescent="0.2">
      <c r="B25" s="139" t="s">
        <v>138</v>
      </c>
      <c r="C25" s="139">
        <f>+ROUND((1.24+1.25+1.24)/3,2)</f>
        <v>1.24</v>
      </c>
      <c r="D25" s="139">
        <v>1.29</v>
      </c>
      <c r="E25" s="139">
        <f>+(1.31+1.29+1.34)/3</f>
        <v>1.3133333333333335</v>
      </c>
      <c r="F25" s="139">
        <f>+(1.32+1.34+1.35)/3</f>
        <v>1.3366666666666667</v>
      </c>
      <c r="G25" s="300">
        <f>AVERAGE(C25:F25)</f>
        <v>1.2950000000000002</v>
      </c>
      <c r="H25" s="300">
        <v>1.4</v>
      </c>
      <c r="I25" s="300">
        <v>1.34</v>
      </c>
      <c r="J25" s="300">
        <v>1.31</v>
      </c>
      <c r="K25" s="300">
        <v>1.28</v>
      </c>
      <c r="L25" s="300">
        <f>AVERAGE(H25:K25)</f>
        <v>1.3325000000000002</v>
      </c>
      <c r="M25" s="300">
        <v>1.3152666666666666</v>
      </c>
      <c r="N25" s="300">
        <v>1.2756666666666667</v>
      </c>
      <c r="O25" s="300">
        <v>1.2212333333333334</v>
      </c>
      <c r="P25" s="300">
        <v>1.3024</v>
      </c>
      <c r="Q25" s="300">
        <v>1.2786416666666667</v>
      </c>
      <c r="R25" s="323">
        <v>1.2763666666666669</v>
      </c>
      <c r="S25" s="323">
        <v>1.2370666666666665</v>
      </c>
      <c r="T25" s="349">
        <v>1.3096333333333332</v>
      </c>
      <c r="U25" s="349">
        <v>1.3313333333333333</v>
      </c>
      <c r="V25" s="349">
        <v>1.2886</v>
      </c>
      <c r="W25" s="323">
        <v>1.3805333333333332</v>
      </c>
      <c r="X25" s="323">
        <v>1.3984333333333332</v>
      </c>
      <c r="Y25" s="372">
        <v>1.3710666666666667</v>
      </c>
      <c r="Z25" s="372">
        <v>1.3503999999999998</v>
      </c>
      <c r="AA25" s="349">
        <v>1.3751083333333334</v>
      </c>
      <c r="AB25" s="372">
        <v>1.3318000000000001</v>
      </c>
      <c r="AC25" s="372">
        <v>1.2416666666666665</v>
      </c>
      <c r="AD25" s="372">
        <v>1.1623999999999999</v>
      </c>
      <c r="AE25" s="318"/>
      <c r="AK25" s="55"/>
      <c r="AL25" s="55"/>
      <c r="AM25" s="55"/>
      <c r="AN25" s="55"/>
      <c r="AO25" s="55"/>
      <c r="AP25" s="55"/>
      <c r="AQ25" s="55"/>
      <c r="AR25" s="55"/>
      <c r="AS25" s="55"/>
      <c r="AT25" s="55"/>
      <c r="AU25" s="55"/>
      <c r="AV25" s="55"/>
      <c r="AW25" s="55"/>
      <c r="AX25" s="55"/>
      <c r="AY25" s="55"/>
      <c r="AZ25" s="55"/>
    </row>
    <row r="26" spans="1:207" x14ac:dyDescent="0.2">
      <c r="B26" s="34" t="s">
        <v>159</v>
      </c>
      <c r="C26" s="99">
        <v>7.8066914498141071E-2</v>
      </c>
      <c r="D26" s="99">
        <v>-4.0322580645161255E-2</v>
      </c>
      <c r="E26" s="99">
        <v>-1.8087855297157729E-2</v>
      </c>
      <c r="F26" s="99">
        <v>-1.7766497461928932E-2</v>
      </c>
      <c r="H26" s="255">
        <f>-(H25/F25-1)</f>
        <v>-4.7381546134663166E-2</v>
      </c>
      <c r="I26" s="255">
        <f>-(I25/H25-1)</f>
        <v>4.2857142857142705E-2</v>
      </c>
      <c r="J26" s="255">
        <f>-(J25/I25-1)</f>
        <v>2.2388059701492602E-2</v>
      </c>
      <c r="K26" s="99">
        <f>-(K25/J25-1)</f>
        <v>2.2900763358778664E-2</v>
      </c>
      <c r="M26" s="255">
        <f>-(M25/K25-1)</f>
        <v>-2.7552083333333144E-2</v>
      </c>
      <c r="N26" s="301">
        <f>-(N25/M25-1)</f>
        <v>3.0107962897257701E-2</v>
      </c>
      <c r="O26" s="301">
        <f>-(O25/N25-1)</f>
        <v>4.2670499085445512E-2</v>
      </c>
      <c r="P26" s="301">
        <f>-(P25/O25-1)</f>
        <v>-6.6462865409285588E-2</v>
      </c>
      <c r="Q26" s="301"/>
      <c r="R26" s="255">
        <f>-(R25/P25-1)</f>
        <v>1.9988738738738632E-2</v>
      </c>
      <c r="S26" s="301">
        <f>-(S25/R25-1)</f>
        <v>3.0790525188686857E-2</v>
      </c>
      <c r="T26" s="301">
        <f>-(T25/S25-1)</f>
        <v>-5.8660271610260883E-2</v>
      </c>
      <c r="U26" s="301">
        <f>-(U25/T25-1)</f>
        <v>-1.6569523276235065E-2</v>
      </c>
      <c r="V26" s="301"/>
      <c r="W26" s="255">
        <f>-(W25/U25-1)</f>
        <v>-3.6955433149724604E-2</v>
      </c>
      <c r="X26" s="255">
        <f>-(X25/W25-1)</f>
        <v>-1.2966003476917232E-2</v>
      </c>
      <c r="Y26" s="301">
        <f>-(Y25/X25-1)</f>
        <v>1.9569518270445396E-2</v>
      </c>
      <c r="Z26" s="301">
        <f>-(Z25/Y25-1)</f>
        <v>1.5073422153068283E-2</v>
      </c>
      <c r="AA26" s="301"/>
      <c r="AB26" s="255">
        <f>-(AB25/Z25-1)</f>
        <v>1.3773696682464309E-2</v>
      </c>
      <c r="AC26" s="301">
        <f>-(AC25/AB25-1)</f>
        <v>6.7677829503929754E-2</v>
      </c>
      <c r="AD26" s="301">
        <f>-(AD25/AC25-1)</f>
        <v>6.3838926174496602E-2</v>
      </c>
      <c r="AE26" s="318"/>
      <c r="AK26" s="55"/>
      <c r="AL26" s="55"/>
      <c r="AM26" s="55"/>
      <c r="AN26" s="55"/>
      <c r="AO26" s="55"/>
      <c r="AP26" s="55"/>
      <c r="AQ26" s="55"/>
      <c r="AR26" s="55"/>
      <c r="AS26" s="55"/>
      <c r="AT26" s="55"/>
      <c r="AU26" s="55"/>
      <c r="AV26" s="55"/>
      <c r="AW26" s="55"/>
      <c r="AX26" s="55"/>
      <c r="AY26" s="55"/>
      <c r="AZ26" s="55"/>
    </row>
    <row r="27" spans="1:207" x14ac:dyDescent="0.2">
      <c r="B27" s="34" t="s">
        <v>160</v>
      </c>
      <c r="C27" s="99">
        <v>0.12470588235294122</v>
      </c>
      <c r="D27" s="99">
        <v>9.367681498829028E-2</v>
      </c>
      <c r="E27" s="99">
        <v>-2.5445292620867033E-3</v>
      </c>
      <c r="F27" s="99">
        <v>-8.6720867208672114E-2</v>
      </c>
      <c r="G27" s="99">
        <v>3.7174721189590754E-2</v>
      </c>
      <c r="H27" s="99">
        <f t="shared" ref="H27:AD27" si="1">-(H25/C25-1)</f>
        <v>-0.12903225806451601</v>
      </c>
      <c r="I27" s="99">
        <f t="shared" si="1"/>
        <v>-3.8759689922480689E-2</v>
      </c>
      <c r="J27" s="99">
        <f t="shared" si="1"/>
        <v>2.5380710659899108E-3</v>
      </c>
      <c r="K27" s="99">
        <f t="shared" si="1"/>
        <v>4.239401496259354E-2</v>
      </c>
      <c r="L27" s="99">
        <f t="shared" si="1"/>
        <v>-2.8957528957529011E-2</v>
      </c>
      <c r="M27" s="99">
        <f t="shared" si="1"/>
        <v>6.0523809523809535E-2</v>
      </c>
      <c r="N27" s="99">
        <f t="shared" si="1"/>
        <v>4.8009950248756206E-2</v>
      </c>
      <c r="O27" s="99">
        <f t="shared" si="1"/>
        <v>6.7760814249363865E-2</v>
      </c>
      <c r="P27" s="99">
        <f t="shared" si="1"/>
        <v>-1.7500000000000071E-2</v>
      </c>
      <c r="Q27" s="99">
        <f t="shared" si="1"/>
        <v>4.0419011882426692E-2</v>
      </c>
      <c r="R27" s="99">
        <f t="shared" si="1"/>
        <v>2.9575751431902053E-2</v>
      </c>
      <c r="S27" s="99">
        <f t="shared" si="1"/>
        <v>3.0258688267572609E-2</v>
      </c>
      <c r="T27" s="99">
        <f t="shared" si="1"/>
        <v>-7.238583945192012E-2</v>
      </c>
      <c r="U27" s="99">
        <f t="shared" si="1"/>
        <v>-2.2215397215397115E-2</v>
      </c>
      <c r="V27" s="99">
        <f t="shared" si="1"/>
        <v>-7.7882127518134059E-3</v>
      </c>
      <c r="W27" s="99">
        <f t="shared" si="1"/>
        <v>-8.1611867018359208E-2</v>
      </c>
      <c r="X27" s="367">
        <f t="shared" si="1"/>
        <v>-0.13044298340159521</v>
      </c>
      <c r="Y27" s="302">
        <f t="shared" si="1"/>
        <v>-4.6908803990939107E-2</v>
      </c>
      <c r="Z27" s="302">
        <f t="shared" si="1"/>
        <v>-1.4321482223334847E-2</v>
      </c>
      <c r="AA27" s="99">
        <f t="shared" si="1"/>
        <v>-6.7133581664855946E-2</v>
      </c>
      <c r="AB27" s="99">
        <f t="shared" si="1"/>
        <v>3.5300367007919498E-2</v>
      </c>
      <c r="AC27" s="302">
        <f t="shared" si="1"/>
        <v>0.1121016375467786</v>
      </c>
      <c r="AD27" s="302">
        <f t="shared" si="1"/>
        <v>0.1521929398035593</v>
      </c>
      <c r="AE27" s="318"/>
      <c r="AK27" s="55"/>
      <c r="AL27" s="55"/>
      <c r="AM27" s="55"/>
      <c r="AN27" s="55"/>
      <c r="AO27" s="55"/>
      <c r="AP27" s="55"/>
      <c r="AQ27" s="55"/>
      <c r="AR27" s="55"/>
      <c r="AS27" s="55"/>
      <c r="AT27" s="55"/>
      <c r="AU27" s="55"/>
      <c r="AV27" s="55"/>
      <c r="AW27" s="55"/>
      <c r="AX27" s="55"/>
      <c r="AY27" s="55"/>
      <c r="AZ27" s="55"/>
    </row>
    <row r="28" spans="1:207" x14ac:dyDescent="0.2">
      <c r="B28" s="137"/>
      <c r="D28" s="24"/>
      <c r="K28" s="24"/>
      <c r="Y28" s="253"/>
      <c r="Z28" s="253"/>
      <c r="AB28" s="253"/>
      <c r="AC28" s="253"/>
      <c r="AD28" s="253"/>
      <c r="AE28" s="318"/>
      <c r="AK28" s="55"/>
      <c r="AL28" s="55"/>
      <c r="AM28" s="55"/>
      <c r="AN28" s="55"/>
      <c r="AO28" s="55"/>
      <c r="AP28" s="55"/>
      <c r="AQ28" s="55"/>
      <c r="AR28" s="55"/>
      <c r="AS28" s="55"/>
      <c r="AT28" s="55"/>
      <c r="AU28" s="55"/>
      <c r="AV28" s="55"/>
      <c r="AW28" s="55"/>
      <c r="AX28" s="55"/>
      <c r="AY28" s="55"/>
      <c r="AZ28" s="55"/>
    </row>
    <row r="29" spans="1:207" x14ac:dyDescent="0.2">
      <c r="B29" s="136" t="s">
        <v>139</v>
      </c>
      <c r="C29" s="139">
        <f>+(50.21+50.16+49.77)/3</f>
        <v>50.046666666666674</v>
      </c>
      <c r="D29" s="139">
        <v>50.061999999999998</v>
      </c>
      <c r="E29" s="139">
        <f>+(50.46+51.17+50.815)/3</f>
        <v>50.814999999999998</v>
      </c>
      <c r="F29" s="139">
        <f>+(51.61+50.27+49.93)/3</f>
        <v>50.603333333333332</v>
      </c>
      <c r="G29" s="139">
        <f>AVERAGE(C29:F29)</f>
        <v>50.381749999999997</v>
      </c>
      <c r="H29" s="139">
        <v>51.85</v>
      </c>
      <c r="I29" s="139">
        <v>52.53</v>
      </c>
      <c r="J29" s="139">
        <v>53.53</v>
      </c>
      <c r="K29" s="139">
        <v>52.86</v>
      </c>
      <c r="L29" s="139">
        <f>AVERAGE(H29:K29)</f>
        <v>52.692499999999995</v>
      </c>
      <c r="M29" s="139">
        <v>52.106666666666662</v>
      </c>
      <c r="N29" s="139">
        <v>51.835000000000001</v>
      </c>
      <c r="O29" s="139">
        <v>51.589999999999996</v>
      </c>
      <c r="P29" s="139">
        <v>50.728333333333332</v>
      </c>
      <c r="Q29" s="139">
        <v>51.565000000000005</v>
      </c>
      <c r="R29" s="323">
        <v>50.826666666666661</v>
      </c>
      <c r="S29" s="323">
        <v>50.279999999999994</v>
      </c>
      <c r="T29" s="349">
        <v>48.71</v>
      </c>
      <c r="U29" s="349">
        <v>48.161000000000001</v>
      </c>
      <c r="V29" s="349">
        <v>49.494416666666666</v>
      </c>
      <c r="W29" s="323">
        <v>48.386666666666663</v>
      </c>
      <c r="X29" s="323">
        <v>48.198333333333331</v>
      </c>
      <c r="Y29" s="372">
        <v>50.243333333333332</v>
      </c>
      <c r="Z29" s="372">
        <v>50.601333333333336</v>
      </c>
      <c r="AA29" s="349">
        <v>49.357416666666673</v>
      </c>
      <c r="AB29" s="372">
        <v>51.32</v>
      </c>
      <c r="AC29" s="372">
        <v>53.178333333333335</v>
      </c>
      <c r="AD29" s="372">
        <v>56.633333333333333</v>
      </c>
      <c r="AE29" s="318"/>
      <c r="AK29" s="55"/>
      <c r="AL29" s="55"/>
      <c r="AM29" s="55"/>
      <c r="AN29" s="55"/>
      <c r="AO29" s="55"/>
      <c r="AP29" s="55"/>
      <c r="AQ29" s="55"/>
      <c r="AR29" s="55"/>
      <c r="AS29" s="55"/>
      <c r="AT29" s="55"/>
      <c r="AU29" s="55"/>
      <c r="AV29" s="55"/>
      <c r="AW29" s="55"/>
      <c r="AX29" s="55"/>
      <c r="AY29" s="55"/>
      <c r="AZ29" s="55"/>
    </row>
    <row r="30" spans="1:207" x14ac:dyDescent="0.2">
      <c r="B30" s="34" t="s">
        <v>142</v>
      </c>
      <c r="C30" s="99">
        <v>-4.9884183383593461E-2</v>
      </c>
      <c r="D30" s="99">
        <v>-3.0638071133592959E-4</v>
      </c>
      <c r="E30" s="99">
        <v>-1.5041348727577786E-2</v>
      </c>
      <c r="F30" s="99">
        <v>4.165436714880788E-3</v>
      </c>
      <c r="H30" s="255">
        <f>-(H29/F29-1)</f>
        <v>-2.4636058230683044E-2</v>
      </c>
      <c r="I30" s="255">
        <f>-(I29/H29-1)</f>
        <v>-1.3114754098360715E-2</v>
      </c>
      <c r="J30" s="255">
        <f>-(J29/I29-1)</f>
        <v>-1.9036740909956107E-2</v>
      </c>
      <c r="K30" s="99">
        <f>-(K29/J29-1)</f>
        <v>1.2516345974220133E-2</v>
      </c>
      <c r="M30" s="255">
        <f>-(M29/K29-1)</f>
        <v>1.4251481901879304E-2</v>
      </c>
      <c r="N30" s="301">
        <f>-(N29/M29-1)</f>
        <v>5.2136642784031961E-3</v>
      </c>
      <c r="O30" s="301">
        <f>-(O29/N29-1)</f>
        <v>4.7265361242404547E-3</v>
      </c>
      <c r="P30" s="301">
        <f>-(P29/O29-1)</f>
        <v>1.6702203269367444E-2</v>
      </c>
      <c r="Q30" s="301"/>
      <c r="R30" s="255">
        <f>-(R29/P29-1)</f>
        <v>-1.9384302000853282E-3</v>
      </c>
      <c r="S30" s="301">
        <f>-(S29/R29-1)</f>
        <v>1.0755508919202517E-2</v>
      </c>
      <c r="T30" s="301">
        <f>-(T29/S29-1)</f>
        <v>3.122513922036585E-2</v>
      </c>
      <c r="U30" s="301">
        <f>-(U29/T29-1)</f>
        <v>1.1270786286183498E-2</v>
      </c>
      <c r="V30" s="301"/>
      <c r="W30" s="255">
        <f>-(W29/U29-1)</f>
        <v>-4.6856723628383445E-3</v>
      </c>
      <c r="X30" s="255">
        <f>-(X29/W29-1)</f>
        <v>3.8922568200605578E-3</v>
      </c>
      <c r="Y30" s="255">
        <f>-(Y29/X29-1)</f>
        <v>-4.2428853003215972E-2</v>
      </c>
      <c r="Z30" s="255">
        <f>-(Z29/Y29-1)</f>
        <v>-7.1253234259935905E-3</v>
      </c>
      <c r="AA30" s="301"/>
      <c r="AB30" s="255">
        <f>-(AB29/Z29-1)</f>
        <v>-1.4202524307659781E-2</v>
      </c>
      <c r="AC30" s="255">
        <f>-(AC29/AB29-1)</f>
        <v>-3.6210704078981637E-2</v>
      </c>
      <c r="AD30" s="255">
        <f>-(AD29/AC29-1)</f>
        <v>-6.4970069263797781E-2</v>
      </c>
      <c r="AE30" s="318"/>
      <c r="AK30" s="55"/>
      <c r="AL30" s="55"/>
      <c r="AM30" s="55"/>
      <c r="AN30" s="55"/>
      <c r="AO30" s="55"/>
      <c r="AP30" s="55"/>
      <c r="AQ30" s="55"/>
      <c r="AR30" s="55"/>
      <c r="AS30" s="55"/>
      <c r="AT30" s="55"/>
      <c r="AU30" s="55"/>
      <c r="AV30" s="55"/>
      <c r="AW30" s="55"/>
      <c r="AX30" s="55"/>
      <c r="AY30" s="55"/>
      <c r="AZ30" s="55"/>
    </row>
    <row r="31" spans="1:207" x14ac:dyDescent="0.2">
      <c r="B31" s="34" t="s">
        <v>143</v>
      </c>
      <c r="C31" s="99">
        <v>-6.2787569901607165E-2</v>
      </c>
      <c r="D31" s="99">
        <v>-6.7382111509896481E-2</v>
      </c>
      <c r="E31" s="99">
        <v>-7.2121808847316782E-2</v>
      </c>
      <c r="F31" s="99">
        <v>-2.6714459623968789E-2</v>
      </c>
      <c r="G31" s="99">
        <v>-5.691359643372218E-2</v>
      </c>
      <c r="H31" s="99">
        <f t="shared" ref="H31:AD31" si="2">-(H29/C29-1)</f>
        <v>-3.6033035833222149E-2</v>
      </c>
      <c r="I31" s="99">
        <f t="shared" si="2"/>
        <v>-4.9298869401941614E-2</v>
      </c>
      <c r="J31" s="99">
        <f t="shared" si="2"/>
        <v>-5.3429105579061442E-2</v>
      </c>
      <c r="K31" s="99">
        <f t="shared" si="2"/>
        <v>-4.459521770634356E-2</v>
      </c>
      <c r="L31" s="99">
        <f t="shared" si="2"/>
        <v>-4.5864822083393264E-2</v>
      </c>
      <c r="M31" s="99">
        <f t="shared" si="2"/>
        <v>-4.9501767920281381E-3</v>
      </c>
      <c r="N31" s="99">
        <f t="shared" si="2"/>
        <v>1.3230534932419546E-2</v>
      </c>
      <c r="O31" s="99">
        <f t="shared" si="2"/>
        <v>3.6241359985055177E-2</v>
      </c>
      <c r="P31" s="99">
        <f t="shared" si="2"/>
        <v>4.0326649009963411E-2</v>
      </c>
      <c r="Q31" s="99">
        <f t="shared" si="2"/>
        <v>2.1397732125065017E-2</v>
      </c>
      <c r="R31" s="99">
        <f t="shared" si="2"/>
        <v>2.4564994882292801E-2</v>
      </c>
      <c r="S31" s="99">
        <f t="shared" si="2"/>
        <v>2.9999035400791074E-2</v>
      </c>
      <c r="T31" s="99">
        <f t="shared" si="2"/>
        <v>5.5824772242682563E-2</v>
      </c>
      <c r="U31" s="99">
        <f t="shared" si="2"/>
        <v>5.0609455596806407E-2</v>
      </c>
      <c r="V31" s="99">
        <f t="shared" si="2"/>
        <v>4.0154820776366451E-2</v>
      </c>
      <c r="W31" s="99">
        <f t="shared" si="2"/>
        <v>4.8006295907660035E-2</v>
      </c>
      <c r="X31" s="99">
        <f t="shared" si="2"/>
        <v>4.1401485017236728E-2</v>
      </c>
      <c r="Y31" s="99">
        <f t="shared" si="2"/>
        <v>-3.1478820228563631E-2</v>
      </c>
      <c r="Z31" s="99">
        <f t="shared" si="2"/>
        <v>-5.0670321075835911E-2</v>
      </c>
      <c r="AA31" s="99">
        <f t="shared" si="2"/>
        <v>2.7679889819220982E-3</v>
      </c>
      <c r="AB31" s="99">
        <f t="shared" si="2"/>
        <v>-6.0622761091209787E-2</v>
      </c>
      <c r="AC31" s="99">
        <f t="shared" si="2"/>
        <v>-0.10332307479511749</v>
      </c>
      <c r="AD31" s="99">
        <f t="shared" si="2"/>
        <v>-0.12718105221256559</v>
      </c>
      <c r="AE31" s="318"/>
      <c r="AK31" s="55"/>
      <c r="AL31" s="55"/>
      <c r="AM31" s="55"/>
      <c r="AN31" s="55"/>
      <c r="AO31" s="55"/>
      <c r="AP31" s="55"/>
      <c r="AQ31" s="55"/>
      <c r="AR31" s="55"/>
      <c r="AS31" s="55"/>
      <c r="AT31" s="55"/>
      <c r="AU31" s="55"/>
      <c r="AV31" s="55"/>
      <c r="AW31" s="55"/>
      <c r="AX31" s="55"/>
      <c r="AY31" s="55"/>
      <c r="AZ31" s="55"/>
    </row>
    <row r="33" spans="1:30" x14ac:dyDescent="0.2">
      <c r="A33" s="135"/>
      <c r="C33" s="99"/>
    </row>
    <row r="34" spans="1:30" s="253" customFormat="1" x14ac:dyDescent="0.2">
      <c r="A34" s="390"/>
      <c r="B34" s="391" t="s">
        <v>242</v>
      </c>
      <c r="C34" s="391"/>
      <c r="D34" s="391"/>
      <c r="E34" s="391"/>
      <c r="F34" s="391"/>
      <c r="G34" s="391"/>
      <c r="H34" s="391"/>
      <c r="I34" s="391"/>
      <c r="J34" s="391"/>
      <c r="K34" s="391"/>
      <c r="L34" s="391"/>
      <c r="M34" s="391"/>
      <c r="N34" s="391"/>
      <c r="O34" s="391"/>
      <c r="P34" s="391"/>
      <c r="Q34" s="391"/>
      <c r="R34" s="391"/>
      <c r="S34" s="391"/>
      <c r="W34" s="391"/>
      <c r="X34" s="391"/>
      <c r="Y34" s="391"/>
      <c r="Z34" s="391"/>
      <c r="AB34" s="391"/>
      <c r="AC34" s="391"/>
      <c r="AD34" s="391"/>
    </row>
    <row r="35" spans="1:30" x14ac:dyDescent="0.2">
      <c r="C35" s="28"/>
    </row>
    <row r="36" spans="1:30" x14ac:dyDescent="0.2">
      <c r="C36" s="65"/>
      <c r="AD36" s="413"/>
    </row>
    <row r="38" spans="1:30" x14ac:dyDescent="0.2">
      <c r="C38" s="65"/>
    </row>
    <row r="42" spans="1:30" x14ac:dyDescent="0.2">
      <c r="C42" s="65"/>
    </row>
    <row r="44" spans="1:30" x14ac:dyDescent="0.2">
      <c r="C44" s="65"/>
    </row>
    <row r="45" spans="1:30" x14ac:dyDescent="0.2">
      <c r="C45" s="99"/>
    </row>
  </sheetData>
  <customSheetViews>
    <customSheetView guid="{168DC811-186D-42DC-8A72-3741D1063270}" scale="80" showGridLines="0" hiddenRows="1">
      <pane xSplit="2" ySplit="4" topLeftCell="C5" activePane="bottomRight" state="frozen"/>
      <selection pane="bottomRight" activeCell="A7" sqref="A7"/>
      <pageMargins left="0.45" right="0.45" top="0.75" bottom="0.75" header="0.3" footer="0.3"/>
      <printOptions horizontalCentered="1"/>
      <pageSetup scale="65" orientation="landscape" horizontalDpi="300" verticalDpi="300" r:id="rId1"/>
    </customSheetView>
  </customSheetViews>
  <phoneticPr fontId="0" type="noConversion"/>
  <pageMargins left="0.25" right="0.25" top="0.5" bottom="0.25" header="0.3" footer="0.3"/>
  <pageSetup paperSize="9" scale="67"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Contents</vt:lpstr>
      <vt:lpstr>Income Statement</vt:lpstr>
      <vt:lpstr>Balance Sheet</vt:lpstr>
      <vt:lpstr>Cashflow</vt:lpstr>
      <vt:lpstr>Revenues and Margins</vt:lpstr>
      <vt:lpstr>Other Metrics</vt:lpstr>
      <vt:lpstr>'Balance Sheet'!Print_Area</vt:lpstr>
      <vt:lpstr>Cashflow!Print_Area</vt:lpstr>
      <vt:lpstr>'Income Statement'!Print_Area</vt:lpstr>
      <vt:lpstr>'Other Metrics'!Print_Area</vt:lpstr>
      <vt:lpstr>'Revenues and Margins'!Print_Area</vt:lpstr>
      <vt:lpstr>'Income Statement'!Print_Titles</vt:lpstr>
      <vt:lpstr>'Other Metrics'!Print_Titles</vt:lpstr>
      <vt:lpstr>'Revenues and Margins'!Print_Titles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rahul13232</dc:creator>
  <cp:lastModifiedBy>Steven Barlow</cp:lastModifiedBy>
  <cp:lastPrinted>2022-10-26T10:30:30Z</cp:lastPrinted>
  <dcterms:created xsi:type="dcterms:W3CDTF">2009-03-23T17:27:54Z</dcterms:created>
  <dcterms:modified xsi:type="dcterms:W3CDTF">2022-10-26T17:27:19Z</dcterms:modified>
</cp:coreProperties>
</file>