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externalLinks/externalLink172.xml" ContentType="application/vnd.openxmlformats-officedocument.spreadsheetml.externalLink+xml"/>
  <Override PartName="/xl/externalLinks/externalLink173.xml" ContentType="application/vnd.openxmlformats-officedocument.spreadsheetml.externalLink+xml"/>
  <Override PartName="/xl/externalLinks/externalLink174.xml" ContentType="application/vnd.openxmlformats-officedocument.spreadsheetml.externalLink+xml"/>
  <Override PartName="/xl/externalLinks/externalLink175.xml" ContentType="application/vnd.openxmlformats-officedocument.spreadsheetml.externalLink+xml"/>
  <Override PartName="/xl/externalLinks/externalLink176.xml" ContentType="application/vnd.openxmlformats-officedocument.spreadsheetml.externalLink+xml"/>
  <Override PartName="/xl/externalLinks/externalLink177.xml" ContentType="application/vnd.openxmlformats-officedocument.spreadsheetml.externalLink+xml"/>
  <Override PartName="/xl/externalLinks/externalLink178.xml" ContentType="application/vnd.openxmlformats-officedocument.spreadsheetml.externalLink+xml"/>
  <Override PartName="/xl/externalLinks/externalLink179.xml" ContentType="application/vnd.openxmlformats-officedocument.spreadsheetml.externalLink+xml"/>
  <Override PartName="/xl/externalLinks/externalLink180.xml" ContentType="application/vnd.openxmlformats-officedocument.spreadsheetml.externalLink+xml"/>
  <Override PartName="/xl/externalLinks/externalLink181.xml" ContentType="application/vnd.openxmlformats-officedocument.spreadsheetml.externalLink+xml"/>
  <Override PartName="/xl/externalLinks/externalLink182.xml" ContentType="application/vnd.openxmlformats-officedocument.spreadsheetml.externalLink+xml"/>
  <Override PartName="/xl/externalLinks/externalLink183.xml" ContentType="application/vnd.openxmlformats-officedocument.spreadsheetml.externalLink+xml"/>
  <Override PartName="/xl/externalLinks/externalLink184.xml" ContentType="application/vnd.openxmlformats-officedocument.spreadsheetml.externalLink+xml"/>
  <Override PartName="/xl/externalLinks/externalLink185.xml" ContentType="application/vnd.openxmlformats-officedocument.spreadsheetml.externalLink+xml"/>
  <Override PartName="/xl/externalLinks/externalLink186.xml" ContentType="application/vnd.openxmlformats-officedocument.spreadsheetml.externalLink+xml"/>
  <Override PartName="/xl/externalLinks/externalLink187.xml" ContentType="application/vnd.openxmlformats-officedocument.spreadsheetml.externalLink+xml"/>
  <Override PartName="/xl/externalLinks/externalLink18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codeName="ThisWorkbook" defaultThemeVersion="124226"/>
  <mc:AlternateContent xmlns:mc="http://schemas.openxmlformats.org/markup-compatibility/2006">
    <mc:Choice Requires="x15">
      <x15ac:absPath xmlns:x15ac="http://schemas.microsoft.com/office/spreadsheetml/2010/11/ac" url="/Users/John198396/Documents/2Q24 working docs/"/>
    </mc:Choice>
  </mc:AlternateContent>
  <xr:revisionPtr revIDLastSave="0" documentId="13_ncr:8001_{0C471A4F-D867-F248-95D0-63817C2F88F4}" xr6:coauthVersionLast="47" xr6:coauthVersionMax="47" xr10:uidLastSave="{00000000-0000-0000-0000-000000000000}"/>
  <bookViews>
    <workbookView xWindow="0" yWindow="500" windowWidth="28220" windowHeight="16840" tabRatio="889" xr2:uid="{00000000-000D-0000-FFFF-FFFF00000000}"/>
  </bookViews>
  <sheets>
    <sheet name="Contents" sheetId="9" r:id="rId1"/>
    <sheet name="Income Statement" sheetId="10" r:id="rId2"/>
    <sheet name="Balance Sheet" sheetId="6" r:id="rId3"/>
    <sheet name="Cashflow_old" sheetId="7" state="hidden" r:id="rId4"/>
    <sheet name="Cashflow" sheetId="12" r:id="rId5"/>
    <sheet name="Revenues and Margins" sheetId="8" r:id="rId6"/>
    <sheet name="Non-GAAP" sheetId="11" r:id="rId7"/>
    <sheet name="Other Metrics" sheetId="5"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 r:id="rId186"/>
    <externalReference r:id="rId187"/>
    <externalReference r:id="rId188"/>
    <externalReference r:id="rId189"/>
    <externalReference r:id="rId190"/>
    <externalReference r:id="rId191"/>
    <externalReference r:id="rId192"/>
    <externalReference r:id="rId193"/>
    <externalReference r:id="rId194"/>
    <externalReference r:id="rId195"/>
    <externalReference r:id="rId196"/>
  </externalReferences>
  <definedNames>
    <definedName name="_xlnm._FilterDatabase" localSheetId="1" hidden="1">'Income Statement'!#REF!</definedName>
    <definedName name="_xlnm._FilterDatabase" localSheetId="6" hidden="1">'Non-GAAP'!#REF!</definedName>
    <definedName name="_xlnm.Print_Area" localSheetId="2">'Balance Sheet'!$A$1:$AB$59</definedName>
    <definedName name="_xlnm.Print_Area" localSheetId="4">Cashflow!$A$1:$AH$71</definedName>
    <definedName name="_xlnm.Print_Area" localSheetId="3">Cashflow_old!$A$1:$AI$71</definedName>
    <definedName name="_xlnm.Print_Area" localSheetId="1">'Income Statement'!$A$1:$AG$57</definedName>
    <definedName name="_xlnm.Print_Area" localSheetId="6">'Non-GAAP'!$A$1:$AG$64</definedName>
    <definedName name="_xlnm.Print_Area" localSheetId="7">'Other Metrics'!$A$1:$AH$28</definedName>
    <definedName name="_xlnm.Print_Area" localSheetId="5">'Revenues and Margins'!$A$1:$AH$105</definedName>
    <definedName name="_xlnm.Print_Titles" localSheetId="1">'Income Statement'!$A:$A,'Income Statement'!$4:$5</definedName>
    <definedName name="_xlnm.Print_Titles" localSheetId="6">'Non-GAAP'!$A:$A,'Non-GAAP'!$4:$5</definedName>
    <definedName name="_xlnm.Print_Titles" localSheetId="7">'Other Metrics'!$B:$B</definedName>
    <definedName name="_xlnm.Print_Titles" localSheetId="5">'Revenues and Margins'!$1:$4</definedName>
    <definedName name="Z_168DC811_186D_42DC_8A72_3741D1063270_.wvu.PrintArea" localSheetId="7" hidden="1">'Other Metrics'!$A$1:$B$15</definedName>
    <definedName name="Z_168DC811_186D_42DC_8A72_3741D1063270_.wvu.PrintTitles" localSheetId="1" hidden="1">'Income Statement'!$A:$A,'Income Statement'!$4:$5</definedName>
    <definedName name="Z_168DC811_186D_42DC_8A72_3741D1063270_.wvu.PrintTitles" localSheetId="6" hidden="1">'Non-GAAP'!$A:$A,'Non-GAAP'!$4:$5</definedName>
    <definedName name="Z_168DC811_186D_42DC_8A72_3741D1063270_.wvu.PrintTitles" localSheetId="7" hidden="1">'Other Metrics'!$B:$B</definedName>
    <definedName name="Z_168DC811_186D_42DC_8A72_3741D1063270_.wvu.Rows" localSheetId="7" hidden="1">'Other Metrics'!#REF!</definedName>
  </definedNames>
  <calcPr calcId="191029"/>
  <customWorkbookViews>
    <customWorkbookView name="rahul13232 - Personal View" guid="{168DC811-186D-42DC-8A72-3741D1063270}" mergeInterval="0" personalView="1" maximized="1" xWindow="1" yWindow="1" windowWidth="1276" windowHeight="80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5" i="11" l="1"/>
  <c r="AH15" i="11" s="1"/>
  <c r="AG12" i="11" l="1"/>
  <c r="AH6" i="5" l="1"/>
  <c r="AH14" i="5"/>
  <c r="AH101" i="8" l="1"/>
  <c r="AH100" i="8"/>
  <c r="AH99" i="8"/>
  <c r="AF48" i="12" l="1"/>
  <c r="AF64" i="12"/>
  <c r="AB64" i="12" l="1"/>
  <c r="AB48" i="12"/>
  <c r="AA48" i="12"/>
  <c r="AA64" i="12"/>
  <c r="Y64" i="12"/>
  <c r="Y48" i="12"/>
  <c r="X48" i="12"/>
  <c r="X64" i="12"/>
  <c r="W64" i="12"/>
  <c r="W48" i="12"/>
  <c r="V64" i="12"/>
  <c r="V48" i="12"/>
  <c r="T64" i="12"/>
  <c r="T48" i="12"/>
  <c r="S48" i="12"/>
  <c r="S64" i="12"/>
  <c r="R64" i="12"/>
  <c r="R48" i="12"/>
  <c r="Q64" i="12"/>
  <c r="Q48" i="12"/>
  <c r="O48" i="12"/>
  <c r="O64" i="12"/>
  <c r="N48" i="12"/>
  <c r="N64" i="12"/>
  <c r="M64" i="12"/>
  <c r="M48" i="12"/>
  <c r="K64" i="12"/>
  <c r="K48" i="12"/>
  <c r="I64" i="12"/>
  <c r="I48" i="12"/>
  <c r="H48" i="12"/>
  <c r="H64" i="12"/>
  <c r="G48" i="12"/>
  <c r="G64" i="12"/>
  <c r="F64" i="12"/>
  <c r="F48" i="12"/>
  <c r="D64" i="12"/>
  <c r="D48" i="12"/>
  <c r="B48" i="12"/>
  <c r="B64" i="12"/>
  <c r="C48" i="12"/>
  <c r="C64" i="12"/>
  <c r="B67" i="12"/>
  <c r="AC48" i="12" l="1"/>
  <c r="AC64" i="12"/>
  <c r="AD64" i="12" s="1"/>
  <c r="F67" i="12"/>
  <c r="AD48" i="12" l="1"/>
  <c r="AE48" i="12" s="1"/>
  <c r="Y72" i="12"/>
  <c r="X72" i="12"/>
  <c r="W72" i="12"/>
  <c r="T72" i="12"/>
  <c r="S72" i="12"/>
  <c r="R72" i="12"/>
  <c r="O72" i="12"/>
  <c r="N72" i="12"/>
  <c r="M72" i="12"/>
  <c r="I72" i="12"/>
  <c r="H72" i="12"/>
  <c r="G72" i="12"/>
  <c r="F72" i="12"/>
  <c r="E72" i="12"/>
  <c r="D72" i="12"/>
  <c r="C72" i="12"/>
  <c r="B72" i="12"/>
  <c r="AI65" i="12"/>
  <c r="Z64" i="12"/>
  <c r="U64" i="12"/>
  <c r="P64" i="12"/>
  <c r="E64" i="12"/>
  <c r="Y62" i="12"/>
  <c r="X62" i="12"/>
  <c r="W62" i="12"/>
  <c r="T62" i="12"/>
  <c r="S62" i="12"/>
  <c r="R62" i="12"/>
  <c r="O62" i="12"/>
  <c r="N62" i="12"/>
  <c r="M62" i="12"/>
  <c r="I62" i="12"/>
  <c r="H62" i="12"/>
  <c r="G62" i="12"/>
  <c r="F62" i="12"/>
  <c r="D62" i="12"/>
  <c r="C62" i="12"/>
  <c r="B62" i="12"/>
  <c r="AF61" i="12"/>
  <c r="AB61" i="12"/>
  <c r="AA61" i="12"/>
  <c r="Z61" i="12" s="1"/>
  <c r="V61" i="12"/>
  <c r="U61" i="12" s="1"/>
  <c r="Q61" i="12"/>
  <c r="P61" i="12" s="1"/>
  <c r="K61" i="12"/>
  <c r="E61" i="12"/>
  <c r="AF60" i="12"/>
  <c r="AB60" i="12"/>
  <c r="AC60" i="12" s="1"/>
  <c r="AA60" i="12"/>
  <c r="Z60" i="12" s="1"/>
  <c r="AF59" i="12"/>
  <c r="AB59" i="12"/>
  <c r="AC59" i="12" s="1"/>
  <c r="AA59" i="12"/>
  <c r="Z59" i="12" s="1"/>
  <c r="V59" i="12"/>
  <c r="U59" i="12" s="1"/>
  <c r="Q59" i="12"/>
  <c r="P59" i="12" s="1"/>
  <c r="K59" i="12"/>
  <c r="J59" i="12" s="1"/>
  <c r="L59" i="12" s="1"/>
  <c r="E59" i="12"/>
  <c r="AF58" i="12"/>
  <c r="AB58" i="12"/>
  <c r="AA58" i="12"/>
  <c r="Z58" i="12" s="1"/>
  <c r="V58" i="12"/>
  <c r="U58" i="12" s="1"/>
  <c r="Q58" i="12"/>
  <c r="P58" i="12" s="1"/>
  <c r="K58" i="12"/>
  <c r="J58" i="12" s="1"/>
  <c r="L58" i="12" s="1"/>
  <c r="E58" i="12"/>
  <c r="AE57" i="12"/>
  <c r="Z57" i="12"/>
  <c r="V57" i="12"/>
  <c r="U57" i="12" s="1"/>
  <c r="Q57" i="12"/>
  <c r="P57" i="12" s="1"/>
  <c r="K57" i="12"/>
  <c r="E57" i="12"/>
  <c r="AF56" i="12"/>
  <c r="AB56" i="12"/>
  <c r="AA56" i="12"/>
  <c r="Z56" i="12" s="1"/>
  <c r="V56" i="12"/>
  <c r="U56" i="12" s="1"/>
  <c r="Q56" i="12"/>
  <c r="P56" i="12" s="1"/>
  <c r="J56" i="12"/>
  <c r="E56" i="12"/>
  <c r="AF55" i="12"/>
  <c r="AC55" i="12"/>
  <c r="AD55" i="12" s="1"/>
  <c r="AF54" i="12"/>
  <c r="AB54" i="12"/>
  <c r="AC54" i="12" s="1"/>
  <c r="AA54" i="12"/>
  <c r="Z54" i="12" s="1"/>
  <c r="V54" i="12"/>
  <c r="U54" i="12" s="1"/>
  <c r="Q54" i="12"/>
  <c r="P54" i="12" s="1"/>
  <c r="K54" i="12"/>
  <c r="J54" i="12" s="1"/>
  <c r="L54" i="12" s="1"/>
  <c r="E54" i="12"/>
  <c r="AF53" i="12"/>
  <c r="AC53" i="12"/>
  <c r="AB53" i="12"/>
  <c r="AA53" i="12"/>
  <c r="Z53" i="12" s="1"/>
  <c r="V53" i="12"/>
  <c r="Q53" i="12"/>
  <c r="K53" i="12"/>
  <c r="J53" i="12" s="1"/>
  <c r="L53" i="12" s="1"/>
  <c r="E53" i="12"/>
  <c r="Y50" i="12"/>
  <c r="X50" i="12"/>
  <c r="W50" i="12"/>
  <c r="T50" i="12"/>
  <c r="S50" i="12"/>
  <c r="R50" i="12"/>
  <c r="O50" i="12"/>
  <c r="N50" i="12"/>
  <c r="M50" i="12"/>
  <c r="I50" i="12"/>
  <c r="H50" i="12"/>
  <c r="G50" i="12"/>
  <c r="D50" i="12"/>
  <c r="C50" i="12"/>
  <c r="B50" i="12"/>
  <c r="AF49" i="12"/>
  <c r="AB49" i="12"/>
  <c r="AC49" i="12" s="1"/>
  <c r="AA49" i="12"/>
  <c r="Z49" i="12" s="1"/>
  <c r="V49" i="12"/>
  <c r="U49" i="12" s="1"/>
  <c r="Q49" i="12"/>
  <c r="P49" i="12" s="1"/>
  <c r="K49" i="12"/>
  <c r="J49" i="12" s="1"/>
  <c r="L49" i="12" s="1"/>
  <c r="E49" i="12"/>
  <c r="Z48" i="12"/>
  <c r="U48" i="12"/>
  <c r="P48" i="12"/>
  <c r="J48" i="12"/>
  <c r="L48" i="12" s="1"/>
  <c r="E48" i="12"/>
  <c r="AF47" i="12"/>
  <c r="AB47" i="12"/>
  <c r="AA47" i="12"/>
  <c r="Z47" i="12" s="1"/>
  <c r="V47" i="12"/>
  <c r="U47" i="12" s="1"/>
  <c r="Q47" i="12"/>
  <c r="P47" i="12" s="1"/>
  <c r="K47" i="12"/>
  <c r="J47" i="12" s="1"/>
  <c r="AF46" i="12"/>
  <c r="AB46" i="12"/>
  <c r="AA46" i="12"/>
  <c r="Z46" i="12" s="1"/>
  <c r="V46" i="12"/>
  <c r="U46" i="12" s="1"/>
  <c r="Q46" i="12"/>
  <c r="P46" i="12" s="1"/>
  <c r="K46" i="12"/>
  <c r="E46" i="12"/>
  <c r="AF45" i="12"/>
  <c r="AB45" i="12"/>
  <c r="AA45" i="12"/>
  <c r="Z45" i="12" s="1"/>
  <c r="V45" i="12"/>
  <c r="U45" i="12" s="1"/>
  <c r="Q45" i="12"/>
  <c r="P45" i="12" s="1"/>
  <c r="J45" i="12"/>
  <c r="E45" i="12"/>
  <c r="AF44" i="12"/>
  <c r="AB44" i="12"/>
  <c r="AC44" i="12" s="1"/>
  <c r="AA44" i="12"/>
  <c r="Z44" i="12" s="1"/>
  <c r="V44" i="12"/>
  <c r="U44" i="12" s="1"/>
  <c r="Q44" i="12"/>
  <c r="P44" i="12" s="1"/>
  <c r="K44" i="12"/>
  <c r="J44" i="12" s="1"/>
  <c r="F44" i="12"/>
  <c r="E44" i="12" s="1"/>
  <c r="AF43" i="12"/>
  <c r="AB43" i="12"/>
  <c r="AA43" i="12"/>
  <c r="Z43" i="12" s="1"/>
  <c r="V43" i="12"/>
  <c r="Q43" i="12"/>
  <c r="K43" i="12"/>
  <c r="I43" i="12"/>
  <c r="F43" i="12"/>
  <c r="I40" i="12"/>
  <c r="AF38" i="12"/>
  <c r="AB38" i="12"/>
  <c r="AA38" i="12"/>
  <c r="Z38" i="12" s="1"/>
  <c r="V38" i="12"/>
  <c r="U38" i="12" s="1"/>
  <c r="Q38" i="12"/>
  <c r="P38" i="12" s="1"/>
  <c r="K38" i="12"/>
  <c r="J38" i="12" s="1"/>
  <c r="L38" i="12" s="1"/>
  <c r="L37" i="12"/>
  <c r="AF36" i="12"/>
  <c r="AB36" i="12"/>
  <c r="AC36" i="12" s="1"/>
  <c r="AD36" i="12" s="1"/>
  <c r="AA36" i="12"/>
  <c r="Z36" i="12" s="1"/>
  <c r="V36" i="12"/>
  <c r="U36" i="12" s="1"/>
  <c r="Q36" i="12"/>
  <c r="P36" i="12" s="1"/>
  <c r="K36" i="12"/>
  <c r="J36" i="12" s="1"/>
  <c r="L36" i="12" s="1"/>
  <c r="E36" i="12"/>
  <c r="AF35" i="12"/>
  <c r="AB35" i="12"/>
  <c r="AA35" i="12"/>
  <c r="Y35" i="12"/>
  <c r="X35" i="12"/>
  <c r="W35" i="12"/>
  <c r="V35" i="12"/>
  <c r="T35" i="12"/>
  <c r="S35" i="12"/>
  <c r="R35" i="12"/>
  <c r="Q35" i="12"/>
  <c r="O35" i="12"/>
  <c r="N35" i="12"/>
  <c r="M35" i="12"/>
  <c r="K35" i="12"/>
  <c r="I35" i="12"/>
  <c r="H35" i="12"/>
  <c r="G35" i="12"/>
  <c r="F35" i="12"/>
  <c r="D35" i="12"/>
  <c r="C35" i="12"/>
  <c r="C40" i="12" s="1"/>
  <c r="B35" i="12"/>
  <c r="AF34" i="12"/>
  <c r="AB34" i="12"/>
  <c r="AA34" i="12"/>
  <c r="Z34" i="12" s="1"/>
  <c r="V34" i="12"/>
  <c r="U34" i="12" s="1"/>
  <c r="Q34" i="12"/>
  <c r="P34" i="12" s="1"/>
  <c r="K34" i="12"/>
  <c r="E34" i="12"/>
  <c r="L33" i="12"/>
  <c r="AF32" i="12"/>
  <c r="AB32" i="12"/>
  <c r="AC32" i="12" s="1"/>
  <c r="AD32" i="12" s="1"/>
  <c r="AA32" i="12"/>
  <c r="Y32" i="12"/>
  <c r="X32" i="12"/>
  <c r="W32" i="12"/>
  <c r="W40" i="12" s="1"/>
  <c r="V32" i="12"/>
  <c r="U32" i="12" s="1"/>
  <c r="T32" i="12"/>
  <c r="S32" i="12"/>
  <c r="R32" i="12"/>
  <c r="Q32" i="12"/>
  <c r="O32" i="12"/>
  <c r="N32" i="12"/>
  <c r="M32" i="12"/>
  <c r="K32" i="12"/>
  <c r="I32" i="12"/>
  <c r="H32" i="12"/>
  <c r="G32" i="12"/>
  <c r="F32" i="12"/>
  <c r="D32" i="12"/>
  <c r="C32" i="12"/>
  <c r="B32" i="12"/>
  <c r="AF31" i="12"/>
  <c r="AB31" i="12"/>
  <c r="AA31" i="12"/>
  <c r="Z31" i="12" s="1"/>
  <c r="V31" i="12"/>
  <c r="U31" i="12" s="1"/>
  <c r="Q31" i="12"/>
  <c r="P31" i="12" s="1"/>
  <c r="K31" i="12"/>
  <c r="J31" i="12" s="1"/>
  <c r="E31" i="12"/>
  <c r="AE30" i="12"/>
  <c r="Z30" i="12"/>
  <c r="U30" i="12"/>
  <c r="J30" i="12"/>
  <c r="E30" i="12"/>
  <c r="AI29" i="12"/>
  <c r="AF28" i="12"/>
  <c r="AB28" i="12"/>
  <c r="AC28" i="12" s="1"/>
  <c r="AA28" i="12"/>
  <c r="Y28" i="12"/>
  <c r="V28" i="12"/>
  <c r="R28" i="12"/>
  <c r="S28" i="12" s="1"/>
  <c r="Q28" i="12"/>
  <c r="M28" i="12"/>
  <c r="L28" i="12"/>
  <c r="AF27" i="12"/>
  <c r="AB27" i="12"/>
  <c r="AC27" i="12" s="1"/>
  <c r="AD27" i="12" s="1"/>
  <c r="AA27" i="12"/>
  <c r="Z27" i="12" s="1"/>
  <c r="V27" i="12"/>
  <c r="U27" i="12" s="1"/>
  <c r="Q27" i="12"/>
  <c r="P27" i="12" s="1"/>
  <c r="K27" i="12"/>
  <c r="J27" i="12" s="1"/>
  <c r="L27" i="12" s="1"/>
  <c r="AH26" i="12"/>
  <c r="AF26" i="12"/>
  <c r="AB26" i="12"/>
  <c r="AA26" i="12"/>
  <c r="Z26" i="12" s="1"/>
  <c r="U26" i="12"/>
  <c r="L26" i="12"/>
  <c r="E26" i="12"/>
  <c r="AF25" i="12"/>
  <c r="AB25" i="12"/>
  <c r="AC25" i="12" s="1"/>
  <c r="AA25" i="12"/>
  <c r="Z25" i="12" s="1"/>
  <c r="V25" i="12"/>
  <c r="U25" i="12" s="1"/>
  <c r="Q25" i="12"/>
  <c r="P25" i="12" s="1"/>
  <c r="K25" i="12"/>
  <c r="E25" i="12"/>
  <c r="L24" i="12"/>
  <c r="E24" i="12"/>
  <c r="AI24" i="12" s="1"/>
  <c r="AF23" i="12"/>
  <c r="AB23" i="12"/>
  <c r="AA23" i="12"/>
  <c r="Z23" i="12" s="1"/>
  <c r="V23" i="12"/>
  <c r="U23" i="12" s="1"/>
  <c r="Q23" i="12"/>
  <c r="P23" i="12" s="1"/>
  <c r="K23" i="12"/>
  <c r="J23" i="12" s="1"/>
  <c r="E23" i="12"/>
  <c r="L22" i="12"/>
  <c r="E22" i="12"/>
  <c r="AI22" i="12" s="1"/>
  <c r="AF21" i="12"/>
  <c r="AB21" i="12"/>
  <c r="AC21" i="12" s="1"/>
  <c r="AA21" i="12"/>
  <c r="Z21" i="12" s="1"/>
  <c r="V21" i="12"/>
  <c r="U21" i="12" s="1"/>
  <c r="Q21" i="12"/>
  <c r="P21" i="12" s="1"/>
  <c r="K21" i="12"/>
  <c r="E21" i="12"/>
  <c r="AF20" i="12"/>
  <c r="AB20" i="12"/>
  <c r="AA20" i="12"/>
  <c r="Z20" i="12" s="1"/>
  <c r="V20" i="12"/>
  <c r="U20" i="12" s="1"/>
  <c r="Q20" i="12"/>
  <c r="P20" i="12" s="1"/>
  <c r="K20" i="12"/>
  <c r="J20" i="12" s="1"/>
  <c r="L20" i="12" s="1"/>
  <c r="E20" i="12"/>
  <c r="AF19" i="12"/>
  <c r="AB19" i="12"/>
  <c r="AA19" i="12"/>
  <c r="Z19" i="12" s="1"/>
  <c r="V19" i="12"/>
  <c r="U19" i="12" s="1"/>
  <c r="Q19" i="12"/>
  <c r="P19" i="12" s="1"/>
  <c r="K19" i="12"/>
  <c r="J19" i="12" s="1"/>
  <c r="C19" i="12"/>
  <c r="B19" i="12"/>
  <c r="L18" i="12"/>
  <c r="E18" i="12"/>
  <c r="AI17" i="12"/>
  <c r="S17" i="12"/>
  <c r="T17" i="12" s="1"/>
  <c r="T40" i="12" s="1"/>
  <c r="R17" i="12"/>
  <c r="Q17" i="12"/>
  <c r="M17" i="12"/>
  <c r="L17" i="12"/>
  <c r="L16" i="12"/>
  <c r="E16" i="12"/>
  <c r="AG15" i="12"/>
  <c r="AF15" i="12"/>
  <c r="AB15" i="12"/>
  <c r="AC15" i="12" s="1"/>
  <c r="AD15" i="12" s="1"/>
  <c r="AA15" i="12"/>
  <c r="Y15" i="12"/>
  <c r="V15" i="12"/>
  <c r="U15" i="12" s="1"/>
  <c r="Q15" i="12"/>
  <c r="P15" i="12" s="1"/>
  <c r="K15" i="12"/>
  <c r="J15" i="12" s="1"/>
  <c r="E15" i="12"/>
  <c r="AE14" i="12"/>
  <c r="Z14" i="12"/>
  <c r="V14" i="12"/>
  <c r="U14" i="12" s="1"/>
  <c r="AF13" i="12"/>
  <c r="AB13" i="12"/>
  <c r="AC13" i="12" s="1"/>
  <c r="AA13" i="12"/>
  <c r="Z13" i="12" s="1"/>
  <c r="V13" i="12"/>
  <c r="U13" i="12" s="1"/>
  <c r="Q13" i="12"/>
  <c r="P13" i="12" s="1"/>
  <c r="K13" i="12"/>
  <c r="E13" i="12"/>
  <c r="AH12" i="12"/>
  <c r="AF12" i="12"/>
  <c r="AB12" i="12"/>
  <c r="AC12" i="12" s="1"/>
  <c r="AD12" i="12" s="1"/>
  <c r="AA12" i="12"/>
  <c r="Z12" i="12" s="1"/>
  <c r="V12" i="12"/>
  <c r="R12" i="12"/>
  <c r="S12" i="12" s="1"/>
  <c r="Q12" i="12"/>
  <c r="M12" i="12"/>
  <c r="K12" i="12"/>
  <c r="H12" i="12"/>
  <c r="H40" i="12" s="1"/>
  <c r="E12" i="12"/>
  <c r="AE11" i="12"/>
  <c r="Z11" i="12"/>
  <c r="R11" i="12"/>
  <c r="S11" i="12" s="1"/>
  <c r="Q11" i="12"/>
  <c r="M11" i="12"/>
  <c r="L11" i="12"/>
  <c r="AF10" i="12"/>
  <c r="AB10" i="12"/>
  <c r="AA10" i="12"/>
  <c r="Z10" i="12" s="1"/>
  <c r="V10" i="12"/>
  <c r="U10" i="12" s="1"/>
  <c r="Q10" i="12"/>
  <c r="P10" i="12" s="1"/>
  <c r="K10" i="12"/>
  <c r="E10" i="12"/>
  <c r="AF8" i="12"/>
  <c r="AB8" i="12"/>
  <c r="AC8" i="12" s="1"/>
  <c r="AA8" i="12"/>
  <c r="Z8" i="12" s="1"/>
  <c r="V8" i="12"/>
  <c r="U8" i="12" s="1"/>
  <c r="Q8" i="12"/>
  <c r="P8" i="12" s="1"/>
  <c r="K8" i="12"/>
  <c r="J8" i="12" s="1"/>
  <c r="E8" i="12"/>
  <c r="E62" i="12" l="1"/>
  <c r="B40" i="12"/>
  <c r="F40" i="12"/>
  <c r="P32" i="12"/>
  <c r="E35" i="12"/>
  <c r="Y40" i="12"/>
  <c r="Y66" i="12" s="1"/>
  <c r="G40" i="12"/>
  <c r="P35" i="12"/>
  <c r="E19" i="12"/>
  <c r="J35" i="12"/>
  <c r="U35" i="12"/>
  <c r="J43" i="12"/>
  <c r="L43" i="12" s="1"/>
  <c r="Z35" i="12"/>
  <c r="D40" i="12"/>
  <c r="D66" i="12" s="1"/>
  <c r="M40" i="12"/>
  <c r="M66" i="12" s="1"/>
  <c r="AF50" i="12"/>
  <c r="U28" i="12"/>
  <c r="S40" i="12"/>
  <c r="N28" i="12"/>
  <c r="O28" i="12" s="1"/>
  <c r="P28" i="12" s="1"/>
  <c r="AE27" i="12"/>
  <c r="J32" i="12"/>
  <c r="L32" i="12" s="1"/>
  <c r="AE32" i="12"/>
  <c r="Q40" i="12"/>
  <c r="AC20" i="12"/>
  <c r="AD20" i="12" s="1"/>
  <c r="AE20" i="12" s="1"/>
  <c r="L31" i="12"/>
  <c r="Q50" i="12"/>
  <c r="AF62" i="12"/>
  <c r="AA40" i="12"/>
  <c r="V50" i="12"/>
  <c r="K62" i="12"/>
  <c r="AC58" i="12"/>
  <c r="AD58" i="12" s="1"/>
  <c r="AE58" i="12" s="1"/>
  <c r="Z15" i="12"/>
  <c r="AC38" i="12"/>
  <c r="AD38" i="12" s="1"/>
  <c r="AE38" i="12" s="1"/>
  <c r="AC47" i="12"/>
  <c r="AD60" i="12"/>
  <c r="AE60" i="12" s="1"/>
  <c r="F50" i="12"/>
  <c r="F66" i="12" s="1"/>
  <c r="F68" i="12" s="1"/>
  <c r="AB50" i="12"/>
  <c r="AD59" i="12"/>
  <c r="AE59" i="12" s="1"/>
  <c r="U12" i="12"/>
  <c r="AD21" i="12"/>
  <c r="AE21" i="12" s="1"/>
  <c r="L23" i="12"/>
  <c r="Z28" i="12"/>
  <c r="AC43" i="12"/>
  <c r="AD43" i="12" s="1"/>
  <c r="AE43" i="12" s="1"/>
  <c r="AD49" i="12"/>
  <c r="AE49" i="12" s="1"/>
  <c r="Z62" i="12"/>
  <c r="L8" i="12"/>
  <c r="J13" i="12"/>
  <c r="L13" i="12" s="1"/>
  <c r="AE36" i="12"/>
  <c r="K50" i="12"/>
  <c r="C66" i="12"/>
  <c r="AF40" i="12"/>
  <c r="U11" i="12"/>
  <c r="AE12" i="12"/>
  <c r="Z50" i="12"/>
  <c r="AD53" i="12"/>
  <c r="AE53" i="12" s="1"/>
  <c r="AC34" i="12"/>
  <c r="R66" i="12"/>
  <c r="AC10" i="12"/>
  <c r="AD10" i="12" s="1"/>
  <c r="AE10" i="12" s="1"/>
  <c r="X40" i="12"/>
  <c r="X66" i="12" s="1"/>
  <c r="Z32" i="12"/>
  <c r="J34" i="12"/>
  <c r="L34" i="12" s="1"/>
  <c r="AB62" i="12"/>
  <c r="AC56" i="12"/>
  <c r="AC61" i="12"/>
  <c r="S66" i="12"/>
  <c r="J10" i="12"/>
  <c r="L10" i="12" s="1"/>
  <c r="K40" i="12"/>
  <c r="L47" i="12"/>
  <c r="G66" i="12"/>
  <c r="L56" i="12"/>
  <c r="J61" i="12"/>
  <c r="L61" i="12" s="1"/>
  <c r="H66" i="12"/>
  <c r="T66" i="12"/>
  <c r="AD8" i="12"/>
  <c r="AD25" i="12"/>
  <c r="AE25" i="12" s="1"/>
  <c r="AE15" i="12"/>
  <c r="V40" i="12"/>
  <c r="AD13" i="12"/>
  <c r="AE13" i="12" s="1"/>
  <c r="L15" i="12"/>
  <c r="Q62" i="12"/>
  <c r="I66" i="12"/>
  <c r="W66" i="12"/>
  <c r="B66" i="12"/>
  <c r="L35" i="12"/>
  <c r="V62" i="12"/>
  <c r="J57" i="12"/>
  <c r="L57" i="12" s="1"/>
  <c r="R40" i="12"/>
  <c r="P43" i="12"/>
  <c r="P50" i="12" s="1"/>
  <c r="J46" i="12"/>
  <c r="P53" i="12"/>
  <c r="P62" i="12" s="1"/>
  <c r="AA62" i="12"/>
  <c r="L19" i="12"/>
  <c r="AC19" i="12"/>
  <c r="AD19" i="12" s="1"/>
  <c r="AD28" i="12"/>
  <c r="AE28" i="12" s="1"/>
  <c r="AC31" i="12"/>
  <c r="AC35" i="12"/>
  <c r="AD35" i="12" s="1"/>
  <c r="AB40" i="12"/>
  <c r="E43" i="12"/>
  <c r="U43" i="12"/>
  <c r="U50" i="12" s="1"/>
  <c r="AD44" i="12"/>
  <c r="L45" i="12"/>
  <c r="AC45" i="12"/>
  <c r="AC46" i="12"/>
  <c r="AD46" i="12" s="1"/>
  <c r="U53" i="12"/>
  <c r="U62" i="12" s="1"/>
  <c r="AD54" i="12"/>
  <c r="J64" i="12"/>
  <c r="L64" i="12" s="1"/>
  <c r="N11" i="12"/>
  <c r="N12" i="12"/>
  <c r="O12" i="12" s="1"/>
  <c r="N17" i="12"/>
  <c r="AC23" i="12"/>
  <c r="AD23" i="12" s="1"/>
  <c r="AC26" i="12"/>
  <c r="AD26" i="12" s="1"/>
  <c r="AA50" i="12"/>
  <c r="J21" i="12"/>
  <c r="L21" i="12" s="1"/>
  <c r="J25" i="12"/>
  <c r="L25" i="12" s="1"/>
  <c r="E32" i="12"/>
  <c r="J12" i="12"/>
  <c r="L12" i="12" s="1"/>
  <c r="AF66" i="12" l="1"/>
  <c r="U40" i="12"/>
  <c r="AC62" i="12"/>
  <c r="P12" i="12"/>
  <c r="AI11" i="12" s="1"/>
  <c r="V66" i="12"/>
  <c r="Q66" i="12"/>
  <c r="AI18" i="12"/>
  <c r="Z40" i="12"/>
  <c r="Z66" i="12" s="1"/>
  <c r="AD47" i="12"/>
  <c r="AE47" i="12" s="1"/>
  <c r="K66" i="12"/>
  <c r="AE19" i="12"/>
  <c r="AB66" i="12"/>
  <c r="AC40" i="12"/>
  <c r="AD56" i="12"/>
  <c r="AE56" i="12" s="1"/>
  <c r="U66" i="12"/>
  <c r="AD31" i="12"/>
  <c r="AE31" i="12" s="1"/>
  <c r="L62" i="12"/>
  <c r="L40" i="12"/>
  <c r="AC50" i="12"/>
  <c r="AD34" i="12"/>
  <c r="AE34" i="12" s="1"/>
  <c r="AE54" i="12"/>
  <c r="K67" i="12"/>
  <c r="F73" i="12"/>
  <c r="AE23" i="12"/>
  <c r="AD45" i="12"/>
  <c r="AE45" i="12" s="1"/>
  <c r="J50" i="12"/>
  <c r="N40" i="12"/>
  <c r="N66" i="12" s="1"/>
  <c r="AE35" i="12"/>
  <c r="O17" i="12"/>
  <c r="P17" i="12" s="1"/>
  <c r="AI16" i="12" s="1"/>
  <c r="E40" i="12"/>
  <c r="O11" i="12"/>
  <c r="O40" i="12" s="1"/>
  <c r="O66" i="12" s="1"/>
  <c r="B68" i="12"/>
  <c r="AD61" i="12"/>
  <c r="AE46" i="12"/>
  <c r="AE8" i="12"/>
  <c r="J40" i="12"/>
  <c r="AA66" i="12"/>
  <c r="L46" i="12"/>
  <c r="L50" i="12" s="1"/>
  <c r="E50" i="12"/>
  <c r="J62" i="12"/>
  <c r="AE26" i="12"/>
  <c r="AE44" i="12"/>
  <c r="K68" i="12" l="1"/>
  <c r="AD62" i="12"/>
  <c r="AC66" i="12"/>
  <c r="AD40" i="12"/>
  <c r="L67" i="12"/>
  <c r="L68" i="12" s="1"/>
  <c r="M67" i="12" s="1"/>
  <c r="M68" i="12" s="1"/>
  <c r="Q67" i="12"/>
  <c r="Q68" i="12" s="1"/>
  <c r="AE50" i="12"/>
  <c r="C67" i="12"/>
  <c r="B73" i="12"/>
  <c r="AE61" i="12"/>
  <c r="AD50" i="12"/>
  <c r="AE40" i="12"/>
  <c r="AE64" i="12"/>
  <c r="E66" i="12"/>
  <c r="AE62" i="12"/>
  <c r="P11" i="12"/>
  <c r="P40" i="12" s="1"/>
  <c r="P66" i="12" s="1"/>
  <c r="J66" i="12"/>
  <c r="AF32" i="7"/>
  <c r="AF35" i="7"/>
  <c r="AD66" i="12" l="1"/>
  <c r="AE66" i="12"/>
  <c r="C68" i="12"/>
  <c r="M73" i="12"/>
  <c r="N67" i="12"/>
  <c r="N68" i="12" s="1"/>
  <c r="R67" i="12"/>
  <c r="R68" i="12" s="1"/>
  <c r="V67" i="12"/>
  <c r="V68" i="12" s="1"/>
  <c r="AB32" i="7"/>
  <c r="AB35" i="7"/>
  <c r="N73" i="12" l="1"/>
  <c r="O67" i="12"/>
  <c r="O68" i="12" s="1"/>
  <c r="AA67" i="12"/>
  <c r="AA68" i="12" s="1"/>
  <c r="W67" i="12"/>
  <c r="W68" i="12" s="1"/>
  <c r="D67" i="12"/>
  <c r="C73" i="12"/>
  <c r="R73" i="12"/>
  <c r="S67" i="12"/>
  <c r="S68" i="12" s="1"/>
  <c r="AC35" i="7"/>
  <c r="AD35" i="7" s="1"/>
  <c r="AC32" i="7"/>
  <c r="AD32" i="7" s="1"/>
  <c r="AA35" i="7"/>
  <c r="AA32" i="7"/>
  <c r="W73" i="12" l="1"/>
  <c r="X67" i="12"/>
  <c r="X68" i="12" s="1"/>
  <c r="AB67" i="12"/>
  <c r="AB68" i="12" s="1"/>
  <c r="AC67" i="12" s="1"/>
  <c r="AF67" i="12"/>
  <c r="AF68" i="12" s="1"/>
  <c r="O73" i="12"/>
  <c r="P67" i="12"/>
  <c r="P68" i="12" s="1"/>
  <c r="D68" i="12"/>
  <c r="T67" i="12"/>
  <c r="T68" i="12" s="1"/>
  <c r="S73" i="12"/>
  <c r="Y32" i="7"/>
  <c r="Y35" i="7"/>
  <c r="X32" i="7"/>
  <c r="X35" i="7"/>
  <c r="W32" i="7"/>
  <c r="W35" i="7"/>
  <c r="V32" i="7"/>
  <c r="V35" i="7"/>
  <c r="D73" i="12" l="1"/>
  <c r="E67" i="12"/>
  <c r="AG67" i="12"/>
  <c r="U67" i="12"/>
  <c r="U68" i="12" s="1"/>
  <c r="T73" i="12"/>
  <c r="X73" i="12"/>
  <c r="Y67" i="12"/>
  <c r="Y68" i="12" s="1"/>
  <c r="AC68" i="12"/>
  <c r="T32" i="7"/>
  <c r="T35" i="7"/>
  <c r="S32" i="7"/>
  <c r="S35" i="7"/>
  <c r="R32" i="7"/>
  <c r="R35" i="7"/>
  <c r="Q32" i="7"/>
  <c r="Q35" i="7"/>
  <c r="AD67" i="12" l="1"/>
  <c r="AD68" i="12" s="1"/>
  <c r="E68" i="12"/>
  <c r="Y73" i="12"/>
  <c r="Z67" i="12"/>
  <c r="Z68" i="12" s="1"/>
  <c r="O32" i="7"/>
  <c r="O35" i="7"/>
  <c r="N32" i="7"/>
  <c r="N35" i="7"/>
  <c r="M32" i="7"/>
  <c r="M35" i="7"/>
  <c r="K32" i="7"/>
  <c r="K35" i="7"/>
  <c r="E73" i="12" l="1"/>
  <c r="G67" i="12"/>
  <c r="AE67" i="12"/>
  <c r="AE68" i="12" s="1"/>
  <c r="I32" i="7"/>
  <c r="I35" i="7"/>
  <c r="H32" i="7"/>
  <c r="H35" i="7"/>
  <c r="G32" i="7"/>
  <c r="G35" i="7"/>
  <c r="F32" i="7"/>
  <c r="F35" i="7"/>
  <c r="D32" i="7"/>
  <c r="D35" i="7"/>
  <c r="C32" i="7"/>
  <c r="C35" i="7"/>
  <c r="B35" i="7"/>
  <c r="B32" i="7"/>
  <c r="G68" i="12" l="1"/>
  <c r="AI65" i="7"/>
  <c r="AI29" i="7"/>
  <c r="AH26" i="7"/>
  <c r="AH85" i="8"/>
  <c r="AH81" i="8"/>
  <c r="AH77" i="8"/>
  <c r="AH64" i="8"/>
  <c r="AH63" i="8"/>
  <c r="AH61" i="8"/>
  <c r="AH39" i="8"/>
  <c r="AH38" i="8"/>
  <c r="AH36" i="8"/>
  <c r="AH33" i="8"/>
  <c r="AH32" i="8"/>
  <c r="AH30" i="8"/>
  <c r="AH26" i="8"/>
  <c r="G73" i="12" l="1"/>
  <c r="H67" i="12"/>
  <c r="AH12" i="7"/>
  <c r="H68" i="12" l="1"/>
  <c r="AH25" i="8"/>
  <c r="AH23" i="8"/>
  <c r="H73" i="12" l="1"/>
  <c r="I67" i="12"/>
  <c r="I68" i="12" s="1"/>
  <c r="AH19" i="8"/>
  <c r="I73" i="12" l="1"/>
  <c r="J67" i="12"/>
  <c r="AH65" i="8"/>
  <c r="AH40" i="8"/>
  <c r="AH20" i="8"/>
  <c r="J68" i="12" l="1"/>
  <c r="AH34" i="8"/>
  <c r="AH17" i="8"/>
  <c r="AH27" i="8"/>
  <c r="AH12" i="5"/>
  <c r="AH11" i="5"/>
  <c r="AH10" i="5"/>
  <c r="AH9" i="5"/>
  <c r="AH67" i="8" l="1"/>
  <c r="AJ77" i="8" s="1"/>
  <c r="AH21" i="8"/>
  <c r="AH82" i="8" l="1"/>
  <c r="AH78" i="8"/>
  <c r="AH86" i="8"/>
  <c r="AH25" i="5"/>
  <c r="AH21" i="5"/>
  <c r="AH17" i="5"/>
  <c r="AH109" i="8" l="1"/>
  <c r="AG54" i="11"/>
  <c r="AB22" i="6" l="1"/>
  <c r="Z32" i="6" l="1"/>
  <c r="Z22" i="6"/>
  <c r="Y32" i="6" l="1"/>
  <c r="Y22" i="6"/>
  <c r="X32" i="6" l="1"/>
  <c r="X22" i="6"/>
  <c r="W32" i="6" l="1"/>
  <c r="W22" i="6"/>
  <c r="V32" i="6" l="1"/>
  <c r="V22" i="6"/>
  <c r="U23" i="6" l="1"/>
  <c r="Q32" i="6" l="1"/>
  <c r="P32" i="6"/>
  <c r="O32" i="6"/>
  <c r="M32" i="6"/>
  <c r="L32" i="6"/>
  <c r="K32" i="6"/>
  <c r="I32" i="6"/>
  <c r="H32" i="6"/>
  <c r="G32" i="6"/>
  <c r="R22" i="6" l="1"/>
  <c r="R23" i="6"/>
  <c r="N32" i="6" l="1"/>
  <c r="N22" i="6"/>
  <c r="J22" i="6" l="1"/>
  <c r="F32" i="6" l="1"/>
  <c r="AG28" i="11" l="1"/>
  <c r="AG37" i="11"/>
  <c r="AG51" i="11" l="1"/>
  <c r="AJ58" i="11" l="1"/>
  <c r="AG52" i="11"/>
  <c r="AG53" i="11"/>
  <c r="AG47" i="11" l="1"/>
  <c r="AG46" i="11"/>
  <c r="AG45" i="11"/>
  <c r="AG39" i="11"/>
  <c r="AG42" i="11" l="1"/>
  <c r="AG44" i="11" l="1"/>
  <c r="AG41" i="11" l="1"/>
  <c r="AG25" i="11"/>
  <c r="AG14" i="11"/>
  <c r="AC51" i="6"/>
  <c r="AB21" i="6"/>
  <c r="AG53" i="10" l="1"/>
  <c r="AG54" i="10" l="1"/>
  <c r="AG14" i="5" l="1"/>
  <c r="AG6" i="5"/>
  <c r="I40" i="7" l="1"/>
  <c r="G40" i="7"/>
  <c r="F40" i="7"/>
  <c r="D40" i="7"/>
  <c r="AE17" i="5" l="1"/>
  <c r="AG101" i="8" l="1"/>
  <c r="AG100" i="8"/>
  <c r="AG99" i="8"/>
  <c r="AG10" i="5" l="1"/>
  <c r="AG11" i="5"/>
  <c r="AG12" i="5"/>
  <c r="AG9" i="5"/>
  <c r="AG85" i="8" l="1"/>
  <c r="AH87" i="8" s="1"/>
  <c r="AG81" i="8"/>
  <c r="AH83" i="8" s="1"/>
  <c r="AG77" i="8"/>
  <c r="AH79" i="8" s="1"/>
  <c r="AG63" i="8"/>
  <c r="AG38" i="8"/>
  <c r="AG32" i="8"/>
  <c r="AG25" i="8"/>
  <c r="AG19" i="8"/>
  <c r="AF53" i="11" l="1"/>
  <c r="AF52" i="11" l="1"/>
  <c r="AF47" i="11"/>
  <c r="AF46" i="11"/>
  <c r="AF45" i="11"/>
  <c r="AF44" i="11"/>
  <c r="AF42" i="11" l="1"/>
  <c r="AF37" i="11" l="1"/>
  <c r="AF39" i="11"/>
  <c r="AG64" i="8" l="1"/>
  <c r="AG61" i="8"/>
  <c r="AG39" i="8"/>
  <c r="AG36" i="8"/>
  <c r="AG33" i="8"/>
  <c r="AG30" i="8"/>
  <c r="AG26" i="8"/>
  <c r="AG23" i="8"/>
  <c r="AG25" i="5"/>
  <c r="AH26" i="5" s="1"/>
  <c r="AG21" i="5"/>
  <c r="AH22" i="5" s="1"/>
  <c r="AG34" i="8" l="1"/>
  <c r="AG27" i="8"/>
  <c r="AG40" i="8"/>
  <c r="AG65" i="8"/>
  <c r="AG20" i="8"/>
  <c r="AG17" i="8"/>
  <c r="AG67" i="8" l="1"/>
  <c r="AG82" i="8" s="1"/>
  <c r="AG21" i="8"/>
  <c r="AG86" i="8" l="1"/>
  <c r="AG78" i="8"/>
  <c r="AG17" i="5"/>
  <c r="AH18" i="5" s="1"/>
  <c r="AG109" i="8" l="1"/>
  <c r="AF41" i="11"/>
  <c r="AF54" i="11"/>
  <c r="AF25" i="11"/>
  <c r="AF15" i="11"/>
  <c r="AF14" i="11"/>
  <c r="AA21" i="6"/>
  <c r="Z21" i="6"/>
  <c r="F54" i="10" l="1"/>
  <c r="F53" i="10"/>
  <c r="E54" i="10"/>
  <c r="E53" i="10"/>
  <c r="J54" i="10" l="1"/>
  <c r="J53" i="10"/>
  <c r="K54" i="10"/>
  <c r="K53" i="10"/>
  <c r="O54" i="10" l="1"/>
  <c r="O53" i="10"/>
  <c r="P54" i="10"/>
  <c r="P53" i="10"/>
  <c r="T54" i="10" l="1"/>
  <c r="T53" i="10"/>
  <c r="U54" i="10"/>
  <c r="U53" i="10"/>
  <c r="V54" i="10" l="1"/>
  <c r="V53" i="10"/>
  <c r="W54" i="10" l="1"/>
  <c r="W53" i="10"/>
  <c r="AB54" i="10" l="1"/>
  <c r="AB53" i="10"/>
  <c r="X54" i="10" l="1"/>
  <c r="X53" i="10"/>
  <c r="Y54" i="10" l="1"/>
  <c r="Y53" i="10"/>
  <c r="Z54" i="10" l="1"/>
  <c r="Z53" i="10"/>
  <c r="AA53" i="10" l="1"/>
  <c r="AA54" i="10" l="1"/>
  <c r="AF53" i="10" l="1"/>
  <c r="AE85" i="8" l="1"/>
  <c r="AE81" i="8"/>
  <c r="AE77" i="8"/>
  <c r="AE63" i="8"/>
  <c r="AE38" i="8"/>
  <c r="AE32" i="8"/>
  <c r="AE25" i="8"/>
  <c r="AE19" i="8"/>
  <c r="AF85" i="8"/>
  <c r="AF81" i="8"/>
  <c r="AF77" i="8"/>
  <c r="AF63" i="8"/>
  <c r="AF38" i="8"/>
  <c r="AF32" i="8"/>
  <c r="AF25" i="8"/>
  <c r="AF19" i="8"/>
  <c r="AG79" i="8" l="1"/>
  <c r="AG83" i="8"/>
  <c r="AG87" i="8"/>
  <c r="AC52" i="11"/>
  <c r="AC48" i="11"/>
  <c r="AE52" i="11"/>
  <c r="AC42" i="11"/>
  <c r="AC43" i="11"/>
  <c r="AC14" i="11" l="1"/>
  <c r="AD52" i="11"/>
  <c r="AE42" i="11"/>
  <c r="AE43" i="11" l="1"/>
  <c r="AD42" i="11"/>
  <c r="AE14" i="11" l="1"/>
  <c r="AE48" i="11"/>
  <c r="AF28" i="7" l="1"/>
  <c r="AF10" i="5" l="1"/>
  <c r="AF11" i="5"/>
  <c r="AF12" i="5"/>
  <c r="AF9" i="5"/>
  <c r="AE10" i="5" l="1"/>
  <c r="AE11" i="5"/>
  <c r="AE12" i="5"/>
  <c r="AE9" i="5"/>
  <c r="AE50" i="11" l="1"/>
  <c r="AE53" i="11" l="1"/>
  <c r="AE47" i="11"/>
  <c r="AE46" i="11"/>
  <c r="AE45" i="11"/>
  <c r="AE37" i="11"/>
  <c r="AE44" i="11"/>
  <c r="AE39" i="11"/>
  <c r="AE27" i="11" l="1"/>
  <c r="AF101" i="8" l="1"/>
  <c r="AF100" i="8"/>
  <c r="AF99" i="8"/>
  <c r="AE101" i="8"/>
  <c r="AE100" i="8"/>
  <c r="AE99" i="8"/>
  <c r="AE6" i="5" l="1"/>
  <c r="AF14" i="5"/>
  <c r="AE14" i="5"/>
  <c r="AF6" i="5" l="1"/>
  <c r="AD53" i="11"/>
  <c r="AF15" i="7" l="1"/>
  <c r="AF56" i="7" l="1"/>
  <c r="AF47" i="7"/>
  <c r="AF23" i="7"/>
  <c r="AF12" i="7"/>
  <c r="AE57" i="7" l="1"/>
  <c r="AE30" i="7"/>
  <c r="AE14" i="7"/>
  <c r="AE11" i="7"/>
  <c r="AF26" i="8"/>
  <c r="AF33" i="8"/>
  <c r="AF39" i="8"/>
  <c r="AF64" i="8"/>
  <c r="AF61" i="8"/>
  <c r="AF36" i="8"/>
  <c r="AF30" i="8"/>
  <c r="AF23" i="8"/>
  <c r="AF20" i="8" l="1"/>
  <c r="AF27" i="8"/>
  <c r="AF65" i="8"/>
  <c r="AF40" i="8"/>
  <c r="AF34" i="8"/>
  <c r="AF17" i="8"/>
  <c r="AF21" i="8" l="1"/>
  <c r="AE12" i="11" l="1"/>
  <c r="AE15" i="11"/>
  <c r="AE54" i="11"/>
  <c r="AE41" i="11"/>
  <c r="AE25" i="11" l="1"/>
  <c r="AD55" i="11" l="1"/>
  <c r="AD51" i="11"/>
  <c r="AD49" i="11"/>
  <c r="AD40" i="11"/>
  <c r="AD38" i="11"/>
  <c r="AD28" i="11" l="1"/>
  <c r="AD26" i="11"/>
  <c r="AD25" i="11"/>
  <c r="AD13" i="11"/>
  <c r="AD12" i="11"/>
  <c r="AE25" i="5"/>
  <c r="AG26" i="5" s="1"/>
  <c r="AE21" i="5"/>
  <c r="AG22" i="5" s="1"/>
  <c r="AG18" i="5"/>
  <c r="AF25" i="5"/>
  <c r="AF21" i="5"/>
  <c r="AF17" i="5"/>
  <c r="AD53" i="10" l="1"/>
  <c r="AE53" i="10" l="1"/>
  <c r="AE54" i="10" l="1"/>
  <c r="AD54" i="10"/>
  <c r="AD38" i="10" l="1"/>
  <c r="AD26" i="10"/>
  <c r="AF67" i="8" l="1"/>
  <c r="AC54" i="11"/>
  <c r="AB54" i="11"/>
  <c r="AA54" i="11"/>
  <c r="Z54" i="11"/>
  <c r="X54" i="11"/>
  <c r="W54" i="11"/>
  <c r="V54" i="11"/>
  <c r="F22" i="11"/>
  <c r="D22" i="11"/>
  <c r="C22" i="11"/>
  <c r="B22" i="11"/>
  <c r="AC15" i="11"/>
  <c r="AB15" i="11"/>
  <c r="AA15" i="11"/>
  <c r="Z15" i="11"/>
  <c r="Z28" i="11" s="1"/>
  <c r="Y55" i="11"/>
  <c r="U55" i="11"/>
  <c r="S55" i="11"/>
  <c r="Y51" i="11"/>
  <c r="K51" i="11"/>
  <c r="I51" i="11"/>
  <c r="H51" i="11"/>
  <c r="F51" i="11"/>
  <c r="E51" i="11" s="1"/>
  <c r="AA50" i="11"/>
  <c r="AD50" i="11" s="1"/>
  <c r="Z50" i="11"/>
  <c r="Y50" i="11" s="1"/>
  <c r="U50" i="11"/>
  <c r="S50" i="11"/>
  <c r="P50" i="11"/>
  <c r="N50" i="11"/>
  <c r="M50" i="11"/>
  <c r="K50" i="11"/>
  <c r="I50" i="11"/>
  <c r="H50" i="11"/>
  <c r="E50" i="11"/>
  <c r="Y49" i="11"/>
  <c r="U49" i="11"/>
  <c r="S49" i="11"/>
  <c r="R49" i="11"/>
  <c r="Q49" i="11"/>
  <c r="P49" i="11"/>
  <c r="N49" i="11"/>
  <c r="M49" i="11"/>
  <c r="L49" i="11"/>
  <c r="K49" i="11"/>
  <c r="I49" i="11"/>
  <c r="H49" i="11"/>
  <c r="G49" i="11"/>
  <c r="F49" i="11"/>
  <c r="E49" i="11" s="1"/>
  <c r="AB48" i="11"/>
  <c r="AA48" i="11"/>
  <c r="Z48" i="11"/>
  <c r="Y48" i="11" s="1"/>
  <c r="U48" i="11"/>
  <c r="T48" i="11" s="1"/>
  <c r="P48" i="11"/>
  <c r="N48" i="11"/>
  <c r="M48" i="11"/>
  <c r="K48" i="11"/>
  <c r="I48" i="11"/>
  <c r="F48" i="11"/>
  <c r="D48" i="11"/>
  <c r="AC47" i="11"/>
  <c r="AB47" i="11"/>
  <c r="AA47" i="11"/>
  <c r="Z47" i="11"/>
  <c r="X47" i="11"/>
  <c r="W47" i="11"/>
  <c r="K47" i="11"/>
  <c r="AC46" i="11"/>
  <c r="AB46" i="11"/>
  <c r="AA46" i="11"/>
  <c r="Z46" i="11"/>
  <c r="X46" i="11"/>
  <c r="W46" i="11"/>
  <c r="AC45" i="11"/>
  <c r="AB45" i="11"/>
  <c r="AA45" i="11"/>
  <c r="Z45" i="11"/>
  <c r="X45" i="11"/>
  <c r="W45" i="11"/>
  <c r="V45" i="11"/>
  <c r="U45" i="11"/>
  <c r="S45" i="11"/>
  <c r="R45" i="11"/>
  <c r="Q45" i="11"/>
  <c r="P45" i="11"/>
  <c r="N45" i="11"/>
  <c r="M45" i="11"/>
  <c r="L45" i="11"/>
  <c r="K45" i="11"/>
  <c r="I45" i="11"/>
  <c r="H45" i="11"/>
  <c r="G45" i="11"/>
  <c r="F45" i="11"/>
  <c r="D45" i="11"/>
  <c r="AC44" i="11"/>
  <c r="AB44" i="11"/>
  <c r="AA44" i="11"/>
  <c r="Z44" i="11"/>
  <c r="X44" i="11"/>
  <c r="W44" i="11"/>
  <c r="V44" i="11"/>
  <c r="U44" i="11"/>
  <c r="S44" i="11"/>
  <c r="R44" i="11"/>
  <c r="Q44" i="11"/>
  <c r="P44" i="11"/>
  <c r="N44" i="11"/>
  <c r="M44" i="11"/>
  <c r="L44" i="11"/>
  <c r="K44" i="11"/>
  <c r="I44" i="11"/>
  <c r="H44" i="11"/>
  <c r="G44" i="11"/>
  <c r="F44" i="11"/>
  <c r="D44" i="11"/>
  <c r="AB43" i="11"/>
  <c r="AB14" i="11" s="1"/>
  <c r="AA43" i="11"/>
  <c r="AA14" i="11" s="1"/>
  <c r="Z43" i="11"/>
  <c r="Z14" i="11" s="1"/>
  <c r="U43" i="11"/>
  <c r="T43" i="11" s="1"/>
  <c r="P43" i="11"/>
  <c r="N43" i="11"/>
  <c r="M43" i="11"/>
  <c r="AC41" i="11"/>
  <c r="AB41" i="11"/>
  <c r="AA41" i="11"/>
  <c r="Y40" i="11"/>
  <c r="U40" i="11"/>
  <c r="S40" i="11"/>
  <c r="R40" i="11"/>
  <c r="Q40" i="11"/>
  <c r="P40" i="11"/>
  <c r="N40" i="11"/>
  <c r="M40" i="11"/>
  <c r="L40" i="11"/>
  <c r="K40" i="11"/>
  <c r="I40" i="11"/>
  <c r="H40" i="11"/>
  <c r="G40" i="11"/>
  <c r="F40" i="11"/>
  <c r="E40" i="11" s="1"/>
  <c r="AC39" i="11"/>
  <c r="AB39" i="11"/>
  <c r="AA39" i="11"/>
  <c r="X39" i="11"/>
  <c r="W39" i="11"/>
  <c r="V39" i="11"/>
  <c r="U39" i="11"/>
  <c r="T39" i="11" s="1"/>
  <c r="O39" i="11"/>
  <c r="K39" i="11"/>
  <c r="I39" i="11"/>
  <c r="C39" i="11"/>
  <c r="B39" i="11"/>
  <c r="J38" i="11"/>
  <c r="F38" i="11"/>
  <c r="E38" i="11" s="1"/>
  <c r="AC37" i="11"/>
  <c r="AB37" i="11"/>
  <c r="AA37" i="11"/>
  <c r="Z37" i="11"/>
  <c r="X37" i="11"/>
  <c r="W37" i="11"/>
  <c r="T37" i="11"/>
  <c r="P37" i="11"/>
  <c r="K37" i="11"/>
  <c r="F36" i="11"/>
  <c r="D36" i="11"/>
  <c r="C36" i="11"/>
  <c r="B36" i="11"/>
  <c r="F35" i="11"/>
  <c r="D35" i="11"/>
  <c r="C35" i="11"/>
  <c r="B35" i="11"/>
  <c r="AC27" i="11"/>
  <c r="AB27" i="11"/>
  <c r="AA27" i="11"/>
  <c r="Z27" i="11"/>
  <c r="X27" i="11"/>
  <c r="W27" i="11"/>
  <c r="V27" i="11"/>
  <c r="S27" i="11"/>
  <c r="R27" i="11"/>
  <c r="Q27" i="11"/>
  <c r="P27" i="11"/>
  <c r="O27" i="11"/>
  <c r="N27" i="11"/>
  <c r="M27" i="11"/>
  <c r="L27" i="11"/>
  <c r="K27" i="11"/>
  <c r="J27" i="11"/>
  <c r="I27" i="11"/>
  <c r="H27" i="11"/>
  <c r="G27" i="11"/>
  <c r="F27" i="11"/>
  <c r="S26" i="11"/>
  <c r="R26" i="11"/>
  <c r="Q26" i="11"/>
  <c r="P26" i="11"/>
  <c r="O26" i="11"/>
  <c r="N26" i="11"/>
  <c r="M26" i="11"/>
  <c r="L26" i="11"/>
  <c r="K26" i="11"/>
  <c r="I26" i="11"/>
  <c r="H26" i="11"/>
  <c r="G26" i="11"/>
  <c r="C26" i="11"/>
  <c r="B26" i="11"/>
  <c r="V25" i="11"/>
  <c r="U25" i="11"/>
  <c r="S25" i="11"/>
  <c r="R25" i="11"/>
  <c r="Q25" i="11"/>
  <c r="O25" i="11"/>
  <c r="N25" i="11"/>
  <c r="M25" i="11"/>
  <c r="L25" i="11"/>
  <c r="J25" i="11"/>
  <c r="I25" i="11"/>
  <c r="H25" i="11"/>
  <c r="G25" i="11"/>
  <c r="E25" i="11"/>
  <c r="D25" i="11"/>
  <c r="C25" i="11"/>
  <c r="B25" i="11"/>
  <c r="B37" i="11" s="1"/>
  <c r="F24" i="11"/>
  <c r="D24" i="11"/>
  <c r="C24" i="11"/>
  <c r="B24" i="11"/>
  <c r="F23" i="11"/>
  <c r="D23" i="11"/>
  <c r="C23" i="11"/>
  <c r="B23" i="11"/>
  <c r="F15" i="11"/>
  <c r="F28" i="11" s="1"/>
  <c r="F41" i="11" s="1"/>
  <c r="U14" i="11"/>
  <c r="U27" i="11" s="1"/>
  <c r="Z13" i="11"/>
  <c r="Z39" i="11" s="1"/>
  <c r="X13" i="11"/>
  <c r="X26" i="11" s="1"/>
  <c r="W13" i="11"/>
  <c r="W26" i="11" s="1"/>
  <c r="V13" i="11"/>
  <c r="V26" i="11" s="1"/>
  <c r="U13" i="11"/>
  <c r="U26" i="11" s="1"/>
  <c r="J13" i="11"/>
  <c r="J26" i="11" s="1"/>
  <c r="F13" i="11"/>
  <c r="D13" i="11"/>
  <c r="Z12" i="11"/>
  <c r="X12" i="11"/>
  <c r="X25" i="11" s="1"/>
  <c r="W12" i="11"/>
  <c r="T12" i="11"/>
  <c r="T25" i="11" s="1"/>
  <c r="P12" i="11"/>
  <c r="P25" i="11" s="1"/>
  <c r="K12" i="11"/>
  <c r="F12" i="11"/>
  <c r="F25" i="11" s="1"/>
  <c r="AC11" i="11"/>
  <c r="AC35" i="11" s="1"/>
  <c r="AB11" i="11"/>
  <c r="AB24" i="11" s="1"/>
  <c r="AA11" i="11"/>
  <c r="Z11" i="11"/>
  <c r="Z35" i="11" s="1"/>
  <c r="X35" i="11"/>
  <c r="U11" i="11"/>
  <c r="U35" i="11" s="1"/>
  <c r="Q35" i="11"/>
  <c r="P11" i="11"/>
  <c r="P35" i="11" s="1"/>
  <c r="M35" i="11"/>
  <c r="L35" i="11"/>
  <c r="K11" i="11"/>
  <c r="I35" i="11"/>
  <c r="H35" i="11"/>
  <c r="E11" i="11"/>
  <c r="E35" i="11" s="1"/>
  <c r="AC10" i="11"/>
  <c r="AB10" i="11"/>
  <c r="AA10" i="11"/>
  <c r="Z10" i="11"/>
  <c r="Z36" i="11" s="1"/>
  <c r="X36" i="11"/>
  <c r="W36" i="11"/>
  <c r="V36" i="11"/>
  <c r="U10" i="11"/>
  <c r="R36" i="11"/>
  <c r="Q36" i="11"/>
  <c r="P10" i="11"/>
  <c r="P36" i="11" s="1"/>
  <c r="K10" i="11"/>
  <c r="I36" i="11"/>
  <c r="H36" i="11"/>
  <c r="E10" i="11"/>
  <c r="AD85" i="8"/>
  <c r="AE87" i="8" s="1"/>
  <c r="AD81" i="8"/>
  <c r="AE83" i="8" s="1"/>
  <c r="AD77" i="8"/>
  <c r="AE79" i="8" s="1"/>
  <c r="AD63" i="8"/>
  <c r="AD38" i="8"/>
  <c r="AD32" i="8"/>
  <c r="AD25" i="8"/>
  <c r="AD19" i="8"/>
  <c r="AD54" i="11" l="1"/>
  <c r="AD37" i="11"/>
  <c r="Y27" i="11"/>
  <c r="Z25" i="11"/>
  <c r="AD48" i="11"/>
  <c r="AD41" i="11"/>
  <c r="AD39" i="11"/>
  <c r="AD47" i="11"/>
  <c r="AD15" i="11"/>
  <c r="AD46" i="11"/>
  <c r="Y36" i="11"/>
  <c r="AF82" i="8"/>
  <c r="AF86" i="8"/>
  <c r="AF78" i="8"/>
  <c r="AD27" i="11"/>
  <c r="AD14" i="11"/>
  <c r="AD43" i="11"/>
  <c r="AD45" i="11"/>
  <c r="AD44" i="11"/>
  <c r="AA36" i="11"/>
  <c r="Z41" i="11"/>
  <c r="G36" i="11"/>
  <c r="D39" i="11"/>
  <c r="W25" i="11"/>
  <c r="J39" i="11"/>
  <c r="X28" i="11"/>
  <c r="X41" i="11" s="1"/>
  <c r="S36" i="11"/>
  <c r="E48" i="11"/>
  <c r="K36" i="11"/>
  <c r="E44" i="11"/>
  <c r="T50" i="11"/>
  <c r="Y39" i="11"/>
  <c r="J40" i="11"/>
  <c r="O49" i="11"/>
  <c r="O48" i="11"/>
  <c r="T10" i="11"/>
  <c r="R35" i="11"/>
  <c r="R24" i="11"/>
  <c r="N36" i="11"/>
  <c r="E45" i="11"/>
  <c r="AA23" i="11"/>
  <c r="Y46" i="11"/>
  <c r="J50" i="11"/>
  <c r="E13" i="11"/>
  <c r="E26" i="11" s="1"/>
  <c r="O44" i="11"/>
  <c r="Y44" i="11"/>
  <c r="Y54" i="11"/>
  <c r="O43" i="11"/>
  <c r="J44" i="11"/>
  <c r="Y13" i="11"/>
  <c r="S23" i="11"/>
  <c r="Y43" i="11"/>
  <c r="Y14" i="11" s="1"/>
  <c r="J10" i="11"/>
  <c r="Z26" i="11"/>
  <c r="Y26" i="11" s="1"/>
  <c r="O40" i="11"/>
  <c r="J45" i="11"/>
  <c r="T45" i="11"/>
  <c r="T55" i="11"/>
  <c r="Y11" i="11"/>
  <c r="T13" i="11"/>
  <c r="T14" i="11"/>
  <c r="E15" i="11"/>
  <c r="Y45" i="11"/>
  <c r="J48" i="11"/>
  <c r="J49" i="11"/>
  <c r="T49" i="11"/>
  <c r="Q23" i="11"/>
  <c r="Y37" i="11"/>
  <c r="I23" i="11"/>
  <c r="H24" i="11"/>
  <c r="O45" i="11"/>
  <c r="F37" i="11"/>
  <c r="B47" i="11"/>
  <c r="AB23" i="11"/>
  <c r="AB36" i="11"/>
  <c r="L23" i="11"/>
  <c r="L36" i="11"/>
  <c r="O10" i="11"/>
  <c r="AA35" i="11"/>
  <c r="AA24" i="11"/>
  <c r="S35" i="11"/>
  <c r="S24" i="11"/>
  <c r="K35" i="11"/>
  <c r="K24" i="11"/>
  <c r="J11" i="11"/>
  <c r="G23" i="11"/>
  <c r="F39" i="11"/>
  <c r="F26" i="11"/>
  <c r="H23" i="11"/>
  <c r="R23" i="11"/>
  <c r="I24" i="11"/>
  <c r="AC24" i="11"/>
  <c r="D26" i="11"/>
  <c r="M23" i="11"/>
  <c r="M36" i="11"/>
  <c r="U23" i="11"/>
  <c r="U36" i="11"/>
  <c r="AC23" i="11"/>
  <c r="AC36" i="11"/>
  <c r="T11" i="11"/>
  <c r="AB35" i="11"/>
  <c r="V23" i="11"/>
  <c r="U24" i="11"/>
  <c r="K25" i="11"/>
  <c r="E23" i="11"/>
  <c r="E36" i="11"/>
  <c r="Y12" i="11"/>
  <c r="K23" i="11"/>
  <c r="W23" i="11"/>
  <c r="L24" i="11"/>
  <c r="X24" i="11"/>
  <c r="N35" i="11"/>
  <c r="N24" i="11"/>
  <c r="V35" i="11"/>
  <c r="V24" i="11"/>
  <c r="N23" i="11"/>
  <c r="X23" i="11"/>
  <c r="M24" i="11"/>
  <c r="T40" i="11"/>
  <c r="T44" i="11"/>
  <c r="G35" i="11"/>
  <c r="G24" i="11"/>
  <c r="O11" i="11"/>
  <c r="W35" i="11"/>
  <c r="W24" i="11"/>
  <c r="E24" i="11"/>
  <c r="P24" i="11"/>
  <c r="Z24" i="11"/>
  <c r="O50" i="11"/>
  <c r="Y10" i="11"/>
  <c r="P23" i="11"/>
  <c r="Z23" i="11"/>
  <c r="Q24" i="11"/>
  <c r="AD14" i="5"/>
  <c r="AD6" i="5"/>
  <c r="Y25" i="11" l="1"/>
  <c r="Y35" i="11"/>
  <c r="Y24" i="11"/>
  <c r="AF109" i="8"/>
  <c r="Y23" i="11"/>
  <c r="E39" i="11"/>
  <c r="E28" i="11"/>
  <c r="F47" i="11"/>
  <c r="J36" i="11"/>
  <c r="T23" i="11"/>
  <c r="T36" i="11"/>
  <c r="J23" i="11"/>
  <c r="T27" i="11"/>
  <c r="T26" i="11"/>
  <c r="O35" i="11"/>
  <c r="O24" i="11"/>
  <c r="T35" i="11"/>
  <c r="T24" i="11"/>
  <c r="J35" i="11"/>
  <c r="J24" i="11"/>
  <c r="O36" i="11"/>
  <c r="O23" i="11"/>
  <c r="E41" i="11" l="1"/>
  <c r="AD12" i="5"/>
  <c r="AD11" i="5"/>
  <c r="AD10" i="5"/>
  <c r="AD9" i="5"/>
  <c r="AD101" i="8" l="1"/>
  <c r="AD100" i="8"/>
  <c r="AD99" i="8"/>
  <c r="AI96" i="8" l="1"/>
  <c r="AI95" i="8"/>
  <c r="AI94" i="8"/>
  <c r="AI93" i="8"/>
  <c r="AI92" i="8"/>
  <c r="AI91" i="8"/>
  <c r="AI90" i="8"/>
  <c r="AI89" i="8"/>
  <c r="AI60" i="8"/>
  <c r="AI59" i="8"/>
  <c r="AI58" i="8"/>
  <c r="AI57" i="8"/>
  <c r="AI56" i="8"/>
  <c r="AI55" i="8"/>
  <c r="AI54" i="8"/>
  <c r="AI53" i="8"/>
  <c r="AI52" i="8"/>
  <c r="AI51" i="8"/>
  <c r="AI50" i="8"/>
  <c r="AI49" i="8"/>
  <c r="AI48" i="8"/>
  <c r="AI47" i="8"/>
  <c r="AI46" i="8"/>
  <c r="AI45" i="8"/>
  <c r="AI44" i="8"/>
  <c r="AI43" i="8"/>
  <c r="AI42" i="8"/>
  <c r="AD25" i="5" l="1"/>
  <c r="AE26" i="5" s="1"/>
  <c r="AD21" i="5"/>
  <c r="AE22" i="5" s="1"/>
  <c r="AD17" i="5"/>
  <c r="AE18" i="5" s="1"/>
  <c r="AD64" i="8" l="1"/>
  <c r="AD61" i="8"/>
  <c r="AD39" i="8"/>
  <c r="AD36" i="8"/>
  <c r="AD33" i="8"/>
  <c r="AD30" i="8"/>
  <c r="AD26" i="8"/>
  <c r="AD23" i="8"/>
  <c r="Y21" i="6"/>
  <c r="AD34" i="8" l="1"/>
  <c r="AD27" i="8"/>
  <c r="AD65" i="8"/>
  <c r="AD40" i="8"/>
  <c r="AD17" i="8"/>
  <c r="AD20" i="8"/>
  <c r="AD21" i="8" l="1"/>
  <c r="AD67" i="8"/>
  <c r="AD86" i="8" l="1"/>
  <c r="AD82" i="8"/>
  <c r="AD78" i="8"/>
  <c r="AD109" i="8" l="1"/>
  <c r="AC54" i="10"/>
  <c r="AC53" i="10"/>
  <c r="D54" i="10" l="1"/>
  <c r="D53" i="10"/>
  <c r="C54" i="10"/>
  <c r="C53" i="10"/>
  <c r="B54" i="10"/>
  <c r="B53" i="10"/>
  <c r="AA43" i="10"/>
  <c r="Z43" i="10"/>
  <c r="U43" i="10"/>
  <c r="P43" i="10"/>
  <c r="K43" i="10"/>
  <c r="E43" i="10"/>
  <c r="AA42" i="10"/>
  <c r="Z42" i="10"/>
  <c r="U42" i="10"/>
  <c r="P42" i="10"/>
  <c r="K42" i="10"/>
  <c r="E42" i="10"/>
  <c r="Y38" i="10"/>
  <c r="U38" i="10"/>
  <c r="U54" i="11" s="1"/>
  <c r="AA37" i="10"/>
  <c r="Z37" i="10"/>
  <c r="U37" i="10"/>
  <c r="P37" i="10"/>
  <c r="K37" i="10"/>
  <c r="E37" i="10"/>
  <c r="AA36" i="10"/>
  <c r="Z36" i="10"/>
  <c r="U36" i="10"/>
  <c r="P36" i="10"/>
  <c r="K36" i="10"/>
  <c r="E36" i="10"/>
  <c r="F29" i="10"/>
  <c r="D29" i="10"/>
  <c r="B29" i="10"/>
  <c r="F27" i="10"/>
  <c r="X15" i="11"/>
  <c r="W15" i="11"/>
  <c r="W28" i="11" s="1"/>
  <c r="W41" i="11" s="1"/>
  <c r="V15" i="11"/>
  <c r="U26" i="10"/>
  <c r="U15" i="11" s="1"/>
  <c r="S15" i="11"/>
  <c r="S28" i="11" s="1"/>
  <c r="R15" i="11"/>
  <c r="R28" i="11" s="1"/>
  <c r="Q15" i="11"/>
  <c r="Q28" i="11" s="1"/>
  <c r="Q41" i="11" s="1"/>
  <c r="Q51" i="11" s="1"/>
  <c r="P26" i="10"/>
  <c r="P15" i="11" s="1"/>
  <c r="N15" i="11"/>
  <c r="N28" i="11" s="1"/>
  <c r="N41" i="11" s="1"/>
  <c r="N51" i="11" s="1"/>
  <c r="M15" i="11"/>
  <c r="M28" i="11" s="1"/>
  <c r="M41" i="11" s="1"/>
  <c r="M51" i="11" s="1"/>
  <c r="L15" i="11"/>
  <c r="L28" i="11" s="1"/>
  <c r="L41" i="11" s="1"/>
  <c r="L51" i="11" s="1"/>
  <c r="K26" i="10"/>
  <c r="K15" i="11" s="1"/>
  <c r="I15" i="11"/>
  <c r="I28" i="11" s="1"/>
  <c r="I41" i="11" s="1"/>
  <c r="H15" i="11"/>
  <c r="H28" i="11" s="1"/>
  <c r="H41" i="11" s="1"/>
  <c r="E26" i="10"/>
  <c r="F24" i="10"/>
  <c r="D24" i="10"/>
  <c r="C24" i="10"/>
  <c r="B24" i="10"/>
  <c r="AA23" i="10"/>
  <c r="AA22" i="11" s="1"/>
  <c r="Z23" i="10"/>
  <c r="Z22" i="11" s="1"/>
  <c r="X22" i="11"/>
  <c r="W22" i="11"/>
  <c r="V22" i="11"/>
  <c r="U23" i="10"/>
  <c r="U22" i="11" s="1"/>
  <c r="S22" i="11"/>
  <c r="R22" i="11"/>
  <c r="Q22" i="11"/>
  <c r="P23" i="10"/>
  <c r="P22" i="11" s="1"/>
  <c r="N22" i="11"/>
  <c r="M22" i="11"/>
  <c r="L22" i="11"/>
  <c r="K23" i="10"/>
  <c r="K22" i="11" s="1"/>
  <c r="I22" i="11"/>
  <c r="H22" i="11"/>
  <c r="E23" i="10"/>
  <c r="E22" i="11" s="1"/>
  <c r="F21" i="10"/>
  <c r="D21" i="10"/>
  <c r="C21" i="10"/>
  <c r="B21" i="10"/>
  <c r="AA20" i="10"/>
  <c r="Z20" i="10"/>
  <c r="U20" i="10"/>
  <c r="P20" i="10"/>
  <c r="K20" i="10"/>
  <c r="E20" i="10"/>
  <c r="F18" i="10"/>
  <c r="D18" i="10"/>
  <c r="B18" i="10"/>
  <c r="AA17" i="10"/>
  <c r="Z17" i="10"/>
  <c r="U17" i="10"/>
  <c r="P17" i="10"/>
  <c r="K17" i="10"/>
  <c r="C17" i="10"/>
  <c r="C29" i="10" s="1"/>
  <c r="F13" i="10"/>
  <c r="D13" i="10"/>
  <c r="C13" i="10"/>
  <c r="C14" i="10" s="1"/>
  <c r="B13" i="10"/>
  <c r="AA12" i="10"/>
  <c r="Z12" i="10"/>
  <c r="U12" i="10"/>
  <c r="P12" i="10"/>
  <c r="K12" i="10"/>
  <c r="E12" i="10"/>
  <c r="D9" i="10"/>
  <c r="C9" i="10"/>
  <c r="AA8" i="10"/>
  <c r="Z8" i="10"/>
  <c r="U8" i="10"/>
  <c r="P8" i="10"/>
  <c r="K8" i="10"/>
  <c r="K10" i="10" s="1"/>
  <c r="H10" i="10"/>
  <c r="E8" i="10"/>
  <c r="E9" i="10" s="1"/>
  <c r="X38" i="6"/>
  <c r="X39" i="6"/>
  <c r="Y22" i="11" l="1"/>
  <c r="Z27" i="10"/>
  <c r="G22" i="11"/>
  <c r="G15" i="11"/>
  <c r="S54" i="11"/>
  <c r="B31" i="10"/>
  <c r="B9" i="11" s="1"/>
  <c r="B14" i="10"/>
  <c r="D31" i="10"/>
  <c r="D9" i="11" s="1"/>
  <c r="D21" i="11" s="1"/>
  <c r="D29" i="11" s="1"/>
  <c r="E21" i="10"/>
  <c r="C31" i="10"/>
  <c r="C9" i="11" s="1"/>
  <c r="C21" i="11" s="1"/>
  <c r="C29" i="11" s="1"/>
  <c r="Y15" i="11"/>
  <c r="V28" i="11"/>
  <c r="D14" i="10"/>
  <c r="K28" i="11"/>
  <c r="U28" i="11"/>
  <c r="U41" i="11" s="1"/>
  <c r="U51" i="11" s="1"/>
  <c r="T15" i="11"/>
  <c r="T28" i="11" s="1"/>
  <c r="P28" i="11"/>
  <c r="P41" i="11" s="1"/>
  <c r="P51" i="11" s="1"/>
  <c r="O15" i="11"/>
  <c r="O28" i="11" s="1"/>
  <c r="O41" i="11" s="1"/>
  <c r="O51" i="11" s="1"/>
  <c r="E13" i="10"/>
  <c r="E14" i="10" s="1"/>
  <c r="F31" i="10"/>
  <c r="M27" i="10"/>
  <c r="W27" i="10"/>
  <c r="U27" i="10"/>
  <c r="M29" i="10"/>
  <c r="R24" i="10"/>
  <c r="S27" i="10"/>
  <c r="Z21" i="10"/>
  <c r="AA21" i="10"/>
  <c r="Y42" i="10"/>
  <c r="X18" i="10"/>
  <c r="G29" i="10"/>
  <c r="Q29" i="10"/>
  <c r="V21" i="10"/>
  <c r="N21" i="10"/>
  <c r="U29" i="10"/>
  <c r="V13" i="10"/>
  <c r="V14" i="10" s="1"/>
  <c r="S29" i="10"/>
  <c r="T37" i="10"/>
  <c r="U13" i="10"/>
  <c r="U14" i="10" s="1"/>
  <c r="R29" i="10"/>
  <c r="Z10" i="10"/>
  <c r="U18" i="10"/>
  <c r="G27" i="10"/>
  <c r="AA24" i="10"/>
  <c r="T12" i="10"/>
  <c r="Y20" i="10"/>
  <c r="U21" i="10"/>
  <c r="T43" i="10"/>
  <c r="I24" i="10"/>
  <c r="O8" i="10"/>
  <c r="Q9" i="10" s="1"/>
  <c r="X10" i="10"/>
  <c r="T42" i="10"/>
  <c r="N18" i="10"/>
  <c r="Q21" i="10"/>
  <c r="R21" i="10"/>
  <c r="Y26" i="10"/>
  <c r="Y36" i="10"/>
  <c r="Y43" i="10"/>
  <c r="T36" i="10"/>
  <c r="AA10" i="10"/>
  <c r="Y12" i="10"/>
  <c r="S9" i="10"/>
  <c r="N13" i="10"/>
  <c r="N14" i="10" s="1"/>
  <c r="N27" i="10"/>
  <c r="Q10" i="10"/>
  <c r="L29" i="10"/>
  <c r="O42" i="10"/>
  <c r="L27" i="10"/>
  <c r="S10" i="10"/>
  <c r="O36" i="10"/>
  <c r="N9" i="10"/>
  <c r="M18" i="10"/>
  <c r="P10" i="10"/>
  <c r="R10" i="10"/>
  <c r="O12" i="10"/>
  <c r="K24" i="10"/>
  <c r="L18" i="10"/>
  <c r="O17" i="10"/>
  <c r="J26" i="10"/>
  <c r="I18" i="10"/>
  <c r="J12" i="10"/>
  <c r="I21" i="10"/>
  <c r="H24" i="10"/>
  <c r="J36" i="10"/>
  <c r="J43" i="10"/>
  <c r="J20" i="10"/>
  <c r="G18" i="10"/>
  <c r="J42" i="10"/>
  <c r="J17" i="10"/>
  <c r="O20" i="10"/>
  <c r="P21" i="10"/>
  <c r="X29" i="10"/>
  <c r="H21" i="10"/>
  <c r="P13" i="10"/>
  <c r="Q24" i="10"/>
  <c r="C34" i="10"/>
  <c r="J8" i="10"/>
  <c r="H9" i="10"/>
  <c r="R9" i="10"/>
  <c r="M10" i="10"/>
  <c r="U10" i="10"/>
  <c r="I13" i="10"/>
  <c r="Q13" i="10"/>
  <c r="K29" i="10"/>
  <c r="AA29" i="10"/>
  <c r="S21" i="10"/>
  <c r="W21" i="10"/>
  <c r="L24" i="10"/>
  <c r="T23" i="10"/>
  <c r="T22" i="11" s="1"/>
  <c r="U24" i="10"/>
  <c r="I27" i="10"/>
  <c r="R27" i="10"/>
  <c r="E27" i="10"/>
  <c r="AA27" i="10"/>
  <c r="I29" i="10"/>
  <c r="O43" i="10"/>
  <c r="Y17" i="10"/>
  <c r="Z29" i="10"/>
  <c r="Q27" i="10"/>
  <c r="H29" i="10"/>
  <c r="R13" i="10"/>
  <c r="Z13" i="10"/>
  <c r="F14" i="10"/>
  <c r="T17" i="10"/>
  <c r="H18" i="10"/>
  <c r="P18" i="10"/>
  <c r="Z18" i="10"/>
  <c r="K21" i="10"/>
  <c r="T20" i="10"/>
  <c r="L21" i="10"/>
  <c r="M24" i="10"/>
  <c r="V24" i="10"/>
  <c r="Y23" i="10"/>
  <c r="S24" i="10"/>
  <c r="X9" i="10"/>
  <c r="W13" i="10"/>
  <c r="H13" i="10"/>
  <c r="X13" i="10"/>
  <c r="H27" i="10"/>
  <c r="V10" i="10"/>
  <c r="T8" i="10"/>
  <c r="V9" i="10" s="1"/>
  <c r="G10" i="10"/>
  <c r="W10" i="10"/>
  <c r="K13" i="10"/>
  <c r="AA13" i="10"/>
  <c r="Q18" i="10"/>
  <c r="AA18" i="10"/>
  <c r="M21" i="10"/>
  <c r="N24" i="10"/>
  <c r="W24" i="10"/>
  <c r="K27" i="10"/>
  <c r="P29" i="10"/>
  <c r="O37" i="10"/>
  <c r="C40" i="10"/>
  <c r="C45" i="10" s="1"/>
  <c r="C34" i="11" s="1"/>
  <c r="C56" i="11" s="1"/>
  <c r="Y8" i="10"/>
  <c r="L10" i="10"/>
  <c r="G21" i="10"/>
  <c r="I9" i="10"/>
  <c r="S13" i="10"/>
  <c r="L13" i="10"/>
  <c r="E17" i="10"/>
  <c r="N29" i="10"/>
  <c r="V29" i="10"/>
  <c r="V18" i="10"/>
  <c r="R18" i="10"/>
  <c r="E24" i="10"/>
  <c r="O23" i="10"/>
  <c r="O22" i="11" s="1"/>
  <c r="X24" i="10"/>
  <c r="Z24" i="10"/>
  <c r="Y37" i="10"/>
  <c r="G13" i="10"/>
  <c r="G9" i="10"/>
  <c r="N10" i="10"/>
  <c r="M9" i="10"/>
  <c r="W9" i="10"/>
  <c r="I10" i="10"/>
  <c r="M13" i="10"/>
  <c r="W18" i="10"/>
  <c r="C18" i="10"/>
  <c r="K18" i="10"/>
  <c r="S18" i="10"/>
  <c r="X21" i="10"/>
  <c r="G24" i="10"/>
  <c r="J23" i="10"/>
  <c r="J22" i="11" s="1"/>
  <c r="W29" i="10"/>
  <c r="T26" i="10"/>
  <c r="V27" i="10"/>
  <c r="T38" i="10"/>
  <c r="P27" i="10"/>
  <c r="X27" i="10"/>
  <c r="O26" i="10"/>
  <c r="J37" i="10"/>
  <c r="P24" i="10"/>
  <c r="AB21" i="5"/>
  <c r="D34" i="10" l="1"/>
  <c r="D40" i="10"/>
  <c r="D45" i="10" s="1"/>
  <c r="D34" i="11" s="1"/>
  <c r="D56" i="11" s="1"/>
  <c r="D57" i="11" s="1"/>
  <c r="D32" i="10"/>
  <c r="J15" i="11"/>
  <c r="J28" i="11" s="1"/>
  <c r="J41" i="11" s="1"/>
  <c r="AG23" i="5"/>
  <c r="G28" i="11"/>
  <c r="B40" i="10"/>
  <c r="B45" i="10" s="1"/>
  <c r="B34" i="11" s="1"/>
  <c r="B56" i="11" s="1"/>
  <c r="C32" i="10"/>
  <c r="D16" i="11"/>
  <c r="O9" i="10"/>
  <c r="V41" i="11"/>
  <c r="Y41" i="11" s="1"/>
  <c r="Y28" i="11"/>
  <c r="T54" i="11"/>
  <c r="C16" i="11"/>
  <c r="C17" i="11" s="1"/>
  <c r="B50" i="10"/>
  <c r="F34" i="10"/>
  <c r="F9" i="11"/>
  <c r="B21" i="11"/>
  <c r="B16" i="11"/>
  <c r="B17" i="11" s="1"/>
  <c r="O13" i="10"/>
  <c r="O14" i="10" s="1"/>
  <c r="T41" i="11"/>
  <c r="C30" i="11"/>
  <c r="K41" i="11"/>
  <c r="C59" i="11"/>
  <c r="C57" i="11"/>
  <c r="D30" i="11"/>
  <c r="D31" i="11"/>
  <c r="F40" i="10"/>
  <c r="F45" i="10" s="1"/>
  <c r="F34" i="11" s="1"/>
  <c r="F56" i="11" s="1"/>
  <c r="U31" i="10"/>
  <c r="O18" i="10"/>
  <c r="Y21" i="10"/>
  <c r="N31" i="10"/>
  <c r="N9" i="11" s="1"/>
  <c r="V31" i="10"/>
  <c r="V9" i="11" s="1"/>
  <c r="O21" i="10"/>
  <c r="Y27" i="10"/>
  <c r="T21" i="10"/>
  <c r="J29" i="10"/>
  <c r="J21" i="10"/>
  <c r="L9" i="10"/>
  <c r="J27" i="10"/>
  <c r="Q31" i="10"/>
  <c r="Q9" i="11" s="1"/>
  <c r="Q14" i="10"/>
  <c r="E29" i="10"/>
  <c r="E31" i="10" s="1"/>
  <c r="E9" i="11" s="1"/>
  <c r="E18" i="10"/>
  <c r="T29" i="10"/>
  <c r="T18" i="10"/>
  <c r="Y29" i="10"/>
  <c r="Y18" i="10"/>
  <c r="T24" i="10"/>
  <c r="I31" i="10"/>
  <c r="I9" i="11" s="1"/>
  <c r="I14" i="10"/>
  <c r="L31" i="10"/>
  <c r="L9" i="11" s="1"/>
  <c r="L14" i="10"/>
  <c r="AA14" i="10"/>
  <c r="AA31" i="10"/>
  <c r="H31" i="10"/>
  <c r="H9" i="11" s="1"/>
  <c r="H14" i="10"/>
  <c r="Y24" i="10"/>
  <c r="Z31" i="10"/>
  <c r="Z14" i="10"/>
  <c r="O29" i="10"/>
  <c r="J18" i="10"/>
  <c r="O24" i="10"/>
  <c r="X31" i="10"/>
  <c r="X9" i="11" s="1"/>
  <c r="X14" i="10"/>
  <c r="Y10" i="10"/>
  <c r="AA9" i="10"/>
  <c r="Y9" i="10"/>
  <c r="Y13" i="10"/>
  <c r="C51" i="10"/>
  <c r="C50" i="10"/>
  <c r="C46" i="10"/>
  <c r="K31" i="10"/>
  <c r="K9" i="11" s="1"/>
  <c r="K14" i="10"/>
  <c r="R31" i="10"/>
  <c r="R9" i="11" s="1"/>
  <c r="R14" i="10"/>
  <c r="T27" i="10"/>
  <c r="S31" i="10"/>
  <c r="S9" i="11" s="1"/>
  <c r="S14" i="10"/>
  <c r="G31" i="10"/>
  <c r="G14" i="10"/>
  <c r="D46" i="10"/>
  <c r="O27" i="10"/>
  <c r="J24" i="10"/>
  <c r="M31" i="10"/>
  <c r="M9" i="11" s="1"/>
  <c r="M14" i="10"/>
  <c r="T10" i="10"/>
  <c r="T13" i="10"/>
  <c r="T9" i="10"/>
  <c r="W31" i="10"/>
  <c r="W9" i="11" s="1"/>
  <c r="W14" i="10"/>
  <c r="J9" i="10"/>
  <c r="J10" i="10"/>
  <c r="J13" i="10"/>
  <c r="P31" i="10"/>
  <c r="P9" i="11" s="1"/>
  <c r="P14" i="10"/>
  <c r="O10" i="10"/>
  <c r="AC14" i="5"/>
  <c r="AC6" i="5"/>
  <c r="D47" i="10" l="1"/>
  <c r="D51" i="10"/>
  <c r="D50" i="10"/>
  <c r="D59" i="11"/>
  <c r="B46" i="10"/>
  <c r="C47" i="10"/>
  <c r="B51" i="10"/>
  <c r="D17" i="11"/>
  <c r="G41" i="11"/>
  <c r="AA9" i="11"/>
  <c r="AA16" i="11" s="1"/>
  <c r="D18" i="11"/>
  <c r="Z9" i="11"/>
  <c r="Z16" i="11" s="1"/>
  <c r="O31" i="10"/>
  <c r="O9" i="11" s="1"/>
  <c r="O16" i="11" s="1"/>
  <c r="G9" i="11"/>
  <c r="C18" i="11"/>
  <c r="E21" i="11"/>
  <c r="E29" i="11" s="1"/>
  <c r="E16" i="11"/>
  <c r="I16" i="11"/>
  <c r="I21" i="11"/>
  <c r="I29" i="11" s="1"/>
  <c r="F51" i="10"/>
  <c r="Q21" i="11"/>
  <c r="Q29" i="11" s="1"/>
  <c r="Q16" i="11"/>
  <c r="V21" i="11"/>
  <c r="V29" i="11" s="1"/>
  <c r="V16" i="11"/>
  <c r="T51" i="11"/>
  <c r="F21" i="11"/>
  <c r="F29" i="11" s="1"/>
  <c r="F30" i="11" s="1"/>
  <c r="F16" i="11"/>
  <c r="F17" i="11" s="1"/>
  <c r="K21" i="11"/>
  <c r="K16" i="11"/>
  <c r="X21" i="11"/>
  <c r="X29" i="11" s="1"/>
  <c r="X16" i="11"/>
  <c r="H21" i="11"/>
  <c r="H29" i="11" s="1"/>
  <c r="H16" i="11"/>
  <c r="N21" i="11"/>
  <c r="N29" i="11" s="1"/>
  <c r="N16" i="11"/>
  <c r="B59" i="11"/>
  <c r="B57" i="11"/>
  <c r="F57" i="11"/>
  <c r="F59" i="11"/>
  <c r="F50" i="10"/>
  <c r="B29" i="11"/>
  <c r="P21" i="11"/>
  <c r="P29" i="11" s="1"/>
  <c r="P16" i="11"/>
  <c r="S21" i="11"/>
  <c r="S29" i="11" s="1"/>
  <c r="S16" i="11"/>
  <c r="U40" i="10"/>
  <c r="U45" i="10" s="1"/>
  <c r="U34" i="11" s="1"/>
  <c r="U56" i="11" s="1"/>
  <c r="U9" i="11"/>
  <c r="W16" i="11"/>
  <c r="W21" i="11"/>
  <c r="W29" i="11" s="1"/>
  <c r="F46" i="10"/>
  <c r="M16" i="11"/>
  <c r="M21" i="11"/>
  <c r="M29" i="11" s="1"/>
  <c r="R16" i="11"/>
  <c r="R21" i="11"/>
  <c r="R29" i="11" s="1"/>
  <c r="L16" i="11"/>
  <c r="L21" i="11"/>
  <c r="L29" i="11" s="1"/>
  <c r="U34" i="10"/>
  <c r="V34" i="10"/>
  <c r="V33" i="10"/>
  <c r="N32" i="10"/>
  <c r="N40" i="10"/>
  <c r="N45" i="10" s="1"/>
  <c r="N34" i="11" s="1"/>
  <c r="N56" i="11" s="1"/>
  <c r="N34" i="10"/>
  <c r="V40" i="10"/>
  <c r="V45" i="10" s="1"/>
  <c r="V34" i="11" s="1"/>
  <c r="V56" i="11" s="1"/>
  <c r="T31" i="10"/>
  <c r="T9" i="11" s="1"/>
  <c r="T14" i="10"/>
  <c r="L33" i="10"/>
  <c r="L34" i="10"/>
  <c r="L40" i="10"/>
  <c r="L45" i="10" s="1"/>
  <c r="L34" i="11" s="1"/>
  <c r="L56" i="11" s="1"/>
  <c r="I40" i="10"/>
  <c r="I45" i="10" s="1"/>
  <c r="I34" i="11" s="1"/>
  <c r="I56" i="11" s="1"/>
  <c r="I34" i="10"/>
  <c r="I33" i="10"/>
  <c r="I32" i="10"/>
  <c r="R40" i="10"/>
  <c r="R45" i="10" s="1"/>
  <c r="R34" i="11" s="1"/>
  <c r="R56" i="11" s="1"/>
  <c r="R32" i="10"/>
  <c r="R34" i="10"/>
  <c r="R33" i="10"/>
  <c r="Q40" i="10"/>
  <c r="Q45" i="10" s="1"/>
  <c r="Q34" i="11" s="1"/>
  <c r="Q56" i="11" s="1"/>
  <c r="Q34" i="10"/>
  <c r="Q33" i="10"/>
  <c r="S34" i="10"/>
  <c r="S33" i="10"/>
  <c r="S40" i="10"/>
  <c r="S45" i="10" s="1"/>
  <c r="S34" i="11" s="1"/>
  <c r="S56" i="11" s="1"/>
  <c r="S32" i="10"/>
  <c r="Y31" i="10"/>
  <c r="Y9" i="11" s="1"/>
  <c r="Y14" i="10"/>
  <c r="X40" i="10"/>
  <c r="X45" i="10" s="1"/>
  <c r="X34" i="11" s="1"/>
  <c r="X56" i="11" s="1"/>
  <c r="X34" i="10"/>
  <c r="X32" i="10"/>
  <c r="X33" i="10"/>
  <c r="H32" i="10"/>
  <c r="H40" i="10"/>
  <c r="H45" i="10" s="1"/>
  <c r="H34" i="11" s="1"/>
  <c r="H56" i="11" s="1"/>
  <c r="H34" i="10"/>
  <c r="H33" i="10"/>
  <c r="E32" i="10"/>
  <c r="E40" i="10"/>
  <c r="E45" i="10" s="1"/>
  <c r="E34" i="11" s="1"/>
  <c r="E34" i="10"/>
  <c r="P40" i="10"/>
  <c r="P45" i="10" s="1"/>
  <c r="P34" i="10"/>
  <c r="P33" i="10"/>
  <c r="U33" i="10"/>
  <c r="K34" i="10"/>
  <c r="K33" i="10"/>
  <c r="K40" i="10"/>
  <c r="K45" i="10" s="1"/>
  <c r="K34" i="11" s="1"/>
  <c r="AA34" i="10"/>
  <c r="AA33" i="10"/>
  <c r="AA40" i="10"/>
  <c r="AA45" i="10" s="1"/>
  <c r="Z40" i="10"/>
  <c r="Z45" i="10" s="1"/>
  <c r="Z34" i="10"/>
  <c r="Z33" i="10"/>
  <c r="J31" i="10"/>
  <c r="J14" i="10"/>
  <c r="W40" i="10"/>
  <c r="W45" i="10" s="1"/>
  <c r="W34" i="11" s="1"/>
  <c r="W56" i="11" s="1"/>
  <c r="W34" i="10"/>
  <c r="W32" i="10"/>
  <c r="W33" i="10"/>
  <c r="M33" i="10"/>
  <c r="M32" i="10"/>
  <c r="M40" i="10"/>
  <c r="M45" i="10" s="1"/>
  <c r="M34" i="11" s="1"/>
  <c r="M56" i="11" s="1"/>
  <c r="M34" i="10"/>
  <c r="G32" i="10"/>
  <c r="G40" i="10"/>
  <c r="G34" i="10"/>
  <c r="G33" i="10"/>
  <c r="N33" i="10"/>
  <c r="AB14" i="5"/>
  <c r="AB6" i="5"/>
  <c r="AA21" i="11" l="1"/>
  <c r="AA29" i="11" s="1"/>
  <c r="G51" i="11"/>
  <c r="O40" i="10"/>
  <c r="O45" i="10" s="1"/>
  <c r="O34" i="11" s="1"/>
  <c r="O56" i="11" s="1"/>
  <c r="O59" i="11" s="1"/>
  <c r="O34" i="10"/>
  <c r="Q32" i="10"/>
  <c r="AA34" i="11"/>
  <c r="AA56" i="11" s="1"/>
  <c r="O32" i="10"/>
  <c r="U51" i="10"/>
  <c r="Z21" i="11"/>
  <c r="Z29" i="11" s="1"/>
  <c r="Z30" i="11" s="1"/>
  <c r="V51" i="10"/>
  <c r="O21" i="11"/>
  <c r="O29" i="11" s="1"/>
  <c r="O31" i="11" s="1"/>
  <c r="Z34" i="11"/>
  <c r="Z56" i="11" s="1"/>
  <c r="Z59" i="11" s="1"/>
  <c r="G16" i="11"/>
  <c r="J51" i="11"/>
  <c r="G45" i="10"/>
  <c r="G21" i="11"/>
  <c r="U46" i="10"/>
  <c r="U50" i="10"/>
  <c r="X57" i="11"/>
  <c r="X59" i="11"/>
  <c r="M17" i="11"/>
  <c r="M19" i="11"/>
  <c r="M18" i="11"/>
  <c r="AA17" i="11"/>
  <c r="AA19" i="11"/>
  <c r="N17" i="11"/>
  <c r="N18" i="11"/>
  <c r="N19" i="11"/>
  <c r="K29" i="11"/>
  <c r="P32" i="11" s="1"/>
  <c r="Q30" i="11"/>
  <c r="Q32" i="11"/>
  <c r="U48" i="10"/>
  <c r="P34" i="11"/>
  <c r="P56" i="11" s="1"/>
  <c r="R59" i="11"/>
  <c r="R57" i="11"/>
  <c r="O17" i="11"/>
  <c r="O18" i="11"/>
  <c r="AA30" i="11"/>
  <c r="AA32" i="11"/>
  <c r="N30" i="11"/>
  <c r="N31" i="11"/>
  <c r="N32" i="11"/>
  <c r="T21" i="11"/>
  <c r="T29" i="11" s="1"/>
  <c r="V31" i="11" s="1"/>
  <c r="T16" i="11"/>
  <c r="H57" i="11"/>
  <c r="H59" i="11"/>
  <c r="V57" i="11"/>
  <c r="V59" i="11"/>
  <c r="L30" i="11"/>
  <c r="W17" i="11"/>
  <c r="W19" i="11"/>
  <c r="W18" i="11"/>
  <c r="S31" i="11"/>
  <c r="S32" i="11"/>
  <c r="S30" i="11"/>
  <c r="H30" i="11"/>
  <c r="H32" i="11"/>
  <c r="W57" i="11"/>
  <c r="W59" i="11"/>
  <c r="W30" i="11"/>
  <c r="W32" i="11"/>
  <c r="W31" i="11"/>
  <c r="H17" i="11"/>
  <c r="H19" i="11"/>
  <c r="K56" i="11"/>
  <c r="M57" i="11"/>
  <c r="M59" i="11"/>
  <c r="L32" i="10"/>
  <c r="J9" i="11"/>
  <c r="S57" i="11"/>
  <c r="S59" i="11"/>
  <c r="L17" i="11"/>
  <c r="Z17" i="11"/>
  <c r="P17" i="11"/>
  <c r="P19" i="11"/>
  <c r="X17" i="11"/>
  <c r="X18" i="11"/>
  <c r="X19" i="11"/>
  <c r="I30" i="11"/>
  <c r="I31" i="11"/>
  <c r="I32" i="11"/>
  <c r="Y21" i="11"/>
  <c r="Y29" i="11" s="1"/>
  <c r="Y16" i="11"/>
  <c r="AA18" i="11" s="1"/>
  <c r="I57" i="11"/>
  <c r="I59" i="11"/>
  <c r="N59" i="11"/>
  <c r="N57" i="11"/>
  <c r="R30" i="11"/>
  <c r="R32" i="11"/>
  <c r="R31" i="11"/>
  <c r="P30" i="11"/>
  <c r="X30" i="11"/>
  <c r="X31" i="11"/>
  <c r="X32" i="11"/>
  <c r="V17" i="11"/>
  <c r="V19" i="11"/>
  <c r="I17" i="11"/>
  <c r="I19" i="11"/>
  <c r="I18" i="11"/>
  <c r="Q59" i="11"/>
  <c r="Q57" i="11"/>
  <c r="S19" i="11"/>
  <c r="S18" i="11"/>
  <c r="S17" i="11"/>
  <c r="E56" i="11"/>
  <c r="L59" i="11"/>
  <c r="L57" i="11"/>
  <c r="R17" i="11"/>
  <c r="R18" i="11"/>
  <c r="R19" i="11"/>
  <c r="U21" i="11"/>
  <c r="U29" i="11" s="1"/>
  <c r="U16" i="11"/>
  <c r="Z19" i="11" s="1"/>
  <c r="K17" i="11"/>
  <c r="K19" i="11"/>
  <c r="V32" i="11"/>
  <c r="V30" i="11"/>
  <c r="E17" i="11"/>
  <c r="E18" i="11"/>
  <c r="M30" i="11"/>
  <c r="M32" i="11"/>
  <c r="M31" i="11"/>
  <c r="U57" i="11"/>
  <c r="U59" i="11"/>
  <c r="B30" i="11"/>
  <c r="C31" i="11"/>
  <c r="Q17" i="11"/>
  <c r="Q19" i="11"/>
  <c r="Q18" i="11"/>
  <c r="E30" i="11"/>
  <c r="E31" i="11"/>
  <c r="V46" i="10"/>
  <c r="V50" i="10"/>
  <c r="N48" i="10"/>
  <c r="N51" i="10"/>
  <c r="N46" i="10"/>
  <c r="N50" i="10"/>
  <c r="O33" i="10"/>
  <c r="E51" i="10"/>
  <c r="E47" i="10"/>
  <c r="E50" i="10"/>
  <c r="E46" i="10"/>
  <c r="Z46" i="10"/>
  <c r="Z51" i="10"/>
  <c r="Z48" i="10"/>
  <c r="Z50" i="10"/>
  <c r="Y40" i="10"/>
  <c r="Y45" i="10" s="1"/>
  <c r="Y34" i="10"/>
  <c r="Y32" i="10"/>
  <c r="Y33" i="10"/>
  <c r="Q50" i="10"/>
  <c r="Q47" i="10"/>
  <c r="Q46" i="10"/>
  <c r="Q51" i="10"/>
  <c r="Q48" i="10"/>
  <c r="L51" i="10"/>
  <c r="L50" i="10"/>
  <c r="L46" i="10"/>
  <c r="T33" i="10"/>
  <c r="T40" i="10"/>
  <c r="T45" i="10" s="1"/>
  <c r="T34" i="11" s="1"/>
  <c r="T56" i="11" s="1"/>
  <c r="T34" i="10"/>
  <c r="T32" i="10"/>
  <c r="V32" i="10"/>
  <c r="W50" i="10"/>
  <c r="W46" i="10"/>
  <c r="W47" i="10"/>
  <c r="W48" i="10"/>
  <c r="W51" i="10"/>
  <c r="M51" i="10"/>
  <c r="M48" i="10"/>
  <c r="M50" i="10"/>
  <c r="M47" i="10"/>
  <c r="M46" i="10"/>
  <c r="K51" i="10"/>
  <c r="K48" i="10"/>
  <c r="K46" i="10"/>
  <c r="K50" i="10"/>
  <c r="X50" i="10"/>
  <c r="X46" i="10"/>
  <c r="X47" i="10"/>
  <c r="X48" i="10"/>
  <c r="X51" i="10"/>
  <c r="N47" i="10"/>
  <c r="P50" i="10"/>
  <c r="P46" i="10"/>
  <c r="P51" i="10"/>
  <c r="P48" i="10"/>
  <c r="R47" i="10"/>
  <c r="R46" i="10"/>
  <c r="R51" i="10"/>
  <c r="R48" i="10"/>
  <c r="R50" i="10"/>
  <c r="AA51" i="10"/>
  <c r="AA48" i="10"/>
  <c r="AA46" i="10"/>
  <c r="AA50" i="10"/>
  <c r="AA32" i="10"/>
  <c r="I50" i="10"/>
  <c r="I46" i="10"/>
  <c r="I51" i="10"/>
  <c r="I48" i="10"/>
  <c r="I47" i="10"/>
  <c r="S51" i="10"/>
  <c r="S48" i="10"/>
  <c r="S50" i="10"/>
  <c r="S46" i="10"/>
  <c r="S47" i="10"/>
  <c r="J40" i="10"/>
  <c r="J45" i="10" s="1"/>
  <c r="J34" i="10"/>
  <c r="J33" i="10"/>
  <c r="J32" i="10"/>
  <c r="V48" i="10"/>
  <c r="H50" i="10"/>
  <c r="H46" i="10"/>
  <c r="H51" i="10"/>
  <c r="H48" i="10"/>
  <c r="O51" i="10" l="1"/>
  <c r="O57" i="11"/>
  <c r="O47" i="10"/>
  <c r="O46" i="10"/>
  <c r="O50" i="10"/>
  <c r="G46" i="10"/>
  <c r="G18" i="11"/>
  <c r="H18" i="11"/>
  <c r="Q31" i="11"/>
  <c r="O30" i="11"/>
  <c r="G17" i="11"/>
  <c r="G19" i="11"/>
  <c r="Z57" i="11"/>
  <c r="G50" i="10"/>
  <c r="L19" i="11"/>
  <c r="G47" i="10"/>
  <c r="H47" i="10"/>
  <c r="G51" i="10"/>
  <c r="G48" i="10"/>
  <c r="L48" i="10"/>
  <c r="AA31" i="11"/>
  <c r="G29" i="11"/>
  <c r="G34" i="11"/>
  <c r="AA59" i="11"/>
  <c r="AA57" i="11"/>
  <c r="T30" i="11"/>
  <c r="T31" i="11"/>
  <c r="T32" i="11"/>
  <c r="U17" i="11"/>
  <c r="U19" i="11"/>
  <c r="E57" i="11"/>
  <c r="E59" i="11"/>
  <c r="K59" i="11"/>
  <c r="K57" i="11"/>
  <c r="T17" i="11"/>
  <c r="T18" i="11"/>
  <c r="T19" i="11"/>
  <c r="U30" i="11"/>
  <c r="U32" i="11"/>
  <c r="Z32" i="11"/>
  <c r="T57" i="11"/>
  <c r="T59" i="11"/>
  <c r="P57" i="11"/>
  <c r="P59" i="11"/>
  <c r="AA47" i="10"/>
  <c r="Y34" i="11"/>
  <c r="Y56" i="11" s="1"/>
  <c r="V18" i="11"/>
  <c r="Y17" i="11"/>
  <c r="Y18" i="11"/>
  <c r="Y19" i="11"/>
  <c r="K30" i="11"/>
  <c r="K32" i="11"/>
  <c r="O48" i="10"/>
  <c r="J34" i="11"/>
  <c r="Y30" i="11"/>
  <c r="Y31" i="11"/>
  <c r="Y32" i="11"/>
  <c r="J21" i="11"/>
  <c r="J16" i="11"/>
  <c r="L47" i="10"/>
  <c r="T51" i="10"/>
  <c r="T48" i="10"/>
  <c r="T50" i="10"/>
  <c r="T47" i="10"/>
  <c r="T46" i="10"/>
  <c r="V47" i="10"/>
  <c r="Y50" i="10"/>
  <c r="Y46" i="10"/>
  <c r="Y47" i="10"/>
  <c r="Y51" i="10"/>
  <c r="Y48" i="10"/>
  <c r="J46" i="10"/>
  <c r="J51" i="10"/>
  <c r="J48" i="10"/>
  <c r="J47" i="10"/>
  <c r="J50" i="10"/>
  <c r="AC55" i="7"/>
  <c r="AC10" i="5"/>
  <c r="AC11" i="5"/>
  <c r="AC12" i="5"/>
  <c r="AC9" i="5"/>
  <c r="G56" i="11" l="1"/>
  <c r="L32" i="11"/>
  <c r="H31" i="11"/>
  <c r="G30" i="11"/>
  <c r="G31" i="11"/>
  <c r="G32" i="11"/>
  <c r="Y57" i="11"/>
  <c r="Y59" i="11"/>
  <c r="J18" i="11"/>
  <c r="J19" i="11"/>
  <c r="J17" i="11"/>
  <c r="O19" i="11"/>
  <c r="L18" i="11"/>
  <c r="J29" i="11"/>
  <c r="J56" i="11"/>
  <c r="AC85" i="8"/>
  <c r="AC81" i="8"/>
  <c r="AC77" i="8"/>
  <c r="AC63" i="8"/>
  <c r="AC38" i="8"/>
  <c r="AC32" i="8"/>
  <c r="AC25" i="8"/>
  <c r="AC19" i="8"/>
  <c r="AD87" i="8" l="1"/>
  <c r="AH88" i="8"/>
  <c r="AD79" i="8"/>
  <c r="AH80" i="8"/>
  <c r="AD83" i="8"/>
  <c r="AH84" i="8"/>
  <c r="G59" i="11"/>
  <c r="G57" i="11"/>
  <c r="J31" i="11"/>
  <c r="J30" i="11"/>
  <c r="J32" i="11"/>
  <c r="O32" i="11"/>
  <c r="L31" i="11"/>
  <c r="J57" i="11"/>
  <c r="J59" i="11"/>
  <c r="AC64" i="8"/>
  <c r="AC61" i="8"/>
  <c r="AC39" i="8"/>
  <c r="AC36" i="8"/>
  <c r="AC33" i="8"/>
  <c r="AC26" i="8"/>
  <c r="AC30" i="8"/>
  <c r="AC23" i="8"/>
  <c r="AH24" i="8" l="1"/>
  <c r="AH37" i="8"/>
  <c r="AH31" i="8"/>
  <c r="AH62" i="8"/>
  <c r="AC34" i="8"/>
  <c r="AC40" i="8"/>
  <c r="AC27" i="8"/>
  <c r="AC65" i="8"/>
  <c r="AC17" i="8"/>
  <c r="AC20" i="8"/>
  <c r="AH18" i="8" l="1"/>
  <c r="AC67" i="8"/>
  <c r="AC21" i="8"/>
  <c r="AC86" i="8" l="1"/>
  <c r="AC78" i="8"/>
  <c r="AC82" i="8"/>
  <c r="AC21" i="5"/>
  <c r="AC25" i="5"/>
  <c r="AD26" i="5" l="1"/>
  <c r="AH27" i="5"/>
  <c r="AD22" i="5"/>
  <c r="AH23" i="5"/>
  <c r="AC17" i="5"/>
  <c r="AD18" i="5" l="1"/>
  <c r="AH19" i="5"/>
  <c r="AC109" i="8"/>
  <c r="X21" i="6" l="1"/>
  <c r="AB85" i="8" l="1"/>
  <c r="AB81" i="8"/>
  <c r="AB77" i="8"/>
  <c r="AB63" i="8"/>
  <c r="AB38" i="8"/>
  <c r="AB32" i="8"/>
  <c r="AB25" i="8"/>
  <c r="AB19" i="8"/>
  <c r="AC79" i="8" l="1"/>
  <c r="AG80" i="8"/>
  <c r="AC83" i="8"/>
  <c r="AG84" i="8"/>
  <c r="AC87" i="8"/>
  <c r="AG88" i="8"/>
  <c r="AB101" i="8"/>
  <c r="AB100" i="8"/>
  <c r="AB99" i="8"/>
  <c r="AB56" i="7" l="1"/>
  <c r="AB47" i="7"/>
  <c r="AB45" i="7"/>
  <c r="AB15" i="7"/>
  <c r="AC15" i="7" s="1"/>
  <c r="AD15" i="7" s="1"/>
  <c r="AE15" i="7" s="1"/>
  <c r="AC45" i="7" l="1"/>
  <c r="AC47" i="7"/>
  <c r="AC56" i="7"/>
  <c r="AB26" i="7"/>
  <c r="AD56" i="7" l="1"/>
  <c r="AE56" i="7" s="1"/>
  <c r="AD47" i="7"/>
  <c r="AE47" i="7" s="1"/>
  <c r="AC26" i="7"/>
  <c r="AB23" i="7"/>
  <c r="AC23" i="7" l="1"/>
  <c r="AB12" i="5"/>
  <c r="AB11" i="5"/>
  <c r="AB10" i="5"/>
  <c r="AB9" i="5"/>
  <c r="AD23" i="7" l="1"/>
  <c r="AE23" i="7" s="1"/>
  <c r="AB25" i="5"/>
  <c r="AC22" i="5"/>
  <c r="AB17" i="5"/>
  <c r="AG19" i="5" l="1"/>
  <c r="AG27" i="5"/>
  <c r="AC18" i="5"/>
  <c r="AC26" i="5"/>
  <c r="W21" i="6"/>
  <c r="I62" i="7" l="1"/>
  <c r="G62" i="7"/>
  <c r="F62" i="7"/>
  <c r="D62" i="7"/>
  <c r="C62" i="7"/>
  <c r="B62" i="7"/>
  <c r="G50" i="7"/>
  <c r="D50" i="7"/>
  <c r="C50" i="7"/>
  <c r="B50" i="7"/>
  <c r="V40" i="6" l="1"/>
  <c r="U40" i="6"/>
  <c r="R40" i="6"/>
  <c r="N40" i="6"/>
  <c r="K40" i="6"/>
  <c r="J40" i="6"/>
  <c r="V12" i="6" l="1"/>
  <c r="U12" i="6"/>
  <c r="R12" i="6"/>
  <c r="N12" i="6"/>
  <c r="J12" i="6"/>
  <c r="I12" i="6"/>
  <c r="C12" i="6"/>
  <c r="Z85" i="8" l="1"/>
  <c r="Z81" i="8"/>
  <c r="Z77" i="8"/>
  <c r="AA85" i="8"/>
  <c r="AF88" i="8" s="1"/>
  <c r="AA81" i="8"/>
  <c r="AF84" i="8" s="1"/>
  <c r="AA77" i="8"/>
  <c r="AF80" i="8" s="1"/>
  <c r="Z63" i="8"/>
  <c r="AA63" i="8"/>
  <c r="Z38" i="8"/>
  <c r="AA38" i="8"/>
  <c r="Z32" i="8"/>
  <c r="AA32" i="8"/>
  <c r="Z25" i="8"/>
  <c r="AA25" i="8"/>
  <c r="Z19" i="8"/>
  <c r="AA19" i="8"/>
  <c r="AB83" i="8" l="1"/>
  <c r="AE84" i="8"/>
  <c r="AB79" i="8"/>
  <c r="AE80" i="8"/>
  <c r="AB87" i="8"/>
  <c r="AE88" i="8"/>
  <c r="Z12" i="5"/>
  <c r="Z11" i="5"/>
  <c r="Z10" i="5"/>
  <c r="Z9" i="5"/>
  <c r="AA12" i="5"/>
  <c r="AA11" i="5"/>
  <c r="AA10" i="5"/>
  <c r="AA9" i="5"/>
  <c r="Z6" i="5" l="1"/>
  <c r="Z14" i="5"/>
  <c r="AA14" i="5"/>
  <c r="AA56" i="7" l="1"/>
  <c r="AA47" i="7"/>
  <c r="AA45" i="7"/>
  <c r="AA23" i="7"/>
  <c r="AA15" i="7"/>
  <c r="AA12" i="7" l="1"/>
  <c r="Z57" i="7" l="1"/>
  <c r="Z30" i="7"/>
  <c r="Z14" i="7"/>
  <c r="Z11" i="7"/>
  <c r="AA6" i="5" l="1"/>
  <c r="Z101" i="8"/>
  <c r="Z100" i="8"/>
  <c r="Z99" i="8"/>
  <c r="V21" i="6" l="1"/>
  <c r="AA64" i="8" l="1"/>
  <c r="AA39" i="8"/>
  <c r="AA33" i="8"/>
  <c r="AA26" i="8"/>
  <c r="AA61" i="8"/>
  <c r="AF62" i="8" s="1"/>
  <c r="AA36" i="8"/>
  <c r="AF37" i="8" s="1"/>
  <c r="AA30" i="8"/>
  <c r="AF31" i="8" s="1"/>
  <c r="AA23" i="8"/>
  <c r="AF24" i="8" s="1"/>
  <c r="AA25" i="5"/>
  <c r="AF27" i="5" s="1"/>
  <c r="AA21" i="5"/>
  <c r="AF23" i="5" s="1"/>
  <c r="AA17" i="5"/>
  <c r="AF19" i="5" s="1"/>
  <c r="Z25" i="5"/>
  <c r="Z21" i="5"/>
  <c r="AE23" i="5" s="1"/>
  <c r="Z17" i="5"/>
  <c r="AB26" i="5" l="1"/>
  <c r="AE27" i="5"/>
  <c r="AB18" i="5"/>
  <c r="AE19" i="5"/>
  <c r="AB22" i="5"/>
  <c r="AA65" i="8" l="1"/>
  <c r="AA40" i="8"/>
  <c r="AA34" i="8"/>
  <c r="AA27" i="8"/>
  <c r="AA17" i="8"/>
  <c r="AF18" i="8" s="1"/>
  <c r="AA67" i="8" l="1"/>
  <c r="AA78" i="8" s="1"/>
  <c r="AA107" i="8"/>
  <c r="Y14" i="5"/>
  <c r="Y6" i="5"/>
  <c r="Y12" i="5"/>
  <c r="Y11" i="5"/>
  <c r="Y10" i="5"/>
  <c r="Y9" i="5"/>
  <c r="X12" i="5"/>
  <c r="X11" i="5"/>
  <c r="X10" i="5"/>
  <c r="X9" i="5"/>
  <c r="AA82" i="8" l="1"/>
  <c r="AA86" i="8"/>
  <c r="AA109" i="8" l="1"/>
  <c r="Y85" i="8" l="1"/>
  <c r="Y81" i="8"/>
  <c r="Y77" i="8"/>
  <c r="Y38" i="8"/>
  <c r="Y25" i="8"/>
  <c r="Z79" i="8" l="1"/>
  <c r="AD80" i="8"/>
  <c r="Z83" i="8"/>
  <c r="AD84" i="8"/>
  <c r="Z87" i="8"/>
  <c r="AD88" i="8"/>
  <c r="Y63" i="8"/>
  <c r="Y19" i="8"/>
  <c r="Y32" i="8"/>
  <c r="Y101" i="8" l="1"/>
  <c r="Y100" i="8" l="1"/>
  <c r="Y99" i="8"/>
  <c r="Y25" i="5" l="1"/>
  <c r="AD27" i="5" s="1"/>
  <c r="Y21" i="5"/>
  <c r="Y17" i="5"/>
  <c r="AD19" i="5" s="1"/>
  <c r="Z22" i="5" l="1"/>
  <c r="AD23" i="5"/>
  <c r="Z18" i="5"/>
  <c r="Z26" i="5"/>
  <c r="O14" i="5" l="1"/>
  <c r="O25" i="5" l="1"/>
  <c r="O21" i="5"/>
  <c r="O17" i="5"/>
  <c r="O12" i="5"/>
  <c r="O11" i="5"/>
  <c r="O10" i="5"/>
  <c r="O9" i="5"/>
  <c r="O6" i="5"/>
  <c r="X101" i="8" l="1"/>
  <c r="X100" i="8"/>
  <c r="X99" i="8"/>
  <c r="X85" i="8" l="1"/>
  <c r="X81" i="8"/>
  <c r="X77" i="8"/>
  <c r="X19" i="8"/>
  <c r="X63" i="8"/>
  <c r="X38" i="8"/>
  <c r="X32" i="8"/>
  <c r="X25" i="8"/>
  <c r="AC80" i="8" l="1"/>
  <c r="AC84" i="8"/>
  <c r="AC88" i="8"/>
  <c r="Y79" i="8"/>
  <c r="Y83" i="8"/>
  <c r="Y87" i="8"/>
  <c r="X14" i="5" l="1"/>
  <c r="X6" i="5"/>
  <c r="U26" i="7" l="1"/>
  <c r="X25" i="5" l="1"/>
  <c r="X21" i="5"/>
  <c r="X17" i="5"/>
  <c r="Y18" i="5" l="1"/>
  <c r="AC19" i="5"/>
  <c r="Y22" i="5"/>
  <c r="AC23" i="5"/>
  <c r="Y26" i="5"/>
  <c r="AC27" i="5"/>
  <c r="W101" i="8" l="1"/>
  <c r="W100" i="8"/>
  <c r="W99" i="8"/>
  <c r="W85" i="8" l="1"/>
  <c r="W81" i="8"/>
  <c r="W77" i="8"/>
  <c r="W63" i="8"/>
  <c r="W38" i="8"/>
  <c r="W32" i="8"/>
  <c r="W25" i="8"/>
  <c r="W19" i="8"/>
  <c r="AB80" i="8" l="1"/>
  <c r="AB84" i="8"/>
  <c r="AB88" i="8"/>
  <c r="X87" i="8"/>
  <c r="X83" i="8"/>
  <c r="X79" i="8"/>
  <c r="W12" i="5"/>
  <c r="W11" i="5"/>
  <c r="W10" i="5"/>
  <c r="W9" i="5"/>
  <c r="W6" i="5" l="1"/>
  <c r="W14" i="5"/>
  <c r="W25" i="5" l="1"/>
  <c r="W21" i="5"/>
  <c r="W17" i="5"/>
  <c r="X26" i="5" l="1"/>
  <c r="AB27" i="5"/>
  <c r="X18" i="5"/>
  <c r="AB19" i="5"/>
  <c r="X22" i="5"/>
  <c r="AB23" i="5"/>
  <c r="Z56" i="7" l="1"/>
  <c r="U101" i="8"/>
  <c r="U100" i="8"/>
  <c r="U99" i="8"/>
  <c r="V85" i="8" l="1"/>
  <c r="AA88" i="8" s="1"/>
  <c r="V81" i="8"/>
  <c r="AA84" i="8" s="1"/>
  <c r="V77" i="8"/>
  <c r="AA80" i="8" s="1"/>
  <c r="U85" i="8"/>
  <c r="U81" i="8"/>
  <c r="U77" i="8"/>
  <c r="V63" i="8"/>
  <c r="V38" i="8"/>
  <c r="V32" i="8"/>
  <c r="V25" i="8"/>
  <c r="V19" i="8"/>
  <c r="U63" i="8"/>
  <c r="U38" i="8"/>
  <c r="U32" i="8"/>
  <c r="U25" i="8"/>
  <c r="U19" i="8"/>
  <c r="W87" i="8" l="1"/>
  <c r="Z88" i="8"/>
  <c r="W79" i="8"/>
  <c r="Z80" i="8"/>
  <c r="W83" i="8"/>
  <c r="Z84" i="8"/>
  <c r="U6" i="5"/>
  <c r="V12" i="5" l="1"/>
  <c r="V11" i="5"/>
  <c r="V10" i="5"/>
  <c r="V9" i="5"/>
  <c r="U12" i="5"/>
  <c r="U11" i="5"/>
  <c r="U10" i="5"/>
  <c r="U9" i="5"/>
  <c r="V58" i="7" l="1"/>
  <c r="V57" i="7"/>
  <c r="V56" i="7"/>
  <c r="V54" i="7"/>
  <c r="V47" i="7"/>
  <c r="V46" i="7"/>
  <c r="V45" i="7"/>
  <c r="V44" i="7"/>
  <c r="V43" i="7"/>
  <c r="U30" i="7"/>
  <c r="V34" i="7"/>
  <c r="V31" i="7"/>
  <c r="V23" i="7"/>
  <c r="V15" i="7"/>
  <c r="V12" i="7"/>
  <c r="V25" i="7" l="1"/>
  <c r="V21" i="7"/>
  <c r="V20" i="7"/>
  <c r="V13" i="7"/>
  <c r="V10" i="7"/>
  <c r="V25" i="5" l="1"/>
  <c r="AA27" i="5" s="1"/>
  <c r="V21" i="5"/>
  <c r="AA23" i="5" s="1"/>
  <c r="V17" i="5"/>
  <c r="AA19" i="5" s="1"/>
  <c r="U14" i="5"/>
  <c r="V14" i="5"/>
  <c r="U25" i="5" l="1"/>
  <c r="U21" i="5"/>
  <c r="U17" i="5"/>
  <c r="W18" i="5" l="1"/>
  <c r="Z19" i="5"/>
  <c r="W22" i="5"/>
  <c r="Z23" i="5"/>
  <c r="W26" i="5"/>
  <c r="Z27" i="5"/>
  <c r="V6" i="5"/>
  <c r="S12" i="5" l="1"/>
  <c r="S11" i="5"/>
  <c r="S10" i="5"/>
  <c r="S9" i="5"/>
  <c r="T14" i="5" l="1"/>
  <c r="T6" i="5"/>
  <c r="T101" i="8" l="1"/>
  <c r="T100" i="8"/>
  <c r="T99" i="8"/>
  <c r="T12" i="5" l="1"/>
  <c r="T11" i="5"/>
  <c r="T10" i="5"/>
  <c r="T9" i="5"/>
  <c r="T85" i="8" l="1"/>
  <c r="T81" i="8"/>
  <c r="T77" i="8"/>
  <c r="Y88" i="8" l="1"/>
  <c r="Y80" i="8"/>
  <c r="Y84" i="8"/>
  <c r="U79" i="8"/>
  <c r="U83" i="8"/>
  <c r="U87" i="8"/>
  <c r="T63" i="8"/>
  <c r="T38" i="8"/>
  <c r="T32" i="8"/>
  <c r="T25" i="8"/>
  <c r="T19" i="8"/>
  <c r="T25" i="5" l="1"/>
  <c r="T21" i="5"/>
  <c r="T17" i="5"/>
  <c r="U18" i="5" l="1"/>
  <c r="Y19" i="5"/>
  <c r="U22" i="5"/>
  <c r="Y23" i="5"/>
  <c r="U26" i="5"/>
  <c r="Y27" i="5"/>
  <c r="T40" i="8" l="1"/>
  <c r="T20" i="8"/>
  <c r="T108" i="8" s="1"/>
  <c r="T27" i="8"/>
  <c r="T65" i="8" l="1"/>
  <c r="T34" i="8"/>
  <c r="T17" i="8"/>
  <c r="T107" i="8" s="1"/>
  <c r="T67" i="8" l="1"/>
  <c r="T21" i="8"/>
  <c r="T86" i="8" l="1"/>
  <c r="T82" i="8"/>
  <c r="T78" i="8"/>
  <c r="T109" i="8" l="1"/>
  <c r="T72" i="7" l="1"/>
  <c r="Q13" i="6"/>
  <c r="Q24" i="6" s="1"/>
  <c r="Q35" i="6" l="1"/>
  <c r="Q41" i="6" s="1"/>
  <c r="S100" i="8" l="1"/>
  <c r="S14" i="5" l="1"/>
  <c r="S6" i="5"/>
  <c r="Q11" i="7" l="1"/>
  <c r="Q28" i="7"/>
  <c r="M11" i="7"/>
  <c r="N11" i="7" s="1"/>
  <c r="O11" i="7" s="1"/>
  <c r="M28" i="7"/>
  <c r="R11" i="7"/>
  <c r="R28" i="7"/>
  <c r="N28" i="7" l="1"/>
  <c r="O28" i="7" s="1"/>
  <c r="S11" i="7"/>
  <c r="U11" i="7" s="1"/>
  <c r="S101" i="8" l="1"/>
  <c r="S99" i="8"/>
  <c r="S85" i="8" l="1"/>
  <c r="S81" i="8"/>
  <c r="S77" i="8"/>
  <c r="T79" i="8" l="1"/>
  <c r="X80" i="8"/>
  <c r="T83" i="8"/>
  <c r="X84" i="8"/>
  <c r="T87" i="8"/>
  <c r="X88" i="8"/>
  <c r="S63" i="8"/>
  <c r="S38" i="8"/>
  <c r="S32" i="8"/>
  <c r="S25" i="8"/>
  <c r="S19" i="8"/>
  <c r="S88" i="8" l="1"/>
  <c r="S84" i="8"/>
  <c r="S80" i="8"/>
  <c r="S27" i="8" l="1"/>
  <c r="S40" i="8"/>
  <c r="S65" i="8"/>
  <c r="S34" i="8"/>
  <c r="S20" i="8"/>
  <c r="S108" i="8" s="1"/>
  <c r="S17" i="8"/>
  <c r="S107" i="8" s="1"/>
  <c r="S67" i="8" l="1"/>
  <c r="S21" i="8"/>
  <c r="S82" i="8" l="1"/>
  <c r="S78" i="8"/>
  <c r="S86" i="8"/>
  <c r="S109" i="8" l="1"/>
  <c r="S25" i="5"/>
  <c r="X27" i="5" s="1"/>
  <c r="S21" i="5"/>
  <c r="X23" i="5" s="1"/>
  <c r="S17" i="5"/>
  <c r="X19" i="5" s="1"/>
  <c r="T22" i="5" l="1"/>
  <c r="T18" i="5"/>
  <c r="T26" i="5"/>
  <c r="F87" i="8" l="1"/>
  <c r="E87" i="8"/>
  <c r="D87" i="8"/>
  <c r="F83" i="8"/>
  <c r="E83" i="8"/>
  <c r="D83" i="8"/>
  <c r="F79" i="8"/>
  <c r="E79" i="8"/>
  <c r="D79" i="8"/>
  <c r="N88" i="8" l="1"/>
  <c r="M88" i="8"/>
  <c r="N87" i="8"/>
  <c r="M87" i="8"/>
  <c r="K87" i="8"/>
  <c r="J87" i="8"/>
  <c r="I87" i="8"/>
  <c r="H87" i="8"/>
  <c r="N84" i="8"/>
  <c r="M84" i="8"/>
  <c r="N83" i="8"/>
  <c r="M83" i="8"/>
  <c r="K83" i="8"/>
  <c r="J83" i="8"/>
  <c r="I83" i="8"/>
  <c r="H83" i="8"/>
  <c r="K79" i="8"/>
  <c r="J79" i="8"/>
  <c r="I79" i="8"/>
  <c r="H79" i="8"/>
  <c r="M79" i="8"/>
  <c r="M80" i="8"/>
  <c r="N80" i="8"/>
  <c r="N79" i="8"/>
  <c r="R6" i="5"/>
  <c r="R14" i="5"/>
  <c r="R10" i="5" l="1"/>
  <c r="R11" i="5"/>
  <c r="R12" i="5"/>
  <c r="R9" i="5"/>
  <c r="R85" i="8" l="1"/>
  <c r="R81" i="8"/>
  <c r="R77" i="8"/>
  <c r="S83" i="8" l="1"/>
  <c r="W84" i="8"/>
  <c r="S79" i="8"/>
  <c r="W80" i="8"/>
  <c r="S87" i="8"/>
  <c r="W88" i="8"/>
  <c r="R84" i="8"/>
  <c r="R88" i="8"/>
  <c r="R80" i="8"/>
  <c r="R101" i="8" l="1"/>
  <c r="R100" i="8"/>
  <c r="R99" i="8"/>
  <c r="R63" i="8" l="1"/>
  <c r="R38" i="8"/>
  <c r="R32" i="8"/>
  <c r="R25" i="8"/>
  <c r="R19" i="8"/>
  <c r="R25" i="5" l="1"/>
  <c r="R21" i="5"/>
  <c r="R17" i="5"/>
  <c r="S18" i="5" l="1"/>
  <c r="W19" i="5"/>
  <c r="S22" i="5"/>
  <c r="W23" i="5"/>
  <c r="S26" i="5"/>
  <c r="W27" i="5"/>
  <c r="R17" i="7" l="1"/>
  <c r="S17" i="7" s="1"/>
  <c r="T17" i="7" l="1"/>
  <c r="R65" i="8" l="1"/>
  <c r="R40" i="8"/>
  <c r="R34" i="8"/>
  <c r="R17" i="8"/>
  <c r="R107" i="8" s="1"/>
  <c r="R27" i="8"/>
  <c r="R20" i="8"/>
  <c r="R108" i="8" s="1"/>
  <c r="R67" i="8" l="1"/>
  <c r="R86" i="8" s="1"/>
  <c r="U56" i="7"/>
  <c r="R21" i="8"/>
  <c r="R78" i="8" l="1"/>
  <c r="R82" i="8"/>
  <c r="R109" i="8" l="1"/>
  <c r="Q61" i="8"/>
  <c r="Q36" i="8"/>
  <c r="Q30" i="8"/>
  <c r="Q23" i="8"/>
  <c r="Q26" i="8"/>
  <c r="Q33" i="8"/>
  <c r="Q39" i="8"/>
  <c r="Q64" i="8"/>
  <c r="O33" i="8"/>
  <c r="Q20" i="8" l="1"/>
  <c r="Q108" i="8" s="1"/>
  <c r="P61" i="8"/>
  <c r="Q63" i="8" l="1"/>
  <c r="Q38" i="8"/>
  <c r="Q32" i="8"/>
  <c r="Q25" i="8"/>
  <c r="Q19" i="8"/>
  <c r="P63" i="8"/>
  <c r="P38" i="8"/>
  <c r="P32" i="8"/>
  <c r="P25" i="8"/>
  <c r="P19" i="8"/>
  <c r="Q101" i="8"/>
  <c r="Q100" i="8"/>
  <c r="Q99" i="8"/>
  <c r="P101" i="8"/>
  <c r="P100" i="8"/>
  <c r="P99" i="8"/>
  <c r="P85" i="8" l="1"/>
  <c r="U88" i="8" s="1"/>
  <c r="P81" i="8"/>
  <c r="U84" i="8" s="1"/>
  <c r="P77" i="8"/>
  <c r="U80" i="8" s="1"/>
  <c r="P84" i="8" l="1"/>
  <c r="R83" i="8"/>
  <c r="R79" i="8"/>
  <c r="P80" i="8"/>
  <c r="P88" i="8"/>
  <c r="R87" i="8"/>
  <c r="Q65" i="8"/>
  <c r="Q40" i="8"/>
  <c r="Q34" i="8"/>
  <c r="Q27" i="8"/>
  <c r="Q17" i="8"/>
  <c r="Q107" i="8" s="1"/>
  <c r="Q21" i="8" l="1"/>
  <c r="Q67" i="8"/>
  <c r="F44" i="7" l="1"/>
  <c r="F43" i="7"/>
  <c r="K44" i="7"/>
  <c r="J44" i="7" l="1"/>
  <c r="F50" i="7"/>
  <c r="E44" i="7"/>
  <c r="P12" i="5"/>
  <c r="P11" i="5"/>
  <c r="P10" i="5"/>
  <c r="P9" i="5"/>
  <c r="Q12" i="5"/>
  <c r="Q11" i="5"/>
  <c r="Q10" i="5"/>
  <c r="Q9" i="5"/>
  <c r="P14" i="5" l="1"/>
  <c r="Q14" i="5"/>
  <c r="P6" i="5" l="1"/>
  <c r="Q6" i="5" l="1"/>
  <c r="Q56" i="7" l="1"/>
  <c r="Q17" i="7"/>
  <c r="Q25" i="5" l="1"/>
  <c r="V27" i="5" s="1"/>
  <c r="Q21" i="5"/>
  <c r="V23" i="5" s="1"/>
  <c r="Q17" i="5"/>
  <c r="V19" i="5" s="1"/>
  <c r="P25" i="5" l="1"/>
  <c r="P21" i="5"/>
  <c r="P17" i="5"/>
  <c r="R18" i="5" l="1"/>
  <c r="U19" i="5"/>
  <c r="R22" i="5"/>
  <c r="U23" i="5"/>
  <c r="R26" i="5"/>
  <c r="U27" i="5"/>
  <c r="O64" i="8" l="1"/>
  <c r="O61" i="8"/>
  <c r="T62" i="8" s="1"/>
  <c r="O30" i="8"/>
  <c r="T31" i="8" s="1"/>
  <c r="O23" i="8"/>
  <c r="T24" i="8" s="1"/>
  <c r="O85" i="8" l="1"/>
  <c r="O81" i="8"/>
  <c r="O77" i="8"/>
  <c r="O63" i="8"/>
  <c r="O38" i="8"/>
  <c r="O32" i="8"/>
  <c r="O25" i="8"/>
  <c r="O19" i="8"/>
  <c r="T80" i="8" l="1"/>
  <c r="T84" i="8"/>
  <c r="T88" i="8"/>
  <c r="Q77" i="8"/>
  <c r="O80" i="8"/>
  <c r="O79" i="8"/>
  <c r="P79" i="8"/>
  <c r="Q81" i="8"/>
  <c r="O83" i="8"/>
  <c r="O84" i="8"/>
  <c r="P83" i="8"/>
  <c r="Q85" i="8"/>
  <c r="O87" i="8"/>
  <c r="O88" i="8"/>
  <c r="P87" i="8"/>
  <c r="I43" i="7"/>
  <c r="I50" i="7" s="1"/>
  <c r="Q78" i="8" l="1"/>
  <c r="Q88" i="8"/>
  <c r="V88" i="8"/>
  <c r="Q84" i="8"/>
  <c r="V84" i="8"/>
  <c r="Q80" i="8"/>
  <c r="V80" i="8"/>
  <c r="Q82" i="8"/>
  <c r="Q86" i="8"/>
  <c r="O101" i="8"/>
  <c r="O100" i="8"/>
  <c r="O99" i="8"/>
  <c r="Q109" i="8" l="1"/>
  <c r="O65" i="8"/>
  <c r="O34" i="8"/>
  <c r="O27" i="8"/>
  <c r="P22" i="5" l="1"/>
  <c r="T23" i="5"/>
  <c r="P18" i="5"/>
  <c r="T19" i="5"/>
  <c r="P26" i="5"/>
  <c r="T27" i="5"/>
  <c r="O72" i="7" l="1"/>
  <c r="N72" i="7"/>
  <c r="L50" i="6"/>
  <c r="L52" i="6" s="1"/>
  <c r="L35" i="6"/>
  <c r="L41" i="6" s="1"/>
  <c r="L13" i="6"/>
  <c r="L24" i="6" s="1"/>
  <c r="L54" i="6" l="1"/>
  <c r="L60" i="6" s="1"/>
  <c r="N63" i="8" l="1"/>
  <c r="N38" i="8"/>
  <c r="N32" i="8"/>
  <c r="N25" i="8"/>
  <c r="N19" i="8"/>
  <c r="N14" i="5" l="1"/>
  <c r="N6" i="5" l="1"/>
  <c r="S62" i="8" l="1"/>
  <c r="S37" i="8"/>
  <c r="S31" i="8"/>
  <c r="S24" i="8"/>
  <c r="N27" i="8" l="1"/>
  <c r="N34" i="8"/>
  <c r="N20" i="8"/>
  <c r="N108" i="8" s="1"/>
  <c r="N65" i="8"/>
  <c r="N40" i="8"/>
  <c r="N17" i="8"/>
  <c r="N107" i="8" s="1"/>
  <c r="S18" i="8" l="1"/>
  <c r="N21" i="8"/>
  <c r="N67" i="8"/>
  <c r="N86" i="8" l="1"/>
  <c r="N78" i="8"/>
  <c r="N82" i="8"/>
  <c r="N109" i="8" l="1"/>
  <c r="N25" i="5"/>
  <c r="N21" i="5"/>
  <c r="N17" i="5"/>
  <c r="S23" i="5" l="1"/>
  <c r="O22" i="5"/>
  <c r="S19" i="5"/>
  <c r="O18" i="5"/>
  <c r="S27" i="5"/>
  <c r="O26" i="5"/>
  <c r="N19" i="5"/>
  <c r="N23" i="5"/>
  <c r="N27" i="5"/>
  <c r="N12" i="5"/>
  <c r="N11" i="5"/>
  <c r="N10" i="5"/>
  <c r="N9" i="5"/>
  <c r="M35" i="6" l="1"/>
  <c r="M41" i="6" l="1"/>
  <c r="M13" i="6" l="1"/>
  <c r="M24" i="6" s="1"/>
  <c r="F86" i="8" l="1"/>
  <c r="E86" i="8"/>
  <c r="D86" i="8"/>
  <c r="F82" i="8"/>
  <c r="E82" i="8"/>
  <c r="D82" i="8"/>
  <c r="F78" i="8"/>
  <c r="E78" i="8"/>
  <c r="D78" i="8"/>
  <c r="G77" i="8"/>
  <c r="M63" i="8"/>
  <c r="G78" i="8" l="1"/>
  <c r="G82" i="8"/>
  <c r="G86" i="8"/>
  <c r="G109" i="8" l="1"/>
  <c r="M17" i="7"/>
  <c r="N17" i="7" l="1"/>
  <c r="O17" i="7" s="1"/>
  <c r="L36" i="8"/>
  <c r="Q37" i="8" s="1"/>
  <c r="K36" i="8"/>
  <c r="J36" i="8"/>
  <c r="I36" i="8"/>
  <c r="N37" i="8" s="1"/>
  <c r="H36" i="8"/>
  <c r="L30" i="8"/>
  <c r="Q31" i="8" s="1"/>
  <c r="K30" i="8"/>
  <c r="J30" i="8"/>
  <c r="O31" i="8" s="1"/>
  <c r="I30" i="8"/>
  <c r="N31" i="8" s="1"/>
  <c r="H30" i="8"/>
  <c r="L23" i="8"/>
  <c r="Q24" i="8" s="1"/>
  <c r="K23" i="8"/>
  <c r="J23" i="8"/>
  <c r="O24" i="8" s="1"/>
  <c r="I23" i="8"/>
  <c r="N24" i="8" s="1"/>
  <c r="H23" i="8"/>
  <c r="D36" i="8"/>
  <c r="G36" i="8"/>
  <c r="F18" i="8"/>
  <c r="G24" i="8"/>
  <c r="F24" i="8"/>
  <c r="E24" i="8"/>
  <c r="D24" i="8"/>
  <c r="C24" i="8"/>
  <c r="E18" i="8"/>
  <c r="D18" i="8"/>
  <c r="C18" i="8"/>
  <c r="F36" i="8"/>
  <c r="E36" i="8"/>
  <c r="F33" i="8"/>
  <c r="E33" i="8"/>
  <c r="C33" i="8"/>
  <c r="F30" i="8"/>
  <c r="E30" i="8"/>
  <c r="D30" i="8"/>
  <c r="C30" i="8"/>
  <c r="G26" i="8"/>
  <c r="F26" i="8"/>
  <c r="E26" i="8"/>
  <c r="D26" i="8"/>
  <c r="C26" i="8"/>
  <c r="G23" i="8"/>
  <c r="F23" i="8"/>
  <c r="E23" i="8"/>
  <c r="D23" i="8"/>
  <c r="C23" i="8"/>
  <c r="F34" i="8" l="1"/>
  <c r="F27" i="8"/>
  <c r="C27" i="8"/>
  <c r="G27" i="8"/>
  <c r="C34" i="8"/>
  <c r="E27" i="8"/>
  <c r="D27" i="8"/>
  <c r="E34" i="8"/>
  <c r="C36" i="8"/>
  <c r="D33" i="8" l="1"/>
  <c r="D34" i="8" l="1"/>
  <c r="G30" i="8"/>
  <c r="F39" i="8"/>
  <c r="G39" i="8"/>
  <c r="G18" i="8"/>
  <c r="E39" i="8"/>
  <c r="D39" i="8"/>
  <c r="D20" i="8" s="1"/>
  <c r="D108" i="8" s="1"/>
  <c r="C39" i="8"/>
  <c r="G33" i="8" l="1"/>
  <c r="F20" i="8"/>
  <c r="F108" i="8" s="1"/>
  <c r="F40" i="8"/>
  <c r="E20" i="8"/>
  <c r="E108" i="8" s="1"/>
  <c r="E40" i="8"/>
  <c r="D40" i="8"/>
  <c r="C20" i="8"/>
  <c r="C40" i="8"/>
  <c r="G40" i="8"/>
  <c r="G34" i="8" l="1"/>
  <c r="C108" i="8"/>
  <c r="G20" i="8"/>
  <c r="G108" i="8" s="1"/>
  <c r="D17" i="8"/>
  <c r="C17" i="8"/>
  <c r="G17" i="8"/>
  <c r="F17" i="8"/>
  <c r="E17" i="8"/>
  <c r="E21" i="8" s="1"/>
  <c r="C21" i="8" l="1"/>
  <c r="D21" i="8"/>
  <c r="D67" i="8"/>
  <c r="E67" i="8"/>
  <c r="C67" i="8"/>
  <c r="G67" i="8"/>
  <c r="G21" i="8"/>
  <c r="F21" i="8"/>
  <c r="L37" i="8" l="1"/>
  <c r="K37" i="8"/>
  <c r="J37" i="8"/>
  <c r="I37" i="8"/>
  <c r="H37" i="8"/>
  <c r="L31" i="8"/>
  <c r="K31" i="8"/>
  <c r="J31" i="8"/>
  <c r="I31" i="8"/>
  <c r="H31" i="8"/>
  <c r="L24" i="8"/>
  <c r="K24" i="8"/>
  <c r="J24" i="8"/>
  <c r="I24" i="8"/>
  <c r="H24" i="8"/>
  <c r="L18" i="8"/>
  <c r="K18" i="8"/>
  <c r="J18" i="8"/>
  <c r="I18" i="8"/>
  <c r="H18" i="8"/>
  <c r="M12" i="5" l="1"/>
  <c r="M11" i="5"/>
  <c r="M10" i="5"/>
  <c r="M9" i="5"/>
  <c r="N62" i="8" l="1"/>
  <c r="M38" i="8" l="1"/>
  <c r="M32" i="8"/>
  <c r="M25" i="8"/>
  <c r="M19" i="8"/>
  <c r="J17" i="8" l="1"/>
  <c r="I26" i="8" l="1"/>
  <c r="K26" i="8"/>
  <c r="H26" i="8"/>
  <c r="J26" i="8"/>
  <c r="K17" i="8" l="1"/>
  <c r="H17" i="8"/>
  <c r="I17" i="8"/>
  <c r="N18" i="8" s="1"/>
  <c r="K33" i="8"/>
  <c r="H27" i="8"/>
  <c r="I33" i="8"/>
  <c r="I39" i="8"/>
  <c r="J33" i="8"/>
  <c r="K39" i="8"/>
  <c r="J39" i="8"/>
  <c r="H39" i="8"/>
  <c r="J27" i="8"/>
  <c r="H33" i="8"/>
  <c r="K27" i="8"/>
  <c r="I27" i="8"/>
  <c r="L26" i="8"/>
  <c r="H20" i="8" l="1"/>
  <c r="H67" i="8"/>
  <c r="K20" i="8"/>
  <c r="K108" i="8" s="1"/>
  <c r="I20" i="8"/>
  <c r="I108" i="8" s="1"/>
  <c r="J20" i="8"/>
  <c r="J108" i="8" s="1"/>
  <c r="L17" i="8"/>
  <c r="Q18" i="8" s="1"/>
  <c r="L27" i="8"/>
  <c r="L39" i="8"/>
  <c r="L33" i="8"/>
  <c r="H108" i="8" l="1"/>
  <c r="H86" i="8"/>
  <c r="H78" i="8"/>
  <c r="H82" i="8"/>
  <c r="L20" i="8"/>
  <c r="L108" i="8" s="1"/>
  <c r="I67" i="8"/>
  <c r="L34" i="8"/>
  <c r="K34" i="8"/>
  <c r="J34" i="8"/>
  <c r="I34" i="8"/>
  <c r="L40" i="8"/>
  <c r="K40" i="8"/>
  <c r="J40" i="8"/>
  <c r="I40" i="8"/>
  <c r="R62" i="8" l="1"/>
  <c r="H109" i="8"/>
  <c r="R31" i="8"/>
  <c r="R37" i="8"/>
  <c r="P39" i="8"/>
  <c r="R24" i="8"/>
  <c r="P26" i="8"/>
  <c r="P30" i="8"/>
  <c r="P33" i="8"/>
  <c r="P64" i="8"/>
  <c r="P65" i="8" s="1"/>
  <c r="P23" i="8"/>
  <c r="I86" i="8"/>
  <c r="I78" i="8"/>
  <c r="I82" i="8"/>
  <c r="M20" i="8"/>
  <c r="M17" i="8"/>
  <c r="K21" i="8"/>
  <c r="M40" i="8"/>
  <c r="M31" i="8"/>
  <c r="L21" i="8"/>
  <c r="J21" i="8"/>
  <c r="H40" i="8"/>
  <c r="I21" i="8"/>
  <c r="H34" i="8"/>
  <c r="M24" i="8"/>
  <c r="M37" i="8"/>
  <c r="M34" i="8"/>
  <c r="M27" i="8"/>
  <c r="M65" i="8"/>
  <c r="M62" i="8"/>
  <c r="M108" i="8" l="1"/>
  <c r="M107" i="8"/>
  <c r="I109" i="8"/>
  <c r="R18" i="8"/>
  <c r="P31" i="8"/>
  <c r="M67" i="8"/>
  <c r="P20" i="8"/>
  <c r="P108" i="8" s="1"/>
  <c r="P27" i="8"/>
  <c r="P24" i="8"/>
  <c r="P34" i="8"/>
  <c r="H21" i="8"/>
  <c r="M78" i="8" l="1"/>
  <c r="M82" i="8"/>
  <c r="M86" i="8"/>
  <c r="M18" i="8"/>
  <c r="M21" i="8"/>
  <c r="M109" i="8" l="1"/>
  <c r="M14" i="5"/>
  <c r="M6" i="5"/>
  <c r="M25" i="5" l="1"/>
  <c r="M21" i="5"/>
  <c r="M17" i="5"/>
  <c r="R19" i="5" l="1"/>
  <c r="R23" i="5"/>
  <c r="R27" i="5"/>
  <c r="M19" i="5"/>
  <c r="N18" i="5"/>
  <c r="M23" i="5"/>
  <c r="N22" i="5"/>
  <c r="M27" i="5"/>
  <c r="N26" i="5"/>
  <c r="M72" i="7" l="1"/>
  <c r="K35" i="6" l="1"/>
  <c r="K41" i="6" l="1"/>
  <c r="K13" i="6" l="1"/>
  <c r="K24" i="6" s="1"/>
  <c r="K12" i="7" l="1"/>
  <c r="K6" i="5" l="1"/>
  <c r="L14" i="5" l="1"/>
  <c r="K14" i="5"/>
  <c r="L26" i="7" l="1"/>
  <c r="L24" i="7"/>
  <c r="L22" i="7"/>
  <c r="L18" i="7"/>
  <c r="AI17" i="7" s="1"/>
  <c r="L16" i="7"/>
  <c r="K9" i="5" l="1"/>
  <c r="K10" i="5"/>
  <c r="K11" i="5"/>
  <c r="K12" i="5"/>
  <c r="L9" i="5" l="1"/>
  <c r="L12" i="5"/>
  <c r="L11" i="5"/>
  <c r="L10" i="5"/>
  <c r="L6" i="5" l="1"/>
  <c r="L67" i="8" l="1"/>
  <c r="L78" i="8" s="1"/>
  <c r="Q62" i="8"/>
  <c r="L82" i="8" l="1"/>
  <c r="L86" i="8"/>
  <c r="J56" i="7"/>
  <c r="J45" i="7"/>
  <c r="J30" i="7"/>
  <c r="L109" i="8" l="1"/>
  <c r="L45" i="7"/>
  <c r="L56" i="7"/>
  <c r="K25" i="5"/>
  <c r="L25" i="5"/>
  <c r="L21" i="5"/>
  <c r="K21" i="5"/>
  <c r="L17" i="5"/>
  <c r="K17" i="5"/>
  <c r="Q23" i="5" l="1"/>
  <c r="Q27" i="5"/>
  <c r="Q19" i="5"/>
  <c r="M26" i="5"/>
  <c r="P27" i="5"/>
  <c r="M18" i="5"/>
  <c r="P19" i="5"/>
  <c r="M22" i="5"/>
  <c r="P23" i="5"/>
  <c r="K27" i="5" l="1"/>
  <c r="K23" i="5"/>
  <c r="K19" i="5"/>
  <c r="J14" i="5" l="1"/>
  <c r="J6" i="5" l="1"/>
  <c r="J9" i="5" l="1"/>
  <c r="J10" i="5"/>
  <c r="J11" i="5"/>
  <c r="J12" i="5"/>
  <c r="J25" i="5" l="1"/>
  <c r="J21" i="5"/>
  <c r="J17" i="5"/>
  <c r="O23" i="5" l="1"/>
  <c r="O19" i="5"/>
  <c r="O27" i="5"/>
  <c r="K18" i="5"/>
  <c r="K22" i="5"/>
  <c r="K26" i="5"/>
  <c r="K67" i="8" l="1"/>
  <c r="K78" i="8" s="1"/>
  <c r="P62" i="8"/>
  <c r="J67" i="8"/>
  <c r="O62" i="8"/>
  <c r="L28" i="7"/>
  <c r="H12" i="7"/>
  <c r="H40" i="7" l="1"/>
  <c r="H62" i="7"/>
  <c r="H50" i="7"/>
  <c r="K86" i="8"/>
  <c r="J86" i="8"/>
  <c r="K82" i="8"/>
  <c r="J82" i="8"/>
  <c r="J78" i="8"/>
  <c r="H72" i="7"/>
  <c r="H13" i="6"/>
  <c r="H50" i="6"/>
  <c r="H35" i="6"/>
  <c r="K109" i="8" l="1"/>
  <c r="J109" i="8"/>
  <c r="H41" i="6"/>
  <c r="H24" i="6"/>
  <c r="H52" i="6"/>
  <c r="H66" i="7"/>
  <c r="H54" i="6" l="1"/>
  <c r="H60" i="6" l="1"/>
  <c r="J18" i="5" l="1"/>
  <c r="J27" i="5"/>
  <c r="J22" i="5"/>
  <c r="J23" i="5" l="1"/>
  <c r="J26" i="5"/>
  <c r="J19" i="5"/>
  <c r="I26" i="5" l="1"/>
  <c r="I22" i="5"/>
  <c r="I18" i="5"/>
  <c r="I27" i="5"/>
  <c r="I23" i="5"/>
  <c r="I19" i="5"/>
  <c r="G35" i="6"/>
  <c r="G41" i="6" s="1"/>
  <c r="H27" i="5"/>
  <c r="H23" i="5"/>
  <c r="H19" i="5"/>
  <c r="G72" i="7"/>
  <c r="G13" i="6"/>
  <c r="G24" i="6" s="1"/>
  <c r="C35" i="6"/>
  <c r="C41" i="6" s="1"/>
  <c r="D35" i="6"/>
  <c r="D41" i="6" s="1"/>
  <c r="E35" i="6"/>
  <c r="E41" i="6" s="1"/>
  <c r="E12" i="7"/>
  <c r="E22" i="7"/>
  <c r="H26" i="5"/>
  <c r="H22" i="5"/>
  <c r="H18" i="5"/>
  <c r="E30" i="7"/>
  <c r="E26" i="7"/>
  <c r="E24" i="7"/>
  <c r="E18" i="7"/>
  <c r="E16" i="7"/>
  <c r="C72" i="7"/>
  <c r="B72" i="7"/>
  <c r="C19" i="7"/>
  <c r="C40" i="7" s="1"/>
  <c r="B19" i="7"/>
  <c r="B40" i="7" s="1"/>
  <c r="C13" i="6"/>
  <c r="C24" i="6" s="1"/>
  <c r="C50" i="6"/>
  <c r="C52" i="6" s="1"/>
  <c r="D13" i="6"/>
  <c r="D24" i="6" s="1"/>
  <c r="D50" i="6"/>
  <c r="D52" i="6" s="1"/>
  <c r="E13" i="6"/>
  <c r="E24" i="6" s="1"/>
  <c r="D72" i="7"/>
  <c r="E50" i="6"/>
  <c r="E52" i="6" s="1"/>
  <c r="F67" i="8"/>
  <c r="F50" i="6"/>
  <c r="F72" i="7"/>
  <c r="E72" i="7"/>
  <c r="F35" i="6"/>
  <c r="F13" i="6"/>
  <c r="F24" i="6" s="1"/>
  <c r="E8" i="7"/>
  <c r="E64" i="7"/>
  <c r="E61" i="7"/>
  <c r="E57" i="7"/>
  <c r="E56" i="7"/>
  <c r="E58" i="7"/>
  <c r="E49" i="7"/>
  <c r="E48" i="7"/>
  <c r="E45" i="7"/>
  <c r="E15" i="7"/>
  <c r="E25" i="7"/>
  <c r="E21" i="7"/>
  <c r="E20" i="7"/>
  <c r="E13" i="7"/>
  <c r="E10" i="7"/>
  <c r="E23" i="7"/>
  <c r="E53" i="7"/>
  <c r="E54" i="7"/>
  <c r="E43" i="7"/>
  <c r="E59" i="7"/>
  <c r="E35" i="7"/>
  <c r="E36" i="7"/>
  <c r="E34" i="7"/>
  <c r="E32" i="7"/>
  <c r="E31" i="7"/>
  <c r="E46" i="7"/>
  <c r="G50" i="6"/>
  <c r="G52" i="6" s="1"/>
  <c r="E62" i="7" l="1"/>
  <c r="E50" i="7"/>
  <c r="E19" i="7"/>
  <c r="E40" i="7" s="1"/>
  <c r="L19" i="5"/>
  <c r="L27" i="5"/>
  <c r="L23" i="5"/>
  <c r="F41" i="6"/>
  <c r="F52" i="6"/>
  <c r="D54" i="6"/>
  <c r="D60" i="6" s="1"/>
  <c r="C54" i="6"/>
  <c r="C60" i="6" s="1"/>
  <c r="G54" i="6"/>
  <c r="G60" i="6" s="1"/>
  <c r="B66" i="7"/>
  <c r="B68" i="7" s="1"/>
  <c r="C66" i="7"/>
  <c r="E54" i="6"/>
  <c r="E60" i="6" s="1"/>
  <c r="D66" i="7"/>
  <c r="G66" i="7"/>
  <c r="F54" i="6" l="1"/>
  <c r="F66" i="7"/>
  <c r="F68" i="7" s="1"/>
  <c r="E66" i="7"/>
  <c r="K67" i="7" l="1"/>
  <c r="F60" i="6"/>
  <c r="C67" i="7" l="1"/>
  <c r="B73" i="7"/>
  <c r="F73" i="7"/>
  <c r="C68" i="7" l="1"/>
  <c r="C73" i="7" l="1"/>
  <c r="D67" i="7"/>
  <c r="D68" i="7" l="1"/>
  <c r="D73" i="7" l="1"/>
  <c r="E67" i="7"/>
  <c r="I72" i="7"/>
  <c r="E68" i="7" l="1"/>
  <c r="I35" i="6"/>
  <c r="G67" i="7" l="1"/>
  <c r="I41" i="6"/>
  <c r="G68" i="7" l="1"/>
  <c r="E73" i="7"/>
  <c r="I13" i="6"/>
  <c r="I24" i="6" s="1"/>
  <c r="G73" i="7" l="1"/>
  <c r="H67" i="7"/>
  <c r="H68" i="7" l="1"/>
  <c r="H73" i="7" l="1"/>
  <c r="I67" i="7"/>
  <c r="I50" i="6" l="1"/>
  <c r="I52" i="6" l="1"/>
  <c r="I54" i="6" l="1"/>
  <c r="I60" i="6" l="1"/>
  <c r="I66" i="7" l="1"/>
  <c r="I68" i="7" s="1"/>
  <c r="J67" i="7" l="1"/>
  <c r="L11" i="7"/>
  <c r="J12" i="7"/>
  <c r="L17" i="7"/>
  <c r="I73" i="7" l="1"/>
  <c r="L12" i="7"/>
  <c r="J23" i="6" l="1"/>
  <c r="J21" i="6" l="1"/>
  <c r="J45" i="6" l="1"/>
  <c r="J46" i="6"/>
  <c r="J33" i="6" l="1"/>
  <c r="J38" i="6" l="1"/>
  <c r="J37" i="6"/>
  <c r="J49" i="6"/>
  <c r="J11" i="6" l="1"/>
  <c r="J29" i="6"/>
  <c r="J8" i="6"/>
  <c r="J20" i="6"/>
  <c r="J30" i="6"/>
  <c r="J9" i="6"/>
  <c r="J15" i="6"/>
  <c r="J19" i="6"/>
  <c r="J10" i="6"/>
  <c r="J16" i="6"/>
  <c r="J28" i="6"/>
  <c r="J72" i="12" l="1"/>
  <c r="J73" i="12" s="1"/>
  <c r="K72" i="12"/>
  <c r="K73" i="12" s="1"/>
  <c r="J72" i="7"/>
  <c r="K72" i="7"/>
  <c r="K8" i="7" l="1"/>
  <c r="J8" i="7" l="1"/>
  <c r="L8" i="7" l="1"/>
  <c r="J39" i="6" l="1"/>
  <c r="J18" i="6" l="1"/>
  <c r="J13" i="6" l="1"/>
  <c r="J48" i="6"/>
  <c r="J24" i="6" l="1"/>
  <c r="J47" i="6"/>
  <c r="J50" i="6" l="1"/>
  <c r="J52" i="6" l="1"/>
  <c r="K50" i="6" l="1"/>
  <c r="M50" i="6"/>
  <c r="M52" i="6" s="1"/>
  <c r="K52" i="6" l="1"/>
  <c r="M54" i="6"/>
  <c r="M60" i="6" s="1"/>
  <c r="K54" i="6" l="1"/>
  <c r="K60" i="6" s="1"/>
  <c r="K21" i="7" l="1"/>
  <c r="J21" i="7" l="1"/>
  <c r="K59" i="7"/>
  <c r="L21" i="7" l="1"/>
  <c r="J59" i="7"/>
  <c r="K15" i="7"/>
  <c r="L59" i="7" l="1"/>
  <c r="J15" i="7"/>
  <c r="K13" i="7"/>
  <c r="L15" i="7" l="1"/>
  <c r="J13" i="7"/>
  <c r="K10" i="7"/>
  <c r="K31" i="7"/>
  <c r="K46" i="7"/>
  <c r="K53" i="7"/>
  <c r="K20" i="7"/>
  <c r="K48" i="7"/>
  <c r="K54" i="7"/>
  <c r="K19" i="7"/>
  <c r="K34" i="7"/>
  <c r="K49" i="7"/>
  <c r="K57" i="7"/>
  <c r="K25" i="7"/>
  <c r="K47" i="7"/>
  <c r="K58" i="7"/>
  <c r="K61" i="7"/>
  <c r="L13" i="7" l="1"/>
  <c r="J57" i="7"/>
  <c r="J25" i="7"/>
  <c r="J34" i="7"/>
  <c r="J20" i="7"/>
  <c r="J49" i="7"/>
  <c r="J19" i="7"/>
  <c r="J54" i="7"/>
  <c r="J31" i="7"/>
  <c r="J48" i="7"/>
  <c r="J46" i="7"/>
  <c r="J61" i="7"/>
  <c r="J58" i="7"/>
  <c r="J47" i="7"/>
  <c r="K62" i="7"/>
  <c r="J53" i="7"/>
  <c r="J10" i="7"/>
  <c r="L57" i="7" l="1"/>
  <c r="L20" i="7"/>
  <c r="L19" i="7"/>
  <c r="L34" i="7"/>
  <c r="L25" i="7"/>
  <c r="L33" i="7"/>
  <c r="L49" i="7"/>
  <c r="L61" i="7"/>
  <c r="L48" i="7"/>
  <c r="L47" i="7"/>
  <c r="L58" i="7"/>
  <c r="L46" i="7"/>
  <c r="L31" i="7"/>
  <c r="L54" i="7"/>
  <c r="J62" i="7"/>
  <c r="L10" i="7"/>
  <c r="L53" i="7"/>
  <c r="L62" i="7" l="1"/>
  <c r="K27" i="7"/>
  <c r="J27" i="7" l="1"/>
  <c r="K38" i="7"/>
  <c r="L27" i="7" l="1"/>
  <c r="J38" i="7"/>
  <c r="K23" i="7"/>
  <c r="L38" i="7" l="1"/>
  <c r="J23" i="7"/>
  <c r="L23" i="7" l="1"/>
  <c r="J35" i="7" l="1"/>
  <c r="K36" i="7"/>
  <c r="L37" i="7" l="1"/>
  <c r="L35" i="7"/>
  <c r="J36" i="7"/>
  <c r="K40" i="7"/>
  <c r="L36" i="7" l="1"/>
  <c r="J32" i="7"/>
  <c r="J40" i="7" s="1"/>
  <c r="L32" i="7" l="1"/>
  <c r="L40" i="7" s="1"/>
  <c r="K64" i="7" l="1"/>
  <c r="J64" i="7" l="1"/>
  <c r="L64" i="7" l="1"/>
  <c r="P11" i="7" l="1"/>
  <c r="P17" i="7"/>
  <c r="AI16" i="7" s="1"/>
  <c r="P56" i="7"/>
  <c r="T37" i="8" l="1"/>
  <c r="P36" i="8"/>
  <c r="O17" i="8"/>
  <c r="O37" i="8"/>
  <c r="O107" i="8" l="1"/>
  <c r="T18" i="8"/>
  <c r="P37" i="8"/>
  <c r="P40" i="8"/>
  <c r="P17" i="8"/>
  <c r="O67" i="8"/>
  <c r="O18" i="8"/>
  <c r="P107" i="8" l="1"/>
  <c r="P21" i="8"/>
  <c r="P67" i="8"/>
  <c r="P18" i="8"/>
  <c r="O82" i="8"/>
  <c r="O86" i="8"/>
  <c r="O78" i="8"/>
  <c r="O109" i="8" l="1"/>
  <c r="P82" i="8"/>
  <c r="P78" i="8"/>
  <c r="P86" i="8"/>
  <c r="P109" i="8" l="1"/>
  <c r="O20" i="8"/>
  <c r="O40" i="8"/>
  <c r="O108" i="8" l="1"/>
  <c r="O21" i="8"/>
  <c r="J35" i="6" l="1"/>
  <c r="J41" i="6" l="1"/>
  <c r="J54" i="6" l="1"/>
  <c r="J60" i="6" l="1"/>
  <c r="N23" i="6" l="1"/>
  <c r="N46" i="6" l="1"/>
  <c r="N38" i="6"/>
  <c r="N33" i="6" l="1"/>
  <c r="N49" i="6" l="1"/>
  <c r="N45" i="6"/>
  <c r="N37" i="6"/>
  <c r="N31" i="6" l="1"/>
  <c r="N30" i="6"/>
  <c r="N29" i="6"/>
  <c r="N21" i="6"/>
  <c r="N19" i="6"/>
  <c r="N20" i="6"/>
  <c r="N16" i="6"/>
  <c r="N15" i="6"/>
  <c r="N11" i="6"/>
  <c r="N10" i="6"/>
  <c r="N9" i="6"/>
  <c r="N8" i="6"/>
  <c r="Q72" i="12" l="1"/>
  <c r="Q73" i="12" s="1"/>
  <c r="P72" i="12"/>
  <c r="P73" i="12" s="1"/>
  <c r="P72" i="7"/>
  <c r="Q72" i="7"/>
  <c r="Q8" i="7" l="1"/>
  <c r="P8" i="7" l="1"/>
  <c r="N28" i="6"/>
  <c r="N18" i="6" l="1"/>
  <c r="N39" i="6"/>
  <c r="N13" i="6" l="1"/>
  <c r="N24" i="6" l="1"/>
  <c r="N35" i="6" l="1"/>
  <c r="N48" i="6"/>
  <c r="N41" i="6" l="1"/>
  <c r="N47" i="6"/>
  <c r="N50" i="6" l="1"/>
  <c r="M62" i="7" l="1"/>
  <c r="N52" i="6"/>
  <c r="N54" i="6" l="1"/>
  <c r="N62" i="7"/>
  <c r="N60" i="6" l="1"/>
  <c r="O62" i="7"/>
  <c r="K43" i="7" l="1"/>
  <c r="K50" i="7" l="1"/>
  <c r="J43" i="7"/>
  <c r="J50" i="7" l="1"/>
  <c r="L43" i="7"/>
  <c r="L50" i="7" l="1"/>
  <c r="J66" i="7"/>
  <c r="K66" i="7"/>
  <c r="J68" i="7" l="1"/>
  <c r="J73" i="7" s="1"/>
  <c r="K68" i="7"/>
  <c r="L67" i="7" l="1"/>
  <c r="Q67" i="7"/>
  <c r="K73" i="7"/>
  <c r="M12" i="7"/>
  <c r="L68" i="7" l="1"/>
  <c r="M67" i="7" s="1"/>
  <c r="N12" i="7"/>
  <c r="O12" i="7" l="1"/>
  <c r="M40" i="7" l="1"/>
  <c r="P28" i="7" l="1"/>
  <c r="R72" i="7" l="1"/>
  <c r="O35" i="6" l="1"/>
  <c r="O13" i="6" l="1"/>
  <c r="O24" i="6" l="1"/>
  <c r="O41" i="6"/>
  <c r="Q12" i="7" l="1"/>
  <c r="P12" i="7" l="1"/>
  <c r="O50" i="6" l="1"/>
  <c r="O52" i="6" s="1"/>
  <c r="O54" i="6" l="1"/>
  <c r="R12" i="7"/>
  <c r="O60" i="6" l="1"/>
  <c r="S12" i="7"/>
  <c r="Q13" i="7"/>
  <c r="P13" i="7" s="1"/>
  <c r="Q59" i="7" l="1"/>
  <c r="P59" i="7" s="1"/>
  <c r="Q61" i="7"/>
  <c r="P61" i="7" s="1"/>
  <c r="Q57" i="7"/>
  <c r="P57" i="7" s="1"/>
  <c r="Q54" i="7"/>
  <c r="P54" i="7" s="1"/>
  <c r="Q53" i="7"/>
  <c r="Q58" i="7"/>
  <c r="P58" i="7" s="1"/>
  <c r="Q49" i="7"/>
  <c r="P49" i="7" s="1"/>
  <c r="Q48" i="7"/>
  <c r="P48" i="7" s="1"/>
  <c r="Q46" i="7"/>
  <c r="P46" i="7" s="1"/>
  <c r="Q47" i="7"/>
  <c r="P47" i="7" s="1"/>
  <c r="Q45" i="7"/>
  <c r="P45" i="7" s="1"/>
  <c r="Q44" i="7"/>
  <c r="P44" i="7" s="1"/>
  <c r="Q34" i="7"/>
  <c r="P34" i="7" s="1"/>
  <c r="Q31" i="7"/>
  <c r="P31" i="7" s="1"/>
  <c r="Q23" i="7"/>
  <c r="P23" i="7" s="1"/>
  <c r="Q15" i="7"/>
  <c r="P15" i="7" s="1"/>
  <c r="Q25" i="7"/>
  <c r="P25" i="7" s="1"/>
  <c r="Q21" i="7"/>
  <c r="P21" i="7" s="1"/>
  <c r="Q20" i="7"/>
  <c r="P20" i="7" s="1"/>
  <c r="Q27" i="7"/>
  <c r="P27" i="7" s="1"/>
  <c r="Q10" i="7"/>
  <c r="Q62" i="7" l="1"/>
  <c r="P53" i="7"/>
  <c r="P62" i="7" s="1"/>
  <c r="P10" i="7"/>
  <c r="Q19" i="7" l="1"/>
  <c r="P19" i="7" l="1"/>
  <c r="Q36" i="7" l="1"/>
  <c r="P36" i="7" s="1"/>
  <c r="P32" i="7" l="1"/>
  <c r="Q43" i="7"/>
  <c r="Q50" i="7" s="1"/>
  <c r="Q64" i="7" l="1"/>
  <c r="P64" i="7" s="1"/>
  <c r="Q38" i="7" l="1"/>
  <c r="Q40" i="7" s="1"/>
  <c r="P38" i="7" l="1"/>
  <c r="Q66" i="7"/>
  <c r="M50" i="7" l="1"/>
  <c r="N50" i="7"/>
  <c r="M66" i="7" l="1"/>
  <c r="O50" i="7"/>
  <c r="M68" i="7" l="1"/>
  <c r="N67" i="7" s="1"/>
  <c r="P43" i="7"/>
  <c r="P50" i="7" s="1"/>
  <c r="M73" i="7" l="1"/>
  <c r="R62" i="7" l="1"/>
  <c r="S50" i="7" l="1"/>
  <c r="R50" i="7"/>
  <c r="R40" i="7" l="1"/>
  <c r="R66" i="7" s="1"/>
  <c r="S62" i="7" l="1"/>
  <c r="S72" i="7" l="1"/>
  <c r="P13" i="6" l="1"/>
  <c r="P24" i="6" l="1"/>
  <c r="N40" i="7" l="1"/>
  <c r="N66" i="7" l="1"/>
  <c r="N68" i="7" s="1"/>
  <c r="O67" i="7" l="1"/>
  <c r="N73" i="7"/>
  <c r="P35" i="6" l="1"/>
  <c r="P41" i="6" s="1"/>
  <c r="P50" i="6" l="1"/>
  <c r="P52" i="6" s="1"/>
  <c r="P54" i="6" s="1"/>
  <c r="P60" i="6" s="1"/>
  <c r="Q50" i="6" l="1"/>
  <c r="Q52" i="6" s="1"/>
  <c r="Q54" i="6" s="1"/>
  <c r="Q60" i="6" s="1"/>
  <c r="U10" i="7" l="1"/>
  <c r="U13" i="7"/>
  <c r="U54" i="7" l="1"/>
  <c r="U58" i="7"/>
  <c r="U47" i="7"/>
  <c r="U44" i="7"/>
  <c r="U46" i="7"/>
  <c r="U34" i="7"/>
  <c r="U31" i="7"/>
  <c r="U23" i="7"/>
  <c r="U15" i="7"/>
  <c r="U25" i="7"/>
  <c r="U21" i="7"/>
  <c r="U20" i="7"/>
  <c r="U43" i="7" l="1"/>
  <c r="U45" i="7"/>
  <c r="O40" i="7" l="1"/>
  <c r="O66" i="7" l="1"/>
  <c r="O68" i="7" s="1"/>
  <c r="P35" i="7"/>
  <c r="P40" i="7" s="1"/>
  <c r="P67" i="7" l="1"/>
  <c r="P66" i="7"/>
  <c r="O73" i="7"/>
  <c r="P68" i="7" l="1"/>
  <c r="Q68" i="7" l="1"/>
  <c r="R67" i="7" s="1"/>
  <c r="R68" i="7" s="1"/>
  <c r="P73" i="7"/>
  <c r="Q73" i="7" l="1"/>
  <c r="S67" i="7"/>
  <c r="V67" i="7"/>
  <c r="R73" i="7"/>
  <c r="U57" i="7"/>
  <c r="U12" i="7" l="1"/>
  <c r="T50" i="7" l="1"/>
  <c r="T62" i="7" l="1"/>
  <c r="V14" i="7" l="1"/>
  <c r="U14" i="7" l="1"/>
  <c r="V27" i="7"/>
  <c r="U27" i="7" l="1"/>
  <c r="V64" i="7" l="1"/>
  <c r="U64" i="7" s="1"/>
  <c r="V61" i="7"/>
  <c r="U61" i="7" l="1"/>
  <c r="V53" i="7"/>
  <c r="U53" i="7" l="1"/>
  <c r="V59" i="7" l="1"/>
  <c r="V62" i="7" s="1"/>
  <c r="U59" i="7" l="1"/>
  <c r="S28" i="7" l="1"/>
  <c r="S40" i="7" s="1"/>
  <c r="T40" i="7" l="1"/>
  <c r="T66" i="7" l="1"/>
  <c r="S66" i="7"/>
  <c r="S68" i="7" s="1"/>
  <c r="T67" i="7" l="1"/>
  <c r="T68" i="7" s="1"/>
  <c r="U67" i="7" l="1"/>
  <c r="T73" i="7"/>
  <c r="S73" i="7"/>
  <c r="U21" i="6" l="1"/>
  <c r="AD62" i="8" l="1"/>
  <c r="AD37" i="8"/>
  <c r="AD31" i="8"/>
  <c r="AD24" i="8"/>
  <c r="Y31" i="8" l="1"/>
  <c r="Y37" i="8"/>
  <c r="Y24" i="8"/>
  <c r="Y17" i="8"/>
  <c r="Y62" i="8"/>
  <c r="AD18" i="8" l="1"/>
  <c r="Y107" i="8"/>
  <c r="Y18" i="8"/>
  <c r="Y67" i="8"/>
  <c r="Y78" i="8" l="1"/>
  <c r="Y86" i="8"/>
  <c r="Y82" i="8"/>
  <c r="Y109" i="8" l="1"/>
  <c r="Y40" i="8" l="1"/>
  <c r="Y34" i="8"/>
  <c r="Y65" i="8"/>
  <c r="Y27" i="8" l="1"/>
  <c r="Y20" i="8"/>
  <c r="Y108" i="8" s="1"/>
  <c r="Y21" i="8" l="1"/>
  <c r="W17" i="8" l="1"/>
  <c r="W107" i="8" s="1"/>
  <c r="W24" i="8"/>
  <c r="W31" i="8"/>
  <c r="W37" i="8"/>
  <c r="W62" i="8"/>
  <c r="W67" i="8" l="1"/>
  <c r="W18" i="8"/>
  <c r="W86" i="8" l="1"/>
  <c r="W82" i="8"/>
  <c r="W78" i="8"/>
  <c r="W109" i="8" l="1"/>
  <c r="W62" i="7" l="1"/>
  <c r="W65" i="8" l="1"/>
  <c r="W34" i="8" l="1"/>
  <c r="W40" i="8" l="1"/>
  <c r="W20" i="8" l="1"/>
  <c r="W108" i="8" s="1"/>
  <c r="W27" i="8"/>
  <c r="W21" i="8" l="1"/>
  <c r="AC62" i="8" l="1"/>
  <c r="Z61" i="8"/>
  <c r="X62" i="8"/>
  <c r="AC24" i="8" l="1"/>
  <c r="AC37" i="8"/>
  <c r="AC31" i="8"/>
  <c r="Z23" i="8"/>
  <c r="Z30" i="8"/>
  <c r="Z36" i="8"/>
  <c r="X17" i="8"/>
  <c r="X107" i="8" s="1"/>
  <c r="X24" i="8"/>
  <c r="X31" i="8"/>
  <c r="X37" i="8"/>
  <c r="AC18" i="8" l="1"/>
  <c r="Z17" i="8"/>
  <c r="X67" i="8"/>
  <c r="X18" i="8"/>
  <c r="Z107" i="8" l="1"/>
  <c r="Z67" i="8"/>
  <c r="X82" i="8"/>
  <c r="X86" i="8"/>
  <c r="X78" i="8"/>
  <c r="X109" i="8" l="1"/>
  <c r="Z78" i="8"/>
  <c r="Z86" i="8"/>
  <c r="Z82" i="8"/>
  <c r="Z109" i="8" l="1"/>
  <c r="Z33" i="8" l="1"/>
  <c r="Z64" i="8"/>
  <c r="X34" i="8"/>
  <c r="X40" i="8"/>
  <c r="X65" i="8"/>
  <c r="Z65" i="8" l="1"/>
  <c r="Z34" i="8"/>
  <c r="Z26" i="8" l="1"/>
  <c r="X27" i="8"/>
  <c r="X20" i="8"/>
  <c r="X108" i="8" s="1"/>
  <c r="Z27" i="8" l="1"/>
  <c r="X21" i="8"/>
  <c r="Y15" i="7" l="1"/>
  <c r="Z15" i="7" l="1"/>
  <c r="X62" i="7" l="1"/>
  <c r="X72" i="7" l="1"/>
  <c r="T35" i="6" l="1"/>
  <c r="T13" i="6" l="1"/>
  <c r="T24" i="6" s="1"/>
  <c r="T41" i="6" l="1"/>
  <c r="T50" i="6" l="1"/>
  <c r="T52" i="6" l="1"/>
  <c r="T54" i="6" l="1"/>
  <c r="T60" i="6" l="1"/>
  <c r="AA20" i="8" l="1"/>
  <c r="AA108" i="8" s="1"/>
  <c r="Z39" i="8"/>
  <c r="Z20" i="8" l="1"/>
  <c r="Z108" i="8" s="1"/>
  <c r="AA21" i="8"/>
  <c r="Z40" i="8"/>
  <c r="Z21" i="8" l="1"/>
  <c r="U62" i="7" l="1"/>
  <c r="Y28" i="7" l="1"/>
  <c r="Z12" i="7" l="1"/>
  <c r="Y62" i="7" l="1"/>
  <c r="U13" i="6" l="1"/>
  <c r="Y72" i="7"/>
  <c r="U35" i="6" l="1"/>
  <c r="U41" i="6" l="1"/>
  <c r="U24" i="6" l="1"/>
  <c r="U50" i="6" l="1"/>
  <c r="U52" i="6" l="1"/>
  <c r="U54" i="6" l="1"/>
  <c r="U60" i="6" l="1"/>
  <c r="R15" i="6"/>
  <c r="R33" i="6" l="1"/>
  <c r="V61" i="8" l="1"/>
  <c r="AA62" i="8" l="1"/>
  <c r="V62" i="8"/>
  <c r="U61" i="8"/>
  <c r="U62" i="8" l="1"/>
  <c r="Z62" i="8"/>
  <c r="V64" i="8"/>
  <c r="V23" i="8"/>
  <c r="V30" i="8"/>
  <c r="V36" i="8"/>
  <c r="AA31" i="8" l="1"/>
  <c r="V31" i="8"/>
  <c r="U30" i="8"/>
  <c r="AA24" i="8"/>
  <c r="V24" i="8"/>
  <c r="V17" i="8"/>
  <c r="V107" i="8" s="1"/>
  <c r="U23" i="8"/>
  <c r="AA37" i="8"/>
  <c r="V37" i="8"/>
  <c r="U36" i="8"/>
  <c r="V65" i="8"/>
  <c r="U64" i="8"/>
  <c r="V39" i="8"/>
  <c r="U37" i="8" l="1"/>
  <c r="Z37" i="8"/>
  <c r="U24" i="8"/>
  <c r="U17" i="8"/>
  <c r="U107" i="8" s="1"/>
  <c r="Z24" i="8"/>
  <c r="U31" i="8"/>
  <c r="Z31" i="8"/>
  <c r="V40" i="8"/>
  <c r="U39" i="8"/>
  <c r="AA18" i="8"/>
  <c r="V18" i="8"/>
  <c r="V67" i="8"/>
  <c r="U65" i="8"/>
  <c r="V26" i="8"/>
  <c r="V33" i="8" l="1"/>
  <c r="V20" i="8" s="1"/>
  <c r="V108" i="8" s="1"/>
  <c r="V82" i="8"/>
  <c r="V78" i="8"/>
  <c r="V86" i="8"/>
  <c r="U40" i="8"/>
  <c r="U26" i="8"/>
  <c r="V27" i="8"/>
  <c r="U18" i="8"/>
  <c r="Z18" i="8"/>
  <c r="U67" i="8"/>
  <c r="V109" i="8" l="1"/>
  <c r="U27" i="8"/>
  <c r="U82" i="8"/>
  <c r="U86" i="8"/>
  <c r="U78" i="8"/>
  <c r="U33" i="8"/>
  <c r="V34" i="8"/>
  <c r="V21" i="8"/>
  <c r="U20" i="8" l="1"/>
  <c r="U21" i="8" s="1"/>
  <c r="U109" i="8"/>
  <c r="U34" i="8"/>
  <c r="U108" i="8" l="1"/>
  <c r="V100" i="8"/>
  <c r="V101" i="8" l="1"/>
  <c r="V99" i="8"/>
  <c r="R20" i="6" l="1"/>
  <c r="R37" i="6"/>
  <c r="R49" i="6"/>
  <c r="R16" i="6"/>
  <c r="R21" i="6"/>
  <c r="R31" i="6"/>
  <c r="R30" i="6"/>
  <c r="R38" i="6"/>
  <c r="R10" i="6"/>
  <c r="R9" i="6"/>
  <c r="R11" i="6"/>
  <c r="R8" i="6"/>
  <c r="V72" i="12" l="1"/>
  <c r="V73" i="12" s="1"/>
  <c r="U72" i="12"/>
  <c r="U73" i="12" s="1"/>
  <c r="U72" i="7"/>
  <c r="V72" i="7"/>
  <c r="R29" i="6"/>
  <c r="R19" i="6" l="1"/>
  <c r="R47" i="6" l="1"/>
  <c r="R46" i="6" l="1"/>
  <c r="R39" i="6" l="1"/>
  <c r="R13" i="6" l="1"/>
  <c r="R18" i="6"/>
  <c r="R24" i="6" l="1"/>
  <c r="R45" i="6" l="1"/>
  <c r="V8" i="7" l="1"/>
  <c r="U8" i="7" l="1"/>
  <c r="R48" i="6" l="1"/>
  <c r="R50" i="6" l="1"/>
  <c r="R52" i="6" l="1"/>
  <c r="V28" i="7" l="1"/>
  <c r="U28" i="7" s="1"/>
  <c r="V49" i="7" l="1"/>
  <c r="U49" i="7" s="1"/>
  <c r="V19" i="7" l="1"/>
  <c r="U32" i="7" l="1"/>
  <c r="V48" i="7"/>
  <c r="V50" i="7" s="1"/>
  <c r="U19" i="7"/>
  <c r="U35" i="7"/>
  <c r="U48" i="7" l="1"/>
  <c r="U50" i="7" s="1"/>
  <c r="V38" i="7" l="1"/>
  <c r="U38" i="7" l="1"/>
  <c r="V36" i="7"/>
  <c r="V40" i="7" s="1"/>
  <c r="U36" i="7" l="1"/>
  <c r="U40" i="7" s="1"/>
  <c r="V66" i="7"/>
  <c r="U66" i="7" l="1"/>
  <c r="U68" i="7" s="1"/>
  <c r="V68" i="7" l="1"/>
  <c r="W67" i="7" s="1"/>
  <c r="U73" i="7"/>
  <c r="V73" i="7" l="1"/>
  <c r="AA67" i="7"/>
  <c r="V28" i="6" l="1"/>
  <c r="V46" i="6" l="1"/>
  <c r="V11" i="6" l="1"/>
  <c r="V18" i="6"/>
  <c r="V30" i="6"/>
  <c r="V19" i="6"/>
  <c r="V31" i="6"/>
  <c r="V39" i="6"/>
  <c r="V16" i="6"/>
  <c r="V20" i="6"/>
  <c r="V8" i="6"/>
  <c r="V10" i="6"/>
  <c r="V15" i="6"/>
  <c r="V23" i="6"/>
  <c r="V9" i="6"/>
  <c r="V33" i="6"/>
  <c r="V38" i="6"/>
  <c r="V49" i="6"/>
  <c r="AA72" i="12" l="1"/>
  <c r="AA73" i="12" s="1"/>
  <c r="Z72" i="12"/>
  <c r="Z73" i="12" s="1"/>
  <c r="AA72" i="7"/>
  <c r="Z72" i="7"/>
  <c r="V13" i="6"/>
  <c r="V24" i="6" l="1"/>
  <c r="V37" i="6" l="1"/>
  <c r="V29" i="6"/>
  <c r="V35" i="6" l="1"/>
  <c r="V41" i="6" s="1"/>
  <c r="AA8" i="7"/>
  <c r="V47" i="6" l="1"/>
  <c r="AB61" i="8" l="1"/>
  <c r="AG62" i="8" s="1"/>
  <c r="AB36" i="8"/>
  <c r="AG37" i="8" s="1"/>
  <c r="AB30" i="8"/>
  <c r="AG31" i="8" s="1"/>
  <c r="AE30" i="8" l="1"/>
  <c r="AE36" i="8"/>
  <c r="AE61" i="8"/>
  <c r="AB31" i="8"/>
  <c r="AB37" i="8"/>
  <c r="AB62" i="8"/>
  <c r="AB23" i="8"/>
  <c r="AG24" i="8" s="1"/>
  <c r="AE37" i="8" l="1"/>
  <c r="AE31" i="8"/>
  <c r="AE62" i="8"/>
  <c r="AE23" i="8"/>
  <c r="AB17" i="8"/>
  <c r="AB24" i="8"/>
  <c r="AG18" i="8" l="1"/>
  <c r="AE17" i="8"/>
  <c r="AE24" i="8"/>
  <c r="AB107" i="8"/>
  <c r="AB67" i="8"/>
  <c r="AB18" i="8"/>
  <c r="AE18" i="8" l="1"/>
  <c r="AE67" i="8"/>
  <c r="AB86" i="8"/>
  <c r="AB82" i="8"/>
  <c r="AB78" i="8"/>
  <c r="AE82" i="8" l="1"/>
  <c r="AE86" i="8"/>
  <c r="AE78" i="8"/>
  <c r="AB109" i="8"/>
  <c r="AE109" i="8" l="1"/>
  <c r="AB64" i="8"/>
  <c r="AB39" i="8"/>
  <c r="AE39" i="8" l="1"/>
  <c r="AE64" i="8"/>
  <c r="AB40" i="8"/>
  <c r="AB65" i="8"/>
  <c r="AB33" i="8"/>
  <c r="AE65" i="8" l="1"/>
  <c r="AE40" i="8"/>
  <c r="AE33" i="8"/>
  <c r="AB34" i="8"/>
  <c r="AB26" i="8"/>
  <c r="AE34" i="8" l="1"/>
  <c r="AE26" i="8"/>
  <c r="AB27" i="8"/>
  <c r="AB20" i="8"/>
  <c r="AE27" i="8" l="1"/>
  <c r="AE20" i="8"/>
  <c r="AB108" i="8"/>
  <c r="AB21" i="8"/>
  <c r="AE21" i="8" l="1"/>
  <c r="W50" i="7" l="1"/>
  <c r="Z23" i="7" l="1"/>
  <c r="Y50" i="7"/>
  <c r="Z45" i="7"/>
  <c r="Z47" i="7"/>
  <c r="X50" i="7"/>
  <c r="W40" i="7" l="1"/>
  <c r="X40" i="7" l="1"/>
  <c r="X66" i="7" s="1"/>
  <c r="W66" i="7"/>
  <c r="W68" i="7" s="1"/>
  <c r="Y40" i="7" l="1"/>
  <c r="Z8" i="7"/>
  <c r="X67" i="7"/>
  <c r="Y66" i="7" l="1"/>
  <c r="X68" i="7"/>
  <c r="Y67" i="7" l="1"/>
  <c r="X73" i="7"/>
  <c r="Y68" i="7" l="1"/>
  <c r="Z67" i="7" l="1"/>
  <c r="Y73" i="7"/>
  <c r="W72" i="7" l="1"/>
  <c r="W73" i="7" s="1"/>
  <c r="S35" i="6" l="1"/>
  <c r="S13" i="6" l="1"/>
  <c r="S41" i="6" l="1"/>
  <c r="S24" i="6" l="1"/>
  <c r="S50" i="6" l="1"/>
  <c r="S52" i="6" l="1"/>
  <c r="S54" i="6" l="1"/>
  <c r="S60" i="6" s="1"/>
  <c r="R35" i="6" l="1"/>
  <c r="R41" i="6" l="1"/>
  <c r="R54" i="6" l="1"/>
  <c r="R60" i="6" l="1"/>
  <c r="AA21" i="7" l="1"/>
  <c r="Z21" i="7" s="1"/>
  <c r="AA13" i="7" l="1"/>
  <c r="Z13" i="7" s="1"/>
  <c r="AA10" i="7"/>
  <c r="Z10" i="7" l="1"/>
  <c r="AA60" i="7" l="1"/>
  <c r="Z60" i="7" s="1"/>
  <c r="AA61" i="7"/>
  <c r="Z61" i="7" s="1"/>
  <c r="AA59" i="7"/>
  <c r="Z59" i="7" s="1"/>
  <c r="AA53" i="7"/>
  <c r="AA49" i="7"/>
  <c r="Z49" i="7" s="1"/>
  <c r="AA44" i="7"/>
  <c r="Z44" i="7" s="1"/>
  <c r="AA25" i="7"/>
  <c r="Z25" i="7" s="1"/>
  <c r="AA20" i="7"/>
  <c r="Z20" i="7" s="1"/>
  <c r="Z53" i="7" l="1"/>
  <c r="AA100" i="8" l="1"/>
  <c r="AA101" i="8" l="1"/>
  <c r="AA99" i="8"/>
  <c r="AA54" i="7" l="1"/>
  <c r="Z54" i="7" l="1"/>
  <c r="AA19" i="7"/>
  <c r="AA64" i="7"/>
  <c r="Z64" i="7" s="1"/>
  <c r="Z19" i="7" l="1"/>
  <c r="Z32" i="7"/>
  <c r="AA58" i="7" l="1"/>
  <c r="AA34" i="7"/>
  <c r="Z34" i="7" s="1"/>
  <c r="AA31" i="7"/>
  <c r="Z31" i="7" s="1"/>
  <c r="AA43" i="7"/>
  <c r="Z43" i="7" s="1"/>
  <c r="Z58" i="7" l="1"/>
  <c r="AA62" i="7"/>
  <c r="Z62" i="7" l="1"/>
  <c r="AA48" i="7" l="1"/>
  <c r="Z48" i="7" s="1"/>
  <c r="AA26" i="7" l="1"/>
  <c r="Z26" i="7" l="1"/>
  <c r="AA27" i="7" l="1"/>
  <c r="Z27" i="7" l="1"/>
  <c r="Z35" i="7" l="1"/>
  <c r="AA46" i="7" l="1"/>
  <c r="AA50" i="7" l="1"/>
  <c r="Z46" i="7"/>
  <c r="Z50" i="7" l="1"/>
  <c r="AA38" i="7" l="1"/>
  <c r="Z38" i="7" l="1"/>
  <c r="AA36" i="7" l="1"/>
  <c r="Z36" i="7" l="1"/>
  <c r="V48" i="6" l="1"/>
  <c r="V45" i="6"/>
  <c r="V50" i="6" l="1"/>
  <c r="V52" i="6" l="1"/>
  <c r="V54" i="6" l="1"/>
  <c r="V60" i="6" l="1"/>
  <c r="AB13" i="7" l="1"/>
  <c r="AC13" i="7" l="1"/>
  <c r="AB60" i="7"/>
  <c r="AB59" i="7"/>
  <c r="AB61" i="7"/>
  <c r="AB54" i="7"/>
  <c r="AB53" i="7"/>
  <c r="AB58" i="7"/>
  <c r="AB49" i="7"/>
  <c r="AB48" i="7"/>
  <c r="AB46" i="7"/>
  <c r="AB44" i="7"/>
  <c r="AB43" i="7"/>
  <c r="AB34" i="7"/>
  <c r="AB31" i="7"/>
  <c r="AB12" i="7"/>
  <c r="AB25" i="7"/>
  <c r="AB21" i="7"/>
  <c r="AB19" i="7"/>
  <c r="AB20" i="7"/>
  <c r="AB10" i="7"/>
  <c r="AC20" i="7" l="1"/>
  <c r="AC53" i="7"/>
  <c r="AC54" i="7"/>
  <c r="AC61" i="7"/>
  <c r="AC10" i="7"/>
  <c r="AC34" i="7"/>
  <c r="AC25" i="7"/>
  <c r="AC44" i="7"/>
  <c r="AC59" i="7"/>
  <c r="AC21" i="7"/>
  <c r="AC43" i="7"/>
  <c r="AC12" i="7"/>
  <c r="AC46" i="7"/>
  <c r="AC19" i="7"/>
  <c r="AC31" i="7"/>
  <c r="AC48" i="7"/>
  <c r="AC58" i="7"/>
  <c r="AC49" i="7"/>
  <c r="AB50" i="7"/>
  <c r="AB62" i="7"/>
  <c r="AB64" i="7"/>
  <c r="AI11" i="7" l="1"/>
  <c r="AI18" i="7"/>
  <c r="AC50" i="7"/>
  <c r="AB27" i="7"/>
  <c r="AB38" i="7" l="1"/>
  <c r="AB36" i="7" l="1"/>
  <c r="AC36" i="7" l="1"/>
  <c r="W28" i="6" l="1"/>
  <c r="AB8" i="7" l="1"/>
  <c r="W33" i="6" l="1"/>
  <c r="W23" i="6" l="1"/>
  <c r="W49" i="6"/>
  <c r="W30" i="6"/>
  <c r="W29" i="6"/>
  <c r="W20" i="6"/>
  <c r="W15" i="6"/>
  <c r="W9" i="6"/>
  <c r="W31" i="6"/>
  <c r="W11" i="6" l="1"/>
  <c r="W16" i="6"/>
  <c r="W38" i="6"/>
  <c r="W10" i="6"/>
  <c r="W37" i="6"/>
  <c r="W8" i="6" l="1"/>
  <c r="AB72" i="12" s="1"/>
  <c r="AB73" i="12" s="1"/>
  <c r="AB72" i="7" l="1"/>
  <c r="W19" i="6"/>
  <c r="W46" i="6" l="1"/>
  <c r="W39" i="6" l="1"/>
  <c r="W18" i="6" l="1"/>
  <c r="W40" i="6" l="1"/>
  <c r="W12" i="6" l="1"/>
  <c r="W13" i="6" l="1"/>
  <c r="W47" i="6"/>
  <c r="W24" i="6" l="1"/>
  <c r="W35" i="6" l="1"/>
  <c r="W45" i="6"/>
  <c r="W41" i="6" l="1"/>
  <c r="W48" i="6"/>
  <c r="W50" i="6" l="1"/>
  <c r="AB28" i="7"/>
  <c r="AB40" i="7" s="1"/>
  <c r="W52" i="6" l="1"/>
  <c r="AB66" i="7" l="1"/>
  <c r="W54" i="6"/>
  <c r="X40" i="6"/>
  <c r="W60" i="6" l="1"/>
  <c r="X33" i="6"/>
  <c r="X16" i="6" l="1"/>
  <c r="X23" i="6"/>
  <c r="X49" i="6"/>
  <c r="X30" i="6"/>
  <c r="X29" i="6"/>
  <c r="X15" i="6"/>
  <c r="X11" i="6"/>
  <c r="X31" i="6"/>
  <c r="X20" i="6" l="1"/>
  <c r="X8" i="6"/>
  <c r="X10" i="6"/>
  <c r="X37" i="6"/>
  <c r="AC72" i="12" l="1"/>
  <c r="AC73" i="12" s="1"/>
  <c r="AC72" i="7"/>
  <c r="X28" i="6"/>
  <c r="X9" i="6" l="1"/>
  <c r="X19" i="6" l="1"/>
  <c r="X46" i="6" l="1"/>
  <c r="X18" i="6" l="1"/>
  <c r="X35" i="6" l="1"/>
  <c r="X41" i="6" l="1"/>
  <c r="X12" i="6" l="1"/>
  <c r="X13" i="6" l="1"/>
  <c r="X47" i="6"/>
  <c r="X24" i="6" l="1"/>
  <c r="Y33" i="6" l="1"/>
  <c r="Y38" i="6" l="1"/>
  <c r="Y16" i="6"/>
  <c r="Y23" i="6"/>
  <c r="Y49" i="6"/>
  <c r="Y30" i="6"/>
  <c r="Y15" i="6"/>
  <c r="Y11" i="6"/>
  <c r="Y31" i="6"/>
  <c r="Y8" i="6" l="1"/>
  <c r="Y10" i="6"/>
  <c r="AD72" i="12" l="1"/>
  <c r="AD73" i="12" s="1"/>
  <c r="AD72" i="7"/>
  <c r="Y28" i="6"/>
  <c r="Y20" i="6"/>
  <c r="Y9" i="6" l="1"/>
  <c r="Y19" i="6" l="1"/>
  <c r="Y47" i="6" l="1"/>
  <c r="Y46" i="6" l="1"/>
  <c r="Y40" i="6" l="1"/>
  <c r="Y12" i="6" l="1"/>
  <c r="Y13" i="6" l="1"/>
  <c r="Y39" i="6"/>
  <c r="Y18" i="6" l="1"/>
  <c r="Y24" i="6" l="1"/>
  <c r="Y29" i="6" l="1"/>
  <c r="Y35" i="6" l="1"/>
  <c r="Y37" i="6"/>
  <c r="Y41" i="6" l="1"/>
  <c r="AC38" i="7"/>
  <c r="AC64" i="7" l="1"/>
  <c r="AC100" i="8" l="1"/>
  <c r="AC99" i="8"/>
  <c r="AC101" i="8"/>
  <c r="AC8" i="7" l="1"/>
  <c r="AD8" i="7" l="1"/>
  <c r="AC60" i="7"/>
  <c r="AC62" i="7" l="1"/>
  <c r="AC27" i="7" l="1"/>
  <c r="AC28" i="7" l="1"/>
  <c r="AD28" i="7" s="1"/>
  <c r="AE28" i="7" s="1"/>
  <c r="AC40" i="7" l="1"/>
  <c r="AC66" i="7" l="1"/>
  <c r="AA28" i="7"/>
  <c r="Z28" i="7" l="1"/>
  <c r="AA40" i="7"/>
  <c r="AA66" i="7" s="1"/>
  <c r="AA68" i="7" s="1"/>
  <c r="Z40" i="7" l="1"/>
  <c r="Z66" i="7" s="1"/>
  <c r="AA73" i="7"/>
  <c r="AF67" i="7"/>
  <c r="AB67" i="7"/>
  <c r="AB68" i="7" s="1"/>
  <c r="AC67" i="7" s="1"/>
  <c r="AB73" i="7" l="1"/>
  <c r="AC68" i="7"/>
  <c r="Z68" i="7"/>
  <c r="AC73" i="7" l="1"/>
  <c r="AD67" i="7"/>
  <c r="Z73" i="7"/>
  <c r="AB36" i="10" l="1"/>
  <c r="AB20" i="10" l="1"/>
  <c r="AB43" i="10" l="1"/>
  <c r="AB37" i="10"/>
  <c r="AB8" i="10"/>
  <c r="AB17" i="10"/>
  <c r="AB23" i="10"/>
  <c r="AB12" i="10"/>
  <c r="AB22" i="11" l="1"/>
  <c r="AC107" i="8"/>
  <c r="AB21" i="10"/>
  <c r="AB10" i="10"/>
  <c r="AB24" i="10"/>
  <c r="AB29" i="10"/>
  <c r="AB27" i="10"/>
  <c r="AB13" i="10"/>
  <c r="AB9" i="10"/>
  <c r="AB18" i="10"/>
  <c r="AC108" i="8" l="1"/>
  <c r="AB31" i="10"/>
  <c r="AB40" i="10" s="1"/>
  <c r="AB14" i="10"/>
  <c r="AB34" i="10" l="1"/>
  <c r="AB33" i="10"/>
  <c r="AB32" i="10"/>
  <c r="AB9" i="11"/>
  <c r="AB16" i="11" s="1"/>
  <c r="AB42" i="10"/>
  <c r="AB45" i="10" s="1"/>
  <c r="AB34" i="11" l="1"/>
  <c r="AB21" i="11"/>
  <c r="AB29" i="11" s="1"/>
  <c r="AB56" i="11"/>
  <c r="AB17" i="11"/>
  <c r="AB19" i="11"/>
  <c r="AB18" i="11"/>
  <c r="AB46" i="10"/>
  <c r="AB48" i="10"/>
  <c r="AB47" i="10"/>
  <c r="AB51" i="10"/>
  <c r="AB50" i="10"/>
  <c r="AB30" i="11" l="1"/>
  <c r="AB32" i="11"/>
  <c r="AB31" i="11"/>
  <c r="AB59" i="11"/>
  <c r="AB57" i="11"/>
  <c r="AD64" i="7" l="1"/>
  <c r="AD60" i="7"/>
  <c r="AD59" i="7"/>
  <c r="AD61" i="7"/>
  <c r="AD55" i="7"/>
  <c r="AD54" i="7"/>
  <c r="AD53" i="7"/>
  <c r="AD58" i="7"/>
  <c r="AD49" i="7"/>
  <c r="AD48" i="7"/>
  <c r="AD46" i="7"/>
  <c r="AD45" i="7"/>
  <c r="AD44" i="7"/>
  <c r="AD43" i="7"/>
  <c r="AD34" i="7"/>
  <c r="AD36" i="7"/>
  <c r="AD31" i="7"/>
  <c r="AD12" i="7"/>
  <c r="AD26" i="7"/>
  <c r="AD25" i="7"/>
  <c r="AD21" i="7"/>
  <c r="AD19" i="7"/>
  <c r="AD20" i="7"/>
  <c r="AD13" i="7"/>
  <c r="AD10" i="7"/>
  <c r="AE12" i="7" l="1"/>
  <c r="AD62" i="7"/>
  <c r="AD50" i="7"/>
  <c r="AC37" i="10" l="1"/>
  <c r="AC8" i="10" l="1"/>
  <c r="AC23" i="10"/>
  <c r="AC43" i="10"/>
  <c r="AC22" i="11" l="1"/>
  <c r="AC24" i="10"/>
  <c r="AD107" i="8"/>
  <c r="AC10" i="10"/>
  <c r="AC27" i="10"/>
  <c r="AC9" i="10"/>
  <c r="AC12" i="10"/>
  <c r="AC20" i="10"/>
  <c r="AC13" i="10" l="1"/>
  <c r="AC21" i="10"/>
  <c r="AC36" i="10"/>
  <c r="AC17" i="10"/>
  <c r="AD108" i="8" l="1"/>
  <c r="AC14" i="10"/>
  <c r="AC29" i="10"/>
  <c r="AC18" i="10"/>
  <c r="AC31" i="10" l="1"/>
  <c r="AC33" i="10" s="1"/>
  <c r="AC32" i="10" l="1"/>
  <c r="AC40" i="10"/>
  <c r="AC9" i="11"/>
  <c r="AC34" i="10"/>
  <c r="AC42" i="10"/>
  <c r="AC45" i="10" l="1"/>
  <c r="AC21" i="11"/>
  <c r="AC16" i="11"/>
  <c r="AC46" i="10" l="1"/>
  <c r="AC47" i="10"/>
  <c r="AC48" i="10"/>
  <c r="AC50" i="10"/>
  <c r="AC51" i="10"/>
  <c r="AC19" i="11"/>
  <c r="AC18" i="11"/>
  <c r="AC17" i="11"/>
  <c r="AC29" i="11"/>
  <c r="AC34" i="11"/>
  <c r="AD38" i="7"/>
  <c r="AC56" i="11" l="1"/>
  <c r="AC30" i="11"/>
  <c r="AC31" i="11"/>
  <c r="AC32" i="11"/>
  <c r="AC59" i="11" l="1"/>
  <c r="AC57" i="11"/>
  <c r="AD27" i="7"/>
  <c r="AD40" i="7" s="1"/>
  <c r="AC61" i="11" l="1"/>
  <c r="AC60" i="11"/>
  <c r="X45" i="6"/>
  <c r="AD66" i="7" l="1"/>
  <c r="AD68" i="7" s="1"/>
  <c r="AE67" i="7" s="1"/>
  <c r="X48" i="6"/>
  <c r="AD73" i="7" l="1"/>
  <c r="X50" i="6"/>
  <c r="X52" i="6" l="1"/>
  <c r="X54" i="6" l="1"/>
  <c r="X60" i="6" l="1"/>
  <c r="Y45" i="6" l="1"/>
  <c r="Y48" i="6" l="1"/>
  <c r="Y50" i="6" l="1"/>
  <c r="Y52" i="6" l="1"/>
  <c r="Y54" i="6" l="1"/>
  <c r="Y60" i="6" l="1"/>
  <c r="AF60" i="7" l="1"/>
  <c r="AF59" i="7"/>
  <c r="AF54" i="7"/>
  <c r="AF53" i="7"/>
  <c r="AF58" i="7"/>
  <c r="AF46" i="7"/>
  <c r="AF45" i="7"/>
  <c r="AF44" i="7"/>
  <c r="AF43" i="7"/>
  <c r="AF34" i="7"/>
  <c r="AF31" i="7"/>
  <c r="AF25" i="7"/>
  <c r="AF26" i="7"/>
  <c r="AF21" i="7"/>
  <c r="AF19" i="7"/>
  <c r="AF20" i="7"/>
  <c r="AF13" i="7"/>
  <c r="AF10" i="7"/>
  <c r="AE26" i="7" l="1"/>
  <c r="AE45" i="7"/>
  <c r="AE58" i="7"/>
  <c r="AE25" i="7"/>
  <c r="AE31" i="7"/>
  <c r="AE20" i="7"/>
  <c r="AE54" i="7"/>
  <c r="AE44" i="7"/>
  <c r="AE46" i="7"/>
  <c r="AE10" i="7"/>
  <c r="AE32" i="7"/>
  <c r="AE13" i="7"/>
  <c r="AE19" i="7"/>
  <c r="AE34" i="7"/>
  <c r="AE59" i="7"/>
  <c r="AE21" i="7"/>
  <c r="AE60" i="7"/>
  <c r="AE53" i="7"/>
  <c r="AE43" i="7"/>
  <c r="AF55" i="7"/>
  <c r="AE36" i="10" l="1"/>
  <c r="AD36" i="10" l="1"/>
  <c r="Z28" i="6"/>
  <c r="AE43" i="10"/>
  <c r="AD43" i="10" l="1"/>
  <c r="Z20" i="6"/>
  <c r="AE10" i="11" l="1"/>
  <c r="AE36" i="11" l="1"/>
  <c r="AE23" i="11"/>
  <c r="AD10" i="11"/>
  <c r="AD23" i="11" l="1"/>
  <c r="AD36" i="11"/>
  <c r="AE37" i="10" l="1"/>
  <c r="AE23" i="10"/>
  <c r="AE20" i="10"/>
  <c r="AE17" i="10"/>
  <c r="AE12" i="10"/>
  <c r="AE8" i="10"/>
  <c r="AD12" i="10" l="1"/>
  <c r="AD37" i="10"/>
  <c r="AE21" i="10"/>
  <c r="AE27" i="10"/>
  <c r="AE13" i="10"/>
  <c r="AF107" i="8"/>
  <c r="AE10" i="10"/>
  <c r="AD8" i="10"/>
  <c r="AE18" i="10"/>
  <c r="AE29" i="10"/>
  <c r="AD17" i="10"/>
  <c r="AD20" i="10"/>
  <c r="AE22" i="11"/>
  <c r="AE24" i="10"/>
  <c r="AD23" i="10"/>
  <c r="AD21" i="10" l="1"/>
  <c r="AD24" i="10"/>
  <c r="AD18" i="10"/>
  <c r="AD29" i="10"/>
  <c r="AD27" i="10"/>
  <c r="AE107" i="8"/>
  <c r="AD9" i="10"/>
  <c r="AD10" i="10"/>
  <c r="AD13" i="10"/>
  <c r="AE14" i="10"/>
  <c r="AF108" i="8"/>
  <c r="AE31" i="10"/>
  <c r="AD22" i="11"/>
  <c r="Z49" i="6"/>
  <c r="Z46" i="6"/>
  <c r="Z40" i="6"/>
  <c r="Z38" i="6"/>
  <c r="Z39" i="6"/>
  <c r="Z33" i="6"/>
  <c r="Z31" i="6"/>
  <c r="Z30" i="6"/>
  <c r="Z23" i="6"/>
  <c r="Z19" i="6"/>
  <c r="Z18" i="6"/>
  <c r="Z16" i="6"/>
  <c r="Z15" i="6"/>
  <c r="Z11" i="6"/>
  <c r="Z10" i="6"/>
  <c r="Z9" i="6"/>
  <c r="Z8" i="6"/>
  <c r="AF72" i="12" l="1"/>
  <c r="AF73" i="12" s="1"/>
  <c r="AE72" i="12"/>
  <c r="AE73" i="12" s="1"/>
  <c r="AD14" i="10"/>
  <c r="AE108" i="8"/>
  <c r="AE72" i="7"/>
  <c r="AF72" i="7"/>
  <c r="AE34" i="10"/>
  <c r="AE9" i="11"/>
  <c r="AE40" i="10"/>
  <c r="AE33" i="10"/>
  <c r="AD31" i="10"/>
  <c r="AE21" i="11" l="1"/>
  <c r="AD9" i="11"/>
  <c r="AD34" i="10"/>
  <c r="AD33" i="10"/>
  <c r="AD32" i="10"/>
  <c r="AD40" i="10"/>
  <c r="AD21" i="11" l="1"/>
  <c r="AE11" i="11" l="1"/>
  <c r="AE35" i="11" l="1"/>
  <c r="AE24" i="11"/>
  <c r="AD11" i="11"/>
  <c r="AE16" i="11"/>
  <c r="AD16" i="11" l="1"/>
  <c r="AE17" i="11"/>
  <c r="AE19" i="11"/>
  <c r="AD24" i="11"/>
  <c r="AE29" i="11"/>
  <c r="AD35" i="11"/>
  <c r="AD29" i="11" l="1"/>
  <c r="AD30" i="11" s="1"/>
  <c r="AD17" i="11"/>
  <c r="AD18" i="11"/>
  <c r="AD19" i="11"/>
  <c r="AE30" i="11"/>
  <c r="AE32" i="11"/>
  <c r="AD31" i="11" l="1"/>
  <c r="AD32" i="11"/>
  <c r="AE42" i="10"/>
  <c r="AD42" i="10" l="1"/>
  <c r="AE45" i="10"/>
  <c r="AD45" i="10" l="1"/>
  <c r="AE34" i="11"/>
  <c r="AE50" i="10"/>
  <c r="AE46" i="10"/>
  <c r="AE51" i="10"/>
  <c r="AE48" i="10"/>
  <c r="Z12" i="6"/>
  <c r="Z13" i="6" l="1"/>
  <c r="AD46" i="10"/>
  <c r="AD51" i="10"/>
  <c r="AD50" i="10"/>
  <c r="AD47" i="10"/>
  <c r="AD48" i="10"/>
  <c r="AD34" i="11"/>
  <c r="AE56" i="11"/>
  <c r="AF8" i="7"/>
  <c r="AD56" i="11" l="1"/>
  <c r="AD59" i="11" s="1"/>
  <c r="Z24" i="6"/>
  <c r="AE8" i="7"/>
  <c r="AE59" i="11"/>
  <c r="AE57" i="11"/>
  <c r="AD57" i="11" l="1"/>
  <c r="AD60" i="11"/>
  <c r="AD61" i="11"/>
  <c r="AE61" i="11"/>
  <c r="Z47" i="6" l="1"/>
  <c r="Z37" i="6" l="1"/>
  <c r="Z29" i="6" l="1"/>
  <c r="Z35" i="6" l="1"/>
  <c r="AF36" i="7"/>
  <c r="AE36" i="7" l="1"/>
  <c r="Z41" i="6"/>
  <c r="AF49" i="7"/>
  <c r="AE49" i="7" l="1"/>
  <c r="AF48" i="7"/>
  <c r="AE48" i="7" l="1"/>
  <c r="AF50" i="7"/>
  <c r="AE50" i="7" l="1"/>
  <c r="Z45" i="6"/>
  <c r="Z48" i="6" l="1"/>
  <c r="Z50" i="6" l="1"/>
  <c r="AF61" i="7"/>
  <c r="Z52" i="6" l="1"/>
  <c r="AE61" i="7"/>
  <c r="AF62" i="7"/>
  <c r="AE62" i="7" l="1"/>
  <c r="Z54" i="6"/>
  <c r="AF38" i="7"/>
  <c r="AE38" i="7" l="1"/>
  <c r="Z60" i="6"/>
  <c r="AF64" i="7"/>
  <c r="AF27" i="7"/>
  <c r="AE64" i="7" l="1"/>
  <c r="AE27" i="7"/>
  <c r="AF40" i="7" l="1"/>
  <c r="AE35" i="7" l="1"/>
  <c r="AE40" i="7" l="1"/>
  <c r="AF66" i="7"/>
  <c r="AE66" i="7" l="1"/>
  <c r="AF68" i="7"/>
  <c r="AG67" i="7" s="1"/>
  <c r="AE68" i="7" l="1"/>
  <c r="AE73" i="7" s="1"/>
  <c r="AF73" i="7"/>
  <c r="AF54" i="10"/>
  <c r="AI24" i="7" l="1"/>
  <c r="AI22" i="7"/>
  <c r="AG15" i="7" l="1"/>
  <c r="AB49" i="6" l="1"/>
  <c r="AB47" i="6"/>
  <c r="AB46" i="6"/>
  <c r="AB40" i="6"/>
  <c r="AB38" i="6"/>
  <c r="AB37" i="6"/>
  <c r="AB33" i="6"/>
  <c r="AB31" i="6"/>
  <c r="AB30" i="6"/>
  <c r="AB29" i="6"/>
  <c r="AB28" i="6"/>
  <c r="AB23" i="6"/>
  <c r="AB19" i="6"/>
  <c r="AB20" i="6"/>
  <c r="AB16" i="6"/>
  <c r="AB15" i="6"/>
  <c r="AB11" i="6"/>
  <c r="AB10" i="6"/>
  <c r="AB9" i="6"/>
  <c r="AB8" i="6"/>
  <c r="AH72" i="7" l="1"/>
  <c r="AH72" i="12"/>
  <c r="AB32" i="6"/>
  <c r="AB35" i="6" s="1"/>
  <c r="AB12" i="6" l="1"/>
  <c r="AB13" i="6" s="1"/>
  <c r="AB39" i="6" l="1"/>
  <c r="AB41" i="6" s="1"/>
  <c r="AB18" i="6" l="1"/>
  <c r="AB24" i="6" s="1"/>
  <c r="AB45" i="6" l="1"/>
  <c r="AB48" i="6" l="1"/>
  <c r="AB50" i="6" s="1"/>
  <c r="AB52" i="6" s="1"/>
  <c r="AB54" i="6" s="1"/>
  <c r="AB60" i="6" s="1"/>
  <c r="AJ52" i="11" l="1"/>
  <c r="AJ42" i="11"/>
  <c r="AJ53" i="11" l="1"/>
  <c r="AJ38" i="11" l="1"/>
  <c r="AJ48" i="11" l="1"/>
  <c r="AJ44" i="11"/>
  <c r="AJ40" i="11"/>
  <c r="AJ45" i="11"/>
  <c r="AJ46" i="11"/>
  <c r="AJ50" i="11"/>
  <c r="AJ43" i="11"/>
  <c r="AJ49" i="11"/>
  <c r="AJ37" i="11"/>
  <c r="AJ14" i="11" l="1"/>
  <c r="AJ12" i="11"/>
  <c r="AJ47" i="11"/>
  <c r="AJ55" i="11"/>
  <c r="AJ13" i="11"/>
  <c r="AJ25" i="11"/>
  <c r="AJ39" i="11"/>
  <c r="AJ27" i="11"/>
  <c r="AJ26" i="11" l="1"/>
  <c r="AH38" i="10" l="1"/>
  <c r="AH26" i="10" l="1"/>
  <c r="AJ15" i="11"/>
  <c r="AJ54" i="11"/>
  <c r="AJ28" i="11" l="1"/>
  <c r="AJ41" i="11" l="1"/>
  <c r="AJ51" i="11"/>
  <c r="AI87" i="8" l="1"/>
  <c r="AI85" i="8" l="1"/>
  <c r="AI83" i="8"/>
  <c r="AI81" i="8"/>
  <c r="AI79" i="8"/>
  <c r="AI77" i="8"/>
  <c r="AI88" i="8"/>
  <c r="AI80" i="8"/>
  <c r="AI84" i="8" l="1"/>
  <c r="AI63" i="8" l="1"/>
  <c r="AI38" i="8" l="1"/>
  <c r="AI32" i="8"/>
  <c r="AI25" i="8"/>
  <c r="AI19" i="8"/>
  <c r="AI30" i="7" l="1"/>
  <c r="AI30" i="12"/>
  <c r="AI14" i="5" l="1"/>
  <c r="AI6" i="5" l="1"/>
  <c r="AI9" i="5" l="1"/>
  <c r="AI10" i="5"/>
  <c r="AI11" i="5"/>
  <c r="AI12" i="5"/>
  <c r="AI25" i="5" l="1"/>
  <c r="AI21" i="5"/>
  <c r="AI17" i="5"/>
  <c r="AI18" i="5" l="1"/>
  <c r="AI22" i="5"/>
  <c r="AI26" i="5" l="1"/>
  <c r="AI19" i="5" l="1"/>
  <c r="AI27" i="5"/>
  <c r="AI23" i="5"/>
  <c r="AI56" i="7" l="1"/>
  <c r="AI56" i="12"/>
  <c r="AI57" i="7" l="1"/>
  <c r="AI57" i="12"/>
  <c r="AI14" i="7" l="1"/>
  <c r="AI14" i="12"/>
  <c r="AI15" i="7" l="1"/>
  <c r="AI15" i="12"/>
  <c r="AI30" i="8" l="1"/>
  <c r="AI36" i="8"/>
  <c r="AI61" i="8" l="1"/>
  <c r="AI23" i="8"/>
  <c r="AI62" i="8" l="1"/>
  <c r="AI31" i="8"/>
  <c r="AI37" i="8"/>
  <c r="AI17" i="8"/>
  <c r="AI24" i="8" l="1"/>
  <c r="AI67" i="8"/>
  <c r="AI18" i="8" l="1"/>
  <c r="AI82" i="8"/>
  <c r="AI86" i="8"/>
  <c r="AI78" i="8"/>
  <c r="AI39" i="8" l="1"/>
  <c r="AI64" i="8"/>
  <c r="AI65" i="8" l="1"/>
  <c r="AI40" i="8"/>
  <c r="AI33" i="8"/>
  <c r="AI34" i="8" l="1"/>
  <c r="AI26" i="8"/>
  <c r="AI27" i="8" l="1"/>
  <c r="AI20" i="8"/>
  <c r="AI21" i="8" l="1"/>
  <c r="AI23" i="7" l="1"/>
  <c r="AI23" i="12"/>
  <c r="AI47" i="7" l="1"/>
  <c r="AI47" i="12"/>
  <c r="AC21" i="6" l="1"/>
  <c r="AI100" i="8" l="1"/>
  <c r="AI99" i="8"/>
  <c r="AI101" i="8"/>
  <c r="AI37" i="7" l="1"/>
  <c r="AI33" i="12" l="1"/>
  <c r="AI46" i="12"/>
  <c r="AI59" i="12"/>
  <c r="AI37" i="12"/>
  <c r="AI45" i="12"/>
  <c r="AI33" i="7"/>
  <c r="AI46" i="7"/>
  <c r="AI45" i="7"/>
  <c r="AI59" i="7"/>
  <c r="AI67" i="7" l="1"/>
  <c r="AG28" i="12" l="1"/>
  <c r="AH28" i="12" s="1"/>
  <c r="AG28" i="7" l="1"/>
  <c r="AI28" i="7" l="1"/>
  <c r="AI28" i="12"/>
  <c r="AH59" i="12" l="1"/>
  <c r="AH59" i="7"/>
  <c r="AH15" i="12" l="1"/>
  <c r="AH15" i="7"/>
  <c r="AH28" i="7" l="1"/>
  <c r="AG43" i="12" l="1"/>
  <c r="AG43" i="7"/>
  <c r="AG32" i="12" l="1"/>
  <c r="AG32" i="7"/>
  <c r="AG48" i="12"/>
  <c r="AH48" i="12" s="1"/>
  <c r="AG48" i="7"/>
  <c r="AG36" i="12"/>
  <c r="AG36" i="7"/>
  <c r="AG49" i="12"/>
  <c r="AG50" i="12" s="1"/>
  <c r="AG49" i="7"/>
  <c r="AG19" i="12"/>
  <c r="AG19" i="7"/>
  <c r="AG53" i="12"/>
  <c r="AG53" i="7"/>
  <c r="AG21" i="12"/>
  <c r="AG21" i="7"/>
  <c r="AG39" i="12"/>
  <c r="AH39" i="12" s="1"/>
  <c r="AG39" i="7"/>
  <c r="AH39" i="7" s="1"/>
  <c r="AG54" i="12"/>
  <c r="AG54" i="7"/>
  <c r="AG58" i="12"/>
  <c r="AG58" i="7"/>
  <c r="AG25" i="12"/>
  <c r="AG25" i="7"/>
  <c r="AG34" i="12"/>
  <c r="AG34" i="7"/>
  <c r="AG55" i="12"/>
  <c r="AG55" i="7"/>
  <c r="AG20" i="12"/>
  <c r="AG20" i="7"/>
  <c r="AG26" i="12"/>
  <c r="AI26" i="12" s="1"/>
  <c r="AG26" i="7"/>
  <c r="AI26" i="7" s="1"/>
  <c r="AH43" i="7"/>
  <c r="AI43" i="7"/>
  <c r="AG31" i="12"/>
  <c r="AG31" i="7"/>
  <c r="AG44" i="12"/>
  <c r="AG44" i="7"/>
  <c r="AH43" i="12"/>
  <c r="AI43" i="12"/>
  <c r="AI49" i="7" l="1"/>
  <c r="AH49" i="7"/>
  <c r="AH34" i="12"/>
  <c r="AI34" i="12"/>
  <c r="AI49" i="12"/>
  <c r="AH49" i="12"/>
  <c r="AH25" i="7"/>
  <c r="AI25" i="7"/>
  <c r="AH21" i="7"/>
  <c r="AI21" i="7"/>
  <c r="AI36" i="7"/>
  <c r="AH36" i="7"/>
  <c r="AH25" i="12"/>
  <c r="AI25" i="12"/>
  <c r="AH21" i="12"/>
  <c r="AI21" i="12"/>
  <c r="AI36" i="12"/>
  <c r="AH36" i="12"/>
  <c r="AH34" i="7"/>
  <c r="AI34" i="7"/>
  <c r="AG10" i="12"/>
  <c r="AG10" i="7"/>
  <c r="AG13" i="12"/>
  <c r="AG13" i="7"/>
  <c r="AH44" i="7"/>
  <c r="AI44" i="7"/>
  <c r="AH20" i="7"/>
  <c r="AI20" i="7"/>
  <c r="AH58" i="7"/>
  <c r="AI58" i="7"/>
  <c r="AH53" i="7"/>
  <c r="AI53" i="7"/>
  <c r="AG50" i="7"/>
  <c r="AI50" i="7" s="1"/>
  <c r="AI48" i="7"/>
  <c r="AH48" i="7"/>
  <c r="AH50" i="7" s="1"/>
  <c r="AH44" i="12"/>
  <c r="AI44" i="12"/>
  <c r="AH58" i="12"/>
  <c r="AI58" i="12"/>
  <c r="AH31" i="7"/>
  <c r="AI31" i="7"/>
  <c r="AH55" i="7"/>
  <c r="AI55" i="7"/>
  <c r="AH54" i="7"/>
  <c r="AI54" i="7"/>
  <c r="AH19" i="7"/>
  <c r="AI19" i="7"/>
  <c r="AH32" i="7"/>
  <c r="AI32" i="7"/>
  <c r="AH20" i="12"/>
  <c r="AI20" i="12"/>
  <c r="AH53" i="12"/>
  <c r="AI53" i="12"/>
  <c r="AH31" i="12"/>
  <c r="AI31" i="12"/>
  <c r="AH55" i="12"/>
  <c r="AI55" i="12"/>
  <c r="AH54" i="12"/>
  <c r="AI54" i="12"/>
  <c r="AH19" i="12"/>
  <c r="AI19" i="12"/>
  <c r="AH32" i="12"/>
  <c r="AI32" i="12"/>
  <c r="AH50" i="12" l="1"/>
  <c r="AH13" i="12"/>
  <c r="AI13" i="12"/>
  <c r="AH10" i="7"/>
  <c r="AI10" i="7"/>
  <c r="AH13" i="7"/>
  <c r="AI13" i="7"/>
  <c r="AH10" i="12"/>
  <c r="AI10" i="12"/>
  <c r="AG12" i="12" l="1"/>
  <c r="AI12" i="12" s="1"/>
  <c r="AG12" i="7"/>
  <c r="AI12" i="7" s="1"/>
  <c r="AF10" i="11" l="1"/>
  <c r="AF36" i="11" l="1"/>
  <c r="AJ36" i="11" s="1"/>
  <c r="AF23" i="11"/>
  <c r="AJ23" i="11" s="1"/>
  <c r="AJ10" i="11"/>
  <c r="AA20" i="6" l="1"/>
  <c r="AC20" i="6" s="1"/>
  <c r="AF12" i="10"/>
  <c r="AH12" i="10" s="1"/>
  <c r="AF8" i="10"/>
  <c r="AA47" i="6"/>
  <c r="AC47" i="6" s="1"/>
  <c r="AF27" i="10" l="1"/>
  <c r="AH27" i="10" s="1"/>
  <c r="AF9" i="10"/>
  <c r="AH9" i="10" s="1"/>
  <c r="AF13" i="10"/>
  <c r="AG107" i="8"/>
  <c r="AF10" i="10"/>
  <c r="AH10" i="10" s="1"/>
  <c r="AH8" i="10"/>
  <c r="AF14" i="10" l="1"/>
  <c r="AH14" i="10" s="1"/>
  <c r="AG108" i="8"/>
  <c r="AH13" i="10"/>
  <c r="AF43" i="10" l="1"/>
  <c r="AH43" i="10" s="1"/>
  <c r="AF42" i="10"/>
  <c r="AH42" i="10" s="1"/>
  <c r="AF37" i="10"/>
  <c r="AH37" i="10" s="1"/>
  <c r="AF36" i="10"/>
  <c r="AH36" i="10" s="1"/>
  <c r="AF23" i="10"/>
  <c r="AF20" i="10"/>
  <c r="AF17" i="10"/>
  <c r="AF24" i="10" l="1"/>
  <c r="AH24" i="10" s="1"/>
  <c r="AF22" i="11"/>
  <c r="AJ22" i="11" s="1"/>
  <c r="AH23" i="10"/>
  <c r="AF18" i="10"/>
  <c r="AH18" i="10" s="1"/>
  <c r="AF29" i="10"/>
  <c r="AH17" i="10"/>
  <c r="AF21" i="10"/>
  <c r="AH21" i="10" s="1"/>
  <c r="AH20" i="10"/>
  <c r="AA28" i="6"/>
  <c r="AC28" i="6" s="1"/>
  <c r="AA46" i="6"/>
  <c r="AC46" i="6" s="1"/>
  <c r="AA40" i="6"/>
  <c r="AC40" i="6" s="1"/>
  <c r="AA38" i="6"/>
  <c r="AC38" i="6" s="1"/>
  <c r="AA39" i="6"/>
  <c r="AC39" i="6" s="1"/>
  <c r="AA37" i="6"/>
  <c r="AC37" i="6" s="1"/>
  <c r="AA33" i="6"/>
  <c r="AC33" i="6" s="1"/>
  <c r="AA31" i="6"/>
  <c r="AC31" i="6" s="1"/>
  <c r="AA30" i="6"/>
  <c r="AC30" i="6" s="1"/>
  <c r="AA29" i="6"/>
  <c r="AC29" i="6" s="1"/>
  <c r="AA23" i="6"/>
  <c r="AC23" i="6" s="1"/>
  <c r="AA19" i="6"/>
  <c r="AC19" i="6" s="1"/>
  <c r="AA18" i="6"/>
  <c r="AC18" i="6" s="1"/>
  <c r="AA22" i="6"/>
  <c r="AC22" i="6" s="1"/>
  <c r="AA16" i="6"/>
  <c r="AC16" i="6" s="1"/>
  <c r="AA15" i="6"/>
  <c r="AC15" i="6" s="1"/>
  <c r="AA11" i="6"/>
  <c r="AC11" i="6" s="1"/>
  <c r="AA10" i="6"/>
  <c r="AC10" i="6" s="1"/>
  <c r="AA9" i="6"/>
  <c r="AC9" i="6" s="1"/>
  <c r="AA8" i="6"/>
  <c r="AF31" i="10" l="1"/>
  <c r="AH29" i="10"/>
  <c r="AG72" i="7"/>
  <c r="AG72" i="12"/>
  <c r="AC8" i="6"/>
  <c r="AF9" i="11" l="1"/>
  <c r="AF32" i="10"/>
  <c r="AH32" i="10" s="1"/>
  <c r="AF40" i="10"/>
  <c r="AF34" i="10"/>
  <c r="AH34" i="10" s="1"/>
  <c r="AF33" i="10"/>
  <c r="AH33" i="10" s="1"/>
  <c r="AH31" i="10"/>
  <c r="AA12" i="6"/>
  <c r="AA13" i="6" l="1"/>
  <c r="AC12" i="6"/>
  <c r="AF45" i="10"/>
  <c r="AH40" i="10"/>
  <c r="AF21" i="11"/>
  <c r="AJ21" i="11" s="1"/>
  <c r="AJ9" i="11"/>
  <c r="AF46" i="10" l="1"/>
  <c r="AH46" i="10" s="1"/>
  <c r="AF51" i="10"/>
  <c r="AH51" i="10" s="1"/>
  <c r="AF47" i="10"/>
  <c r="AH47" i="10" s="1"/>
  <c r="AF48" i="10"/>
  <c r="AH48" i="10" s="1"/>
  <c r="AF34" i="11"/>
  <c r="AF50" i="10"/>
  <c r="AH50" i="10" s="1"/>
  <c r="AH45" i="10"/>
  <c r="AA24" i="6"/>
  <c r="AC24" i="6" s="1"/>
  <c r="AC13" i="6"/>
  <c r="AJ34" i="11" l="1"/>
  <c r="AF11" i="11" l="1"/>
  <c r="AF24" i="11" l="1"/>
  <c r="AF35" i="11"/>
  <c r="AJ11" i="11"/>
  <c r="AF16" i="11"/>
  <c r="AF17" i="11" l="1"/>
  <c r="AJ17" i="11" s="1"/>
  <c r="AF18" i="11"/>
  <c r="AJ18" i="11" s="1"/>
  <c r="AF19" i="11"/>
  <c r="AJ19" i="11" s="1"/>
  <c r="AJ16" i="11"/>
  <c r="AJ35" i="11"/>
  <c r="AF56" i="11"/>
  <c r="AF29" i="11"/>
  <c r="AJ24" i="11"/>
  <c r="AF32" i="11" l="1"/>
  <c r="AJ32" i="11" s="1"/>
  <c r="AF30" i="11"/>
  <c r="AJ30" i="11" s="1"/>
  <c r="AF31" i="11"/>
  <c r="AJ31" i="11" s="1"/>
  <c r="AJ29" i="11"/>
  <c r="AF57" i="11"/>
  <c r="AJ57" i="11" s="1"/>
  <c r="AF59" i="11"/>
  <c r="AJ56" i="11"/>
  <c r="AF60" i="11" l="1"/>
  <c r="AJ60" i="11" s="1"/>
  <c r="AF61" i="11"/>
  <c r="AJ61" i="11" s="1"/>
  <c r="AJ59" i="11"/>
  <c r="AG8" i="12" l="1"/>
  <c r="AG8" i="7"/>
  <c r="AH8" i="7" l="1"/>
  <c r="AI8" i="7"/>
  <c r="AH8" i="12"/>
  <c r="AI8" i="12"/>
  <c r="AA49" i="6" l="1"/>
  <c r="AC49" i="6" s="1"/>
  <c r="AA32" i="6"/>
  <c r="AA35" i="6" l="1"/>
  <c r="AC32" i="6"/>
  <c r="AA41" i="6" l="1"/>
  <c r="AC41" i="6" s="1"/>
  <c r="AC35" i="6"/>
  <c r="AG60" i="12" l="1"/>
  <c r="AG60" i="7"/>
  <c r="AI60" i="7" l="1"/>
  <c r="AH60" i="7"/>
  <c r="AI60" i="12"/>
  <c r="AH60" i="12"/>
  <c r="AG61" i="12" l="1"/>
  <c r="AG61" i="7"/>
  <c r="AG62" i="7" l="1"/>
  <c r="AI62" i="7" s="1"/>
  <c r="AI61" i="7"/>
  <c r="AH61" i="7"/>
  <c r="AH62" i="7" s="1"/>
  <c r="AG62" i="12"/>
  <c r="AI62" i="12" s="1"/>
  <c r="AI61" i="12"/>
  <c r="AH61" i="12"/>
  <c r="AH62" i="12" s="1"/>
  <c r="AG38" i="12" l="1"/>
  <c r="AG38" i="7"/>
  <c r="AI38" i="7" l="1"/>
  <c r="AH38" i="7"/>
  <c r="AI38" i="12"/>
  <c r="AH38" i="12"/>
  <c r="AG64" i="12" l="1"/>
  <c r="AH64" i="12" s="1"/>
  <c r="AG64" i="7"/>
  <c r="AI64" i="7" l="1"/>
  <c r="AH64" i="7"/>
  <c r="AG27" i="7" l="1"/>
  <c r="AG27" i="12"/>
  <c r="AI27" i="12" l="1"/>
  <c r="AH27" i="12"/>
  <c r="AI27" i="7"/>
  <c r="AH27" i="7"/>
  <c r="AG35" i="12" l="1"/>
  <c r="AG35" i="7"/>
  <c r="AH35" i="7" l="1"/>
  <c r="AH40" i="7" s="1"/>
  <c r="AH66" i="7" s="1"/>
  <c r="AI35" i="7"/>
  <c r="AG40" i="7"/>
  <c r="AH35" i="12"/>
  <c r="AH40" i="12" s="1"/>
  <c r="AH66" i="12" s="1"/>
  <c r="AI35" i="12"/>
  <c r="AG40" i="12"/>
  <c r="AG66" i="12" l="1"/>
  <c r="AG68" i="12" s="1"/>
  <c r="AI40" i="12"/>
  <c r="AG66" i="7"/>
  <c r="AI40" i="7"/>
  <c r="AG68" i="7" l="1"/>
  <c r="AI66" i="7"/>
  <c r="AG73" i="12"/>
  <c r="AH67" i="12"/>
  <c r="AH68" i="12" s="1"/>
  <c r="AH73" i="12" s="1"/>
  <c r="AH67" i="7" l="1"/>
  <c r="AH68" i="7" s="1"/>
  <c r="AH73" i="7" s="1"/>
  <c r="AG73" i="7"/>
  <c r="AI68" i="7"/>
  <c r="AA45" i="6" l="1"/>
  <c r="AC45" i="6" s="1"/>
  <c r="AA48" i="6" l="1"/>
  <c r="AA50" i="6" l="1"/>
  <c r="AC48" i="6"/>
  <c r="AA52" i="6" l="1"/>
  <c r="AC50" i="6"/>
  <c r="AA54" i="6" l="1"/>
  <c r="AC52" i="6"/>
  <c r="AA60" i="6" l="1"/>
  <c r="AC54" i="6"/>
  <c r="AG10" i="11" l="1"/>
  <c r="AG36" i="11" l="1"/>
  <c r="AG23" i="11"/>
  <c r="AH23" i="11" s="1"/>
  <c r="AI36" i="11" l="1"/>
  <c r="AH36" i="11"/>
  <c r="AG12" i="10" l="1"/>
  <c r="AG8" i="10"/>
  <c r="AG42" i="10"/>
  <c r="AG17" i="10"/>
  <c r="AG43" i="10"/>
  <c r="AG36" i="10"/>
  <c r="AG23" i="10"/>
  <c r="AG37" i="10"/>
  <c r="AG20" i="10"/>
  <c r="AG21" i="10" l="1"/>
  <c r="AG29" i="10"/>
  <c r="AG18" i="10"/>
  <c r="AG22" i="11"/>
  <c r="AH22" i="11" s="1"/>
  <c r="AG24" i="10"/>
  <c r="AH107" i="8"/>
  <c r="AG13" i="10"/>
  <c r="AG9" i="10"/>
  <c r="AG10" i="10"/>
  <c r="AG27" i="10"/>
  <c r="AH108" i="8" l="1"/>
  <c r="AG14" i="10"/>
  <c r="AG31" i="10"/>
  <c r="AG32" i="10" l="1"/>
  <c r="AG40" i="10"/>
  <c r="AG45" i="10" s="1"/>
  <c r="AG33" i="10"/>
  <c r="AG34" i="10"/>
  <c r="AG9" i="11"/>
  <c r="AG21" i="11" l="1"/>
  <c r="AG34" i="11"/>
  <c r="AG50" i="10"/>
  <c r="AG46" i="10"/>
  <c r="AG51" i="10"/>
  <c r="AG47" i="10"/>
  <c r="AG48" i="10"/>
  <c r="AH34" i="11" l="1"/>
  <c r="AI34" i="11"/>
  <c r="AG11" i="11" l="1"/>
  <c r="AG35" i="11" l="1"/>
  <c r="AG24" i="11"/>
  <c r="AG29" i="11" s="1"/>
  <c r="AG16" i="11"/>
  <c r="AH24" i="11" l="1"/>
  <c r="AH16" i="11"/>
  <c r="AG17" i="11"/>
  <c r="AG19" i="11"/>
  <c r="AG18" i="11"/>
  <c r="AG30" i="11"/>
  <c r="AG32" i="11"/>
  <c r="AH29" i="11"/>
  <c r="AG31" i="11"/>
  <c r="AH35" i="11"/>
  <c r="AI35" i="11"/>
  <c r="AG56" i="11"/>
  <c r="AH56" i="11" l="1"/>
  <c r="AG57" i="11"/>
  <c r="AG59" i="11"/>
  <c r="AH59" i="11" l="1"/>
  <c r="AG61" i="11"/>
  <c r="AG60" i="11"/>
</calcChain>
</file>

<file path=xl/sharedStrings.xml><?xml version="1.0" encoding="utf-8"?>
<sst xmlns="http://schemas.openxmlformats.org/spreadsheetml/2006/main" count="683" uniqueCount="232">
  <si>
    <t>Headcount</t>
  </si>
  <si>
    <t>Revenues</t>
  </si>
  <si>
    <t>Gross profit</t>
  </si>
  <si>
    <t>General and administrative expenses</t>
  </si>
  <si>
    <t>Selling and marketing expenses</t>
  </si>
  <si>
    <t>Total operating expenses</t>
  </si>
  <si>
    <t>Q1</t>
  </si>
  <si>
    <t>Q2</t>
  </si>
  <si>
    <t>Q3</t>
  </si>
  <si>
    <t>Q4</t>
  </si>
  <si>
    <t>FY</t>
  </si>
  <si>
    <t>Income Statement</t>
  </si>
  <si>
    <t>Balance Sheet</t>
  </si>
  <si>
    <t>Foreign Exchange Gain / (Loss)</t>
  </si>
  <si>
    <t>Assets</t>
  </si>
  <si>
    <t>Current assets:</t>
  </si>
  <si>
    <t>Restricted cash</t>
  </si>
  <si>
    <t>Accounts receivable</t>
  </si>
  <si>
    <t/>
  </si>
  <si>
    <t>Goodwill</t>
  </si>
  <si>
    <t>Current liabilities:</t>
  </si>
  <si>
    <t>Accounts payable</t>
  </si>
  <si>
    <t>Deferred revenue</t>
  </si>
  <si>
    <t>Accrued employee cost</t>
  </si>
  <si>
    <t>Total current liabilities</t>
  </si>
  <si>
    <t>Additional paid-in capital</t>
  </si>
  <si>
    <t>Other assets</t>
  </si>
  <si>
    <t>Other non-current liabilities</t>
  </si>
  <si>
    <t>Retained earnings</t>
  </si>
  <si>
    <t>Net income</t>
  </si>
  <si>
    <t>Amortization of deferred financing costs</t>
  </si>
  <si>
    <t>Non-employee stock options</t>
  </si>
  <si>
    <t>Proceeds from exercise of stock options</t>
  </si>
  <si>
    <t>Acquisition of treasury stock</t>
  </si>
  <si>
    <t>Cash Flow Statement</t>
  </si>
  <si>
    <t>Top - 3</t>
  </si>
  <si>
    <t>Top - 5</t>
  </si>
  <si>
    <t>Top - 10</t>
  </si>
  <si>
    <t>Top - 1</t>
  </si>
  <si>
    <t>Cashflow Statement</t>
  </si>
  <si>
    <t>Adjustments to reconcile net income to net cash provided by operating activities:</t>
  </si>
  <si>
    <t>GM</t>
  </si>
  <si>
    <t>Other metrics</t>
  </si>
  <si>
    <t>GM%</t>
  </si>
  <si>
    <t>Income tax (provision)/benefit</t>
  </si>
  <si>
    <t>Operating expenses</t>
  </si>
  <si>
    <t>Accrued expenses and other current liabilities</t>
  </si>
  <si>
    <t>($ in thousands)</t>
  </si>
  <si>
    <t>Gross Margin</t>
  </si>
  <si>
    <t>Operating Margin</t>
  </si>
  <si>
    <t>Change in operating assets and liabilities (net of effect of acquisitions)</t>
  </si>
  <si>
    <t>Total Liabilities</t>
  </si>
  <si>
    <t>Common Stock</t>
  </si>
  <si>
    <t>NA</t>
  </si>
  <si>
    <t>Total Revenues</t>
  </si>
  <si>
    <t>Utilities</t>
  </si>
  <si>
    <t>Banking and Financial Services</t>
  </si>
  <si>
    <t>Other</t>
  </si>
  <si>
    <t>Revenue by Geography</t>
  </si>
  <si>
    <t>United States</t>
  </si>
  <si>
    <t>United Kingdom</t>
  </si>
  <si>
    <t>Reconciliation of GAAP to Non-GAAP Measures</t>
  </si>
  <si>
    <t>Cost of revenues (exclusive of depreciation and amortization)</t>
  </si>
  <si>
    <t>Interest and other income, net</t>
  </si>
  <si>
    <t>Net income/(loss) to common stockholders</t>
  </si>
  <si>
    <t>Diluted</t>
  </si>
  <si>
    <t>Basic</t>
  </si>
  <si>
    <t>Short-term investments</t>
  </si>
  <si>
    <t>Cash and cash equivalents</t>
  </si>
  <si>
    <t>Total current assets</t>
  </si>
  <si>
    <t>Total assets</t>
  </si>
  <si>
    <t>Cash flows from operating activities</t>
  </si>
  <si>
    <t>Net cash provided by operating activities</t>
  </si>
  <si>
    <t>Cash flows from investing activities:</t>
  </si>
  <si>
    <t>Cash flows from financing activities:</t>
  </si>
  <si>
    <t>Exl Service Holdings, Inc. stockholders' equity</t>
  </si>
  <si>
    <t>Total stockholders' equity</t>
  </si>
  <si>
    <t>Noncontrolling interest</t>
  </si>
  <si>
    <t>Adjusted EBITDA</t>
  </si>
  <si>
    <t>Adjusted EBITDA Margin</t>
  </si>
  <si>
    <t>Net Income</t>
  </si>
  <si>
    <t>add: Depreciation</t>
  </si>
  <si>
    <t>subtract: Tax impact on stock compensation expense</t>
  </si>
  <si>
    <t>Accumulated other comprehensive Income/(loss)</t>
  </si>
  <si>
    <t>Sequential Growth</t>
  </si>
  <si>
    <t>Year-Over-Year Growth</t>
  </si>
  <si>
    <t>% of revenue</t>
  </si>
  <si>
    <t>Adjusted Net Income</t>
  </si>
  <si>
    <t>Adjusted Net Income Margin</t>
  </si>
  <si>
    <t>Non-controlling Interest</t>
  </si>
  <si>
    <t>Payment of debt issuance cost</t>
  </si>
  <si>
    <t>Gain on bargain purchase</t>
  </si>
  <si>
    <t>Rest of world</t>
  </si>
  <si>
    <t>U.K. pound sterling / U.S. dollar</t>
  </si>
  <si>
    <t>Philippine peso / U.S. dollar</t>
  </si>
  <si>
    <t>Indian rupee / U.S. dollar</t>
  </si>
  <si>
    <t>Exchange Rates (average of month end exchange rates)</t>
  </si>
  <si>
    <t xml:space="preserve">    Q/Q Appreciation / (Depreciation)</t>
  </si>
  <si>
    <t xml:space="preserve">    Y/Y Appreciation / (Depreciation)</t>
  </si>
  <si>
    <t>Y/Y revenue growth</t>
  </si>
  <si>
    <t>Travel, Transportation and Logistics</t>
  </si>
  <si>
    <t>Loss on sale of business unit</t>
  </si>
  <si>
    <t>Healthcare</t>
  </si>
  <si>
    <t>Insurance</t>
  </si>
  <si>
    <t xml:space="preserve">Y/Y constant currency revenue growth % </t>
  </si>
  <si>
    <t>Q01</t>
  </si>
  <si>
    <t>Q02</t>
  </si>
  <si>
    <t>Q03</t>
  </si>
  <si>
    <t xml:space="preserve">    Q/Q (Appreciation) / Depreciation</t>
  </si>
  <si>
    <t xml:space="preserve">    Y/Y (Appreciation) / Depreciation</t>
  </si>
  <si>
    <t>Q04</t>
  </si>
  <si>
    <t>Finance &amp; Accounting</t>
  </si>
  <si>
    <t>All Other</t>
  </si>
  <si>
    <t>Revenues and Margins</t>
  </si>
  <si>
    <t xml:space="preserve">Attrition </t>
  </si>
  <si>
    <t xml:space="preserve"> </t>
  </si>
  <si>
    <t>Accounts receivable, net</t>
  </si>
  <si>
    <t>Property and equipment, net</t>
  </si>
  <si>
    <t>Investment in equity affiliate</t>
  </si>
  <si>
    <t>Current portion of long-term borrowings</t>
  </si>
  <si>
    <t>Deferred income tax (benefit)/expense</t>
  </si>
  <si>
    <t>Excess tax benefit from stock-based compensation</t>
  </si>
  <si>
    <t>Purchase of property and equipment</t>
  </si>
  <si>
    <t>Proceeds from borrowings</t>
  </si>
  <si>
    <t>Repayment of borrowings</t>
  </si>
  <si>
    <t>add: Amortization of acquisition-related intangibles</t>
  </si>
  <si>
    <t>add: Stock-based compensation expense</t>
  </si>
  <si>
    <t>subtract: Tax impact on amortization of acquisition-related intangibles</t>
  </si>
  <si>
    <t>Less: Shares held in treasury</t>
  </si>
  <si>
    <t>add: Acquisition-related expenses</t>
  </si>
  <si>
    <t>Proceeds from convertible notes</t>
  </si>
  <si>
    <t>Impairment charges</t>
  </si>
  <si>
    <t>add: Non-cash interest expense related to convertible senior notes</t>
  </si>
  <si>
    <t>Net Cash Flows from Investing activities</t>
  </si>
  <si>
    <t>add/(subtract): Effect of Tax Reform Act and other one-time tax expenses/(benefits)</t>
  </si>
  <si>
    <t>Current portion of operating lease liabilities</t>
  </si>
  <si>
    <t>Operating lease liabilities, less current portion</t>
  </si>
  <si>
    <t>Impairment and restructuring charges</t>
  </si>
  <si>
    <t>Payment for purchase of non-controlling interest</t>
  </si>
  <si>
    <t>Operating lease liabilities</t>
  </si>
  <si>
    <t>Depreciation and amortization expense</t>
  </si>
  <si>
    <t>Income taxes payable, net</t>
  </si>
  <si>
    <t>Deferred tax assets, net</t>
  </si>
  <si>
    <t>Deferred tax liabilities, net</t>
  </si>
  <si>
    <t>FY 19</t>
  </si>
  <si>
    <t>Emerging Business</t>
  </si>
  <si>
    <t>FY 18</t>
  </si>
  <si>
    <t>Client Concentration</t>
  </si>
  <si>
    <t xml:space="preserve">Analytics </t>
  </si>
  <si>
    <r>
      <t xml:space="preserve">Revised </t>
    </r>
    <r>
      <rPr>
        <b/>
        <vertAlign val="superscript"/>
        <sz val="16"/>
        <color theme="1"/>
        <rFont val="Calibri"/>
        <family val="2"/>
        <scheme val="minor"/>
      </rPr>
      <t>(1)</t>
    </r>
  </si>
  <si>
    <t>Insurance, Healthcare, Emerging Business and Analytics.</t>
  </si>
  <si>
    <t>(a) Per share amounts may not foot due to rounding.</t>
  </si>
  <si>
    <t>(1) Effective from January 1, 2017, On January 1, 2018, The Company adopted the guidance in ASU 2016-18 "Statement of Cash Flows". Refer Form 10-K for the fiscal year ended December 31, 2018 for details.</t>
  </si>
  <si>
    <t>add/(subtract): Non-recurring tax expense/(benefits)</t>
  </si>
  <si>
    <t>Proceeds from sale of property and equipment</t>
  </si>
  <si>
    <t>FY 20</t>
  </si>
  <si>
    <t>Others, net</t>
  </si>
  <si>
    <t>Checks</t>
  </si>
  <si>
    <t>Loss / (Gain) from equity-method investment</t>
  </si>
  <si>
    <t>Principal payments on finance lease obligations</t>
  </si>
  <si>
    <t>Loss on settlement of convertible senior notes</t>
  </si>
  <si>
    <t>Loss on settlement of convertible notes</t>
  </si>
  <si>
    <t>add: Loss on settlement of convertible senior notes</t>
  </si>
  <si>
    <t>subtract: Tax impact on settlement of convertible senior notes</t>
  </si>
  <si>
    <t>FY 21</t>
  </si>
  <si>
    <t>(Loss)/Gain from equity-method investment</t>
  </si>
  <si>
    <t xml:space="preserve">add/(subtract): Other (benefits)/expense </t>
  </si>
  <si>
    <t>add/(subtract): Tax impact on other (benefits)/expense</t>
  </si>
  <si>
    <r>
      <t>2020</t>
    </r>
    <r>
      <rPr>
        <b/>
        <vertAlign val="superscript"/>
        <sz val="16"/>
        <rFont val="Calibri"/>
        <family val="2"/>
        <scheme val="minor"/>
      </rPr>
      <t>(1)</t>
    </r>
  </si>
  <si>
    <t>(1) Effective January 1, 2020, the Company made certain operational and structural changes to more closely integrate its businesses and to simplify its organizational structure and accordingly new reportable segments are as follows</t>
  </si>
  <si>
    <t>Previous period nummber checks</t>
  </si>
  <si>
    <t>($ in thousands, except per share amount and share count)</t>
  </si>
  <si>
    <t>add: Provision for litigation settlement</t>
  </si>
  <si>
    <t>add/(subtract): Effects of changes in fair value of contingent consideration</t>
  </si>
  <si>
    <t>subtract: Tax impact on provision for litigation settlement</t>
  </si>
  <si>
    <t>ExlService Holdings, Inc. Stockholders’ equity:</t>
  </si>
  <si>
    <t>Long-term investments - Others</t>
  </si>
  <si>
    <t>Long-term investments - Equity affiliate</t>
  </si>
  <si>
    <t>Other current assets</t>
  </si>
  <si>
    <t xml:space="preserve">Purchase of investments </t>
  </si>
  <si>
    <t>Proceeds from redemption of investments</t>
  </si>
  <si>
    <t>FY 22</t>
  </si>
  <si>
    <t>Proceeds from ESPP contribution</t>
  </si>
  <si>
    <t>Allowance/(Reversal) for expected credit losses</t>
  </si>
  <si>
    <t>&lt;&lt;Open for checks</t>
  </si>
  <si>
    <t>Unrealized foreign currency exchange (gain)/loss, net</t>
  </si>
  <si>
    <t>Amortization of non-cash interest expense related to convertible notes</t>
  </si>
  <si>
    <t>Fair value changes in contingent consideration</t>
  </si>
  <si>
    <t xml:space="preserve">   Long-term borrowings, less current portion</t>
  </si>
  <si>
    <t>Revenues, net</t>
  </si>
  <si>
    <t>Income from operations</t>
  </si>
  <si>
    <t>Income before income tax expense and earnings from equity affiliates</t>
  </si>
  <si>
    <t>Stock-based compensation expense</t>
  </si>
  <si>
    <t>Business acquisition (net of cash and cash equivalents acquired)</t>
  </si>
  <si>
    <t>Effect of exchange rate changes on cash, cash equivalents and restricted cash</t>
  </si>
  <si>
    <t>Cash, cash equivalents and restricted cash at the end of the period</t>
  </si>
  <si>
    <t>Cash, cash equivalents and restricted cash at the beginning of the period</t>
  </si>
  <si>
    <t>Net (decrease)/increase in cash, cash equivalents and restricted cash</t>
  </si>
  <si>
    <t>Income from Operations</t>
  </si>
  <si>
    <t>Adjusted Operating Income</t>
  </si>
  <si>
    <t>Adjusted Operating Income Margin</t>
  </si>
  <si>
    <t>Payment of contingent consideration</t>
  </si>
  <si>
    <r>
      <t xml:space="preserve">Revenue by Industry </t>
    </r>
    <r>
      <rPr>
        <b/>
        <vertAlign val="superscript"/>
        <sz val="16"/>
        <color indexed="8"/>
        <rFont val="Arial"/>
        <family val="2"/>
      </rPr>
      <t>(3)</t>
    </r>
  </si>
  <si>
    <t xml:space="preserve">(3)  Revenue by Industry includes all solutions offered by EXL for each vertical listed.  </t>
  </si>
  <si>
    <t>add: Acquisition-related expenses/(income)</t>
  </si>
  <si>
    <t>(2) The Company's operations management services are a part of its digital operations and solutions business and they are referred to as “digital operations and solutions” or “digital solutions.”</t>
  </si>
  <si>
    <r>
      <t>Digital Operations and Solutions</t>
    </r>
    <r>
      <rPr>
        <b/>
        <vertAlign val="superscript"/>
        <sz val="16"/>
        <color rgb="FF000000"/>
        <rFont val="Arial"/>
        <family val="2"/>
      </rPr>
      <t>(2)</t>
    </r>
  </si>
  <si>
    <t>For example, Insurance will include Digital operations, Finance and Accounting, Analytics and Consulting work.</t>
  </si>
  <si>
    <t>Liabilities and stockholders' equity</t>
  </si>
  <si>
    <t>Total liabilities and stockholders' equity</t>
  </si>
  <si>
    <t>Net Cash Flows from Financing activities</t>
  </si>
  <si>
    <t>Emerging</t>
  </si>
  <si>
    <r>
      <t xml:space="preserve">Weighted-average number of shares used in computing earnings per share </t>
    </r>
    <r>
      <rPr>
        <vertAlign val="superscript"/>
        <sz val="10"/>
        <rFont val="Arial"/>
        <family val="2"/>
      </rPr>
      <t>(b)</t>
    </r>
  </si>
  <si>
    <r>
      <t>Earnings/(loss)  per share</t>
    </r>
    <r>
      <rPr>
        <vertAlign val="superscript"/>
        <sz val="10"/>
        <rFont val="Arial"/>
        <family val="2"/>
      </rPr>
      <t xml:space="preserve"> (a) &amp;</t>
    </r>
    <r>
      <rPr>
        <sz val="10"/>
        <rFont val="Arial"/>
        <family val="2"/>
      </rPr>
      <t xml:space="preserve"> </t>
    </r>
    <r>
      <rPr>
        <vertAlign val="superscript"/>
        <sz val="10"/>
        <rFont val="Arial"/>
        <family val="2"/>
      </rPr>
      <t>(b)</t>
    </r>
  </si>
  <si>
    <t>Other intangible assets, net</t>
  </si>
  <si>
    <t>(b) Prior period information has been adjusted to reflect the five-for-one stock split effected in August 2023.</t>
  </si>
  <si>
    <r>
      <t xml:space="preserve">Adjusted Diluted earnings per share </t>
    </r>
    <r>
      <rPr>
        <b/>
        <vertAlign val="superscript"/>
        <sz val="10"/>
        <rFont val="Arial"/>
        <family val="2"/>
      </rPr>
      <t xml:space="preserve"> (a) &amp; (b)</t>
    </r>
  </si>
  <si>
    <t>($ in thousands, except per share amount)</t>
  </si>
  <si>
    <t>FY 23</t>
  </si>
  <si>
    <t>Reduction in the carrying amount of operating lease right-of-use assets</t>
  </si>
  <si>
    <t>subtract: Tax impact on non-cash interest expense related to convertible senior notes</t>
  </si>
  <si>
    <t>add: Tax impact on effects of changes in fair value of contingent consideration</t>
  </si>
  <si>
    <t>Operating lease right-of-use assets</t>
  </si>
  <si>
    <t>add/(subtract): Tax impact on allowance/(reversal) for expected credit losses</t>
  </si>
  <si>
    <t>add/(subtract): Allowance/(reversal) for expected credit losses</t>
  </si>
  <si>
    <t>Fair value mark-to-market of investments</t>
  </si>
  <si>
    <t>Non-GAAP</t>
  </si>
  <si>
    <t>Current period nummber checks</t>
  </si>
  <si>
    <t>add: Impairment and restructuring costs</t>
  </si>
  <si>
    <t>subtract: Tax impact on impairment and restructuring costs</t>
  </si>
  <si>
    <t>Other current and non-current assets</t>
  </si>
  <si>
    <t>Accounts payable, accrued expenses and other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</si>
</sst>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
    <numFmt numFmtId="166" formatCode="_(* #,##0.0_);_(* \(#,##0.0\);_(* &quot;-&quot;??_);_(@_)"/>
    <numFmt numFmtId="167" formatCode="#,##0.0"/>
    <numFmt numFmtId="168" formatCode="&quot;$&quot;#,##0.0_);\(&quot;$&quot;#,##0.0\)"/>
    <numFmt numFmtId="169" formatCode="_(&quot;$&quot;* #,##0_);_(&quot;$&quot;* \(#,##0\);_(&quot;$&quot;* &quot;-&quot;??_);_(@_)"/>
  </numFmts>
  <fonts count="52" x14ac:knownFonts="1">
    <font>
      <sz val="11"/>
      <color theme="1"/>
      <name val="Calibri"/>
      <family val="2"/>
      <scheme val="minor"/>
    </font>
    <font>
      <sz val="11"/>
      <color indexed="8"/>
      <name val="Calibri"/>
      <family val="2"/>
    </font>
    <font>
      <sz val="10"/>
      <name val="Arial"/>
      <family val="2"/>
    </font>
    <font>
      <b/>
      <sz val="10"/>
      <color indexed="8"/>
      <name val="Arial"/>
      <family val="2"/>
    </font>
    <font>
      <sz val="10"/>
      <color indexed="8"/>
      <name val="Arial"/>
      <family val="2"/>
    </font>
    <font>
      <b/>
      <sz val="10"/>
      <name val="Arial"/>
      <family val="2"/>
    </font>
    <font>
      <sz val="10"/>
      <color indexed="8"/>
      <name val="Arial"/>
      <family val="2"/>
    </font>
    <font>
      <b/>
      <sz val="10"/>
      <color indexed="20"/>
      <name val="Arial"/>
      <family val="2"/>
    </font>
    <font>
      <b/>
      <sz val="10"/>
      <color indexed="0"/>
      <name val="Arial"/>
      <family val="2"/>
    </font>
    <font>
      <sz val="10"/>
      <color indexed="0"/>
      <name val="Arial"/>
      <family val="2"/>
    </font>
    <font>
      <i/>
      <sz val="10"/>
      <name val="Arial"/>
      <family val="2"/>
    </font>
    <font>
      <sz val="10"/>
      <color indexed="28"/>
      <name val="Arial"/>
      <family val="2"/>
    </font>
    <font>
      <b/>
      <sz val="10"/>
      <color indexed="28"/>
      <name val="Arial"/>
      <family val="2"/>
    </font>
    <font>
      <sz val="10"/>
      <color indexed="10"/>
      <name val="Arial"/>
      <family val="2"/>
    </font>
    <font>
      <b/>
      <sz val="12"/>
      <color indexed="8"/>
      <name val="Arial"/>
      <family val="2"/>
    </font>
    <font>
      <sz val="11"/>
      <color indexed="8"/>
      <name val="Calibri"/>
      <family val="2"/>
    </font>
    <font>
      <sz val="8"/>
      <name val="Calibri"/>
      <family val="2"/>
    </font>
    <font>
      <b/>
      <u/>
      <sz val="10"/>
      <name val="Arial"/>
      <family val="2"/>
    </font>
    <font>
      <u/>
      <sz val="11"/>
      <color theme="10"/>
      <name val="Calibri"/>
      <family val="2"/>
    </font>
    <font>
      <sz val="11"/>
      <color theme="1"/>
      <name val="Calibri"/>
      <family val="2"/>
      <scheme val="minor"/>
    </font>
    <font>
      <sz val="16"/>
      <color indexed="8"/>
      <name val="Arial"/>
      <family val="2"/>
    </font>
    <font>
      <sz val="16"/>
      <name val="Arial"/>
      <family val="2"/>
    </font>
    <font>
      <sz val="16"/>
      <color theme="1"/>
      <name val="Calibri"/>
      <family val="2"/>
      <scheme val="minor"/>
    </font>
    <font>
      <b/>
      <sz val="16"/>
      <name val="Arial"/>
      <family val="2"/>
    </font>
    <font>
      <b/>
      <sz val="16"/>
      <color indexed="8"/>
      <name val="Arial"/>
      <family val="2"/>
    </font>
    <font>
      <sz val="16"/>
      <color rgb="FFFF0000"/>
      <name val="Arial"/>
      <family val="2"/>
    </font>
    <font>
      <b/>
      <sz val="16"/>
      <color theme="1"/>
      <name val="Calibri"/>
      <family val="2"/>
      <scheme val="minor"/>
    </font>
    <font>
      <b/>
      <vertAlign val="superscript"/>
      <sz val="16"/>
      <color theme="1"/>
      <name val="Calibri"/>
      <family val="2"/>
      <scheme val="minor"/>
    </font>
    <font>
      <sz val="16"/>
      <color theme="0"/>
      <name val="Calibri"/>
      <family val="2"/>
      <scheme val="minor"/>
    </font>
    <font>
      <sz val="10"/>
      <color rgb="FFFF0000"/>
      <name val="Arial"/>
      <family val="2"/>
    </font>
    <font>
      <b/>
      <sz val="16"/>
      <name val="Calibri"/>
      <family val="2"/>
      <scheme val="minor"/>
    </font>
    <font>
      <b/>
      <vertAlign val="superscript"/>
      <sz val="16"/>
      <name val="Calibri"/>
      <family val="2"/>
      <scheme val="minor"/>
    </font>
    <font>
      <sz val="16"/>
      <color rgb="FFFF0000"/>
      <name val="Calibri"/>
      <family val="2"/>
      <scheme val="minor"/>
    </font>
    <font>
      <b/>
      <vertAlign val="superscript"/>
      <sz val="16"/>
      <color indexed="8"/>
      <name val="Arial"/>
      <family val="2"/>
    </font>
    <font>
      <vertAlign val="superscript"/>
      <sz val="10"/>
      <name val="Arial"/>
      <family val="2"/>
    </font>
    <font>
      <b/>
      <i/>
      <sz val="12"/>
      <color rgb="FFFF0000"/>
      <name val="Arial"/>
      <family val="2"/>
    </font>
    <font>
      <b/>
      <sz val="10"/>
      <color rgb="FFFF0000"/>
      <name val="Arial"/>
      <family val="2"/>
    </font>
    <font>
      <sz val="15"/>
      <color indexed="8"/>
      <name val="Arial"/>
      <family val="2"/>
    </font>
    <font>
      <sz val="9"/>
      <name val="Arial"/>
      <family val="2"/>
    </font>
    <font>
      <b/>
      <sz val="9"/>
      <name val="Arial"/>
      <family val="2"/>
    </font>
    <font>
      <sz val="14"/>
      <color rgb="FFFF0000"/>
      <name val="Calibri"/>
      <family val="2"/>
      <scheme val="minor"/>
    </font>
    <font>
      <b/>
      <i/>
      <sz val="14"/>
      <color rgb="FFFF0000"/>
      <name val="Arial"/>
      <family val="2"/>
    </font>
    <font>
      <b/>
      <i/>
      <sz val="10"/>
      <color rgb="FFFF0000"/>
      <name val="Arial"/>
      <family val="2"/>
    </font>
    <font>
      <sz val="10"/>
      <color rgb="FFFF0000"/>
      <name val="Calibri"/>
      <family val="2"/>
      <scheme val="minor"/>
    </font>
    <font>
      <b/>
      <vertAlign val="superscript"/>
      <sz val="16"/>
      <color rgb="FF000000"/>
      <name val="Arial"/>
      <family val="2"/>
    </font>
    <font>
      <b/>
      <i/>
      <sz val="8"/>
      <color rgb="FFFF0000"/>
      <name val="Arial"/>
      <family val="2"/>
    </font>
    <font>
      <b/>
      <sz val="8"/>
      <color rgb="FFFF0000"/>
      <name val="Arial"/>
      <family val="2"/>
    </font>
    <font>
      <sz val="9"/>
      <color rgb="FFFF0000"/>
      <name val="Arial"/>
      <family val="2"/>
    </font>
    <font>
      <b/>
      <vertAlign val="superscript"/>
      <sz val="10"/>
      <name val="Arial"/>
      <family val="2"/>
    </font>
    <font>
      <sz val="11"/>
      <color rgb="FFFF0000"/>
      <name val="Calibri"/>
      <family val="2"/>
      <scheme val="minor"/>
    </font>
    <font>
      <b/>
      <sz val="10"/>
      <color rgb="FFFFC000"/>
      <name val="Arial"/>
      <family val="2"/>
    </font>
    <font>
      <sz val="16"/>
      <name val="Calibri"/>
      <family val="2"/>
      <scheme val="minor"/>
    </font>
  </fonts>
  <fills count="10">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44"/>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39997558519241921"/>
        <bgColor indexed="64"/>
      </patternFill>
    </fill>
  </fills>
  <borders count="1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9">
    <xf numFmtId="0" fontId="0" fillId="0" borderId="0"/>
    <xf numFmtId="0" fontId="2" fillId="0" borderId="0"/>
    <xf numFmtId="43" fontId="1" fillId="0" borderId="0" applyFont="0" applyFill="0" applyBorder="0" applyAlignment="0" applyProtection="0"/>
    <xf numFmtId="43" fontId="15" fillId="0" borderId="0" applyFont="0" applyFill="0" applyBorder="0" applyAlignment="0" applyProtection="0"/>
    <xf numFmtId="0" fontId="18" fillId="0" borderId="0" applyNumberFormat="0" applyFill="0" applyBorder="0" applyAlignment="0" applyProtection="0">
      <alignment vertical="top"/>
      <protection locked="0"/>
    </xf>
    <xf numFmtId="9" fontId="1" fillId="0" borderId="0" applyFont="0" applyFill="0" applyBorder="0" applyAlignment="0" applyProtection="0"/>
    <xf numFmtId="9" fontId="15" fillId="0" borderId="0" applyFont="0" applyFill="0" applyBorder="0" applyAlignment="0" applyProtection="0"/>
    <xf numFmtId="9" fontId="19" fillId="0" borderId="0" applyFont="0" applyFill="0" applyBorder="0" applyAlignment="0" applyProtection="0"/>
    <xf numFmtId="44" fontId="19" fillId="0" borderId="0" applyFont="0" applyFill="0" applyBorder="0" applyAlignment="0" applyProtection="0"/>
  </cellStyleXfs>
  <cellXfs count="290">
    <xf numFmtId="0" fontId="0" fillId="0" borderId="0" xfId="0"/>
    <xf numFmtId="0" fontId="3" fillId="0" borderId="0" xfId="0" applyFont="1"/>
    <xf numFmtId="0" fontId="4" fillId="0" borderId="0" xfId="0" applyFont="1"/>
    <xf numFmtId="0" fontId="3" fillId="0" borderId="0" xfId="0" applyFont="1" applyAlignment="1">
      <alignment horizontal="center"/>
    </xf>
    <xf numFmtId="0" fontId="5" fillId="0" borderId="0" xfId="0" applyFont="1" applyAlignment="1">
      <alignment horizontal="center"/>
    </xf>
    <xf numFmtId="0" fontId="6" fillId="0" borderId="0" xfId="0" applyFont="1"/>
    <xf numFmtId="0" fontId="4" fillId="0" borderId="0" xfId="0" applyFont="1" applyAlignment="1">
      <alignment horizontal="center"/>
    </xf>
    <xf numFmtId="0" fontId="3" fillId="0" borderId="0" xfId="0" applyFont="1" applyAlignment="1">
      <alignment horizontal="left"/>
    </xf>
    <xf numFmtId="0" fontId="7" fillId="0" borderId="0" xfId="0" applyFont="1"/>
    <xf numFmtId="10" fontId="4" fillId="0" borderId="0" xfId="0" applyNumberFormat="1" applyFont="1"/>
    <xf numFmtId="0" fontId="5" fillId="0" borderId="0" xfId="0" applyFont="1"/>
    <xf numFmtId="0" fontId="8" fillId="0" borderId="0" xfId="0" applyFont="1"/>
    <xf numFmtId="0" fontId="9" fillId="0" borderId="0" xfId="0" applyFont="1" applyAlignment="1">
      <alignment horizontal="left" indent="1"/>
    </xf>
    <xf numFmtId="0" fontId="9" fillId="0" borderId="0" xfId="0" applyFont="1"/>
    <xf numFmtId="0" fontId="9" fillId="0" borderId="0" xfId="0" applyFont="1" applyAlignment="1">
      <alignment horizontal="right"/>
    </xf>
    <xf numFmtId="0" fontId="3" fillId="0" borderId="0" xfId="0" applyFont="1" applyAlignment="1">
      <alignment horizontal="left" wrapText="1"/>
    </xf>
    <xf numFmtId="0" fontId="9" fillId="0" borderId="0" xfId="0" applyFont="1" applyAlignment="1">
      <alignment wrapText="1"/>
    </xf>
    <xf numFmtId="0" fontId="9" fillId="0" borderId="0" xfId="0" applyFont="1" applyAlignment="1">
      <alignment horizontal="left" wrapText="1" indent="1"/>
    </xf>
    <xf numFmtId="0" fontId="8" fillId="0" borderId="0" xfId="0" applyFont="1" applyAlignment="1">
      <alignment wrapText="1"/>
    </xf>
    <xf numFmtId="0" fontId="9" fillId="0" borderId="0" xfId="0" applyFont="1" applyAlignment="1">
      <alignment horizontal="right" wrapText="1"/>
    </xf>
    <xf numFmtId="0" fontId="4" fillId="0" borderId="0" xfId="0" applyFont="1" applyAlignment="1">
      <alignment horizontal="left" wrapText="1"/>
    </xf>
    <xf numFmtId="0" fontId="2" fillId="0" borderId="0" xfId="0" applyFont="1"/>
    <xf numFmtId="0" fontId="5" fillId="0" borderId="0" xfId="0" applyFont="1" applyAlignment="1">
      <alignment horizontal="left"/>
    </xf>
    <xf numFmtId="164" fontId="5" fillId="0" borderId="0" xfId="2" applyNumberFormat="1" applyFont="1"/>
    <xf numFmtId="164" fontId="2" fillId="0" borderId="0" xfId="2" applyNumberFormat="1" applyFont="1"/>
    <xf numFmtId="5" fontId="2" fillId="0" borderId="0" xfId="2" applyNumberFormat="1" applyFont="1" applyFill="1"/>
    <xf numFmtId="164" fontId="2" fillId="0" borderId="0" xfId="2" applyNumberFormat="1" applyFont="1" applyFill="1"/>
    <xf numFmtId="43" fontId="2" fillId="0" borderId="0" xfId="2" applyFont="1"/>
    <xf numFmtId="165" fontId="10" fillId="0" borderId="0" xfId="5" applyNumberFormat="1" applyFont="1"/>
    <xf numFmtId="165" fontId="10" fillId="0" borderId="0" xfId="5" applyNumberFormat="1" applyFont="1" applyAlignment="1">
      <alignment horizontal="right"/>
    </xf>
    <xf numFmtId="0" fontId="9" fillId="0" borderId="0" xfId="0" applyFont="1" applyAlignment="1">
      <alignment horizontal="left" indent="2"/>
    </xf>
    <xf numFmtId="0" fontId="11" fillId="0" borderId="0" xfId="0" applyFont="1"/>
    <xf numFmtId="0" fontId="12" fillId="0" borderId="0" xfId="0" applyFont="1"/>
    <xf numFmtId="5" fontId="5" fillId="2" borderId="1" xfId="2" applyNumberFormat="1" applyFont="1" applyFill="1" applyBorder="1"/>
    <xf numFmtId="0" fontId="8" fillId="0" borderId="1" xfId="0" applyFont="1" applyBorder="1" applyAlignment="1">
      <alignment wrapText="1"/>
    </xf>
    <xf numFmtId="0" fontId="3" fillId="0" borderId="1" xfId="0" applyFont="1" applyBorder="1"/>
    <xf numFmtId="0" fontId="2" fillId="0" borderId="0" xfId="0" applyFont="1" applyAlignment="1">
      <alignment horizontal="left" indent="1"/>
    </xf>
    <xf numFmtId="0" fontId="8" fillId="2" borderId="1" xfId="0" applyFont="1" applyFill="1" applyBorder="1" applyAlignment="1">
      <alignment wrapText="1"/>
    </xf>
    <xf numFmtId="0" fontId="3" fillId="2" borderId="1" xfId="0" applyFont="1" applyFill="1" applyBorder="1"/>
    <xf numFmtId="0" fontId="3" fillId="2" borderId="0" xfId="0" applyFont="1" applyFill="1"/>
    <xf numFmtId="0" fontId="5" fillId="0" borderId="0" xfId="0" applyFont="1" applyAlignment="1">
      <alignment wrapText="1"/>
    </xf>
    <xf numFmtId="0" fontId="5" fillId="0" borderId="1" xfId="0" applyFont="1" applyBorder="1" applyAlignment="1">
      <alignment horizontal="left" wrapText="1" indent="1"/>
    </xf>
    <xf numFmtId="0" fontId="8" fillId="2" borderId="1" xfId="0" applyFont="1" applyFill="1" applyBorder="1"/>
    <xf numFmtId="0" fontId="5" fillId="2" borderId="1" xfId="0" applyFont="1" applyFill="1" applyBorder="1"/>
    <xf numFmtId="37" fontId="2" fillId="0" borderId="0" xfId="2" applyNumberFormat="1" applyFont="1"/>
    <xf numFmtId="0" fontId="5" fillId="2" borderId="4" xfId="1" applyFont="1" applyFill="1" applyBorder="1"/>
    <xf numFmtId="0" fontId="10" fillId="0" borderId="5" xfId="1" applyFont="1" applyBorder="1" applyAlignment="1">
      <alignment horizontal="left" indent="2"/>
    </xf>
    <xf numFmtId="0" fontId="2" fillId="0" borderId="5" xfId="1" applyBorder="1" applyAlignment="1">
      <alignment horizontal="left" indent="1"/>
    </xf>
    <xf numFmtId="0" fontId="5" fillId="0" borderId="5" xfId="1" applyFont="1" applyBorder="1"/>
    <xf numFmtId="0" fontId="2" fillId="0" borderId="5" xfId="0" applyFont="1" applyBorder="1" applyAlignment="1">
      <alignment horizontal="left" indent="1"/>
    </xf>
    <xf numFmtId="0" fontId="2" fillId="0" borderId="5" xfId="1" applyBorder="1"/>
    <xf numFmtId="5" fontId="5" fillId="2" borderId="4" xfId="2" applyNumberFormat="1" applyFont="1" applyFill="1" applyBorder="1"/>
    <xf numFmtId="5" fontId="2" fillId="0" borderId="0" xfId="0" applyNumberFormat="1" applyFont="1"/>
    <xf numFmtId="0" fontId="5" fillId="0" borderId="0" xfId="0" applyFont="1" applyAlignment="1">
      <alignment horizontal="left" wrapText="1" indent="1"/>
    </xf>
    <xf numFmtId="0" fontId="9" fillId="3" borderId="0" xfId="0" applyFont="1" applyFill="1" applyAlignment="1">
      <alignment horizontal="left" wrapText="1" indent="2"/>
    </xf>
    <xf numFmtId="0" fontId="9" fillId="3" borderId="0" xfId="0" applyFont="1" applyFill="1" applyAlignment="1">
      <alignment horizontal="left" wrapText="1" indent="1"/>
    </xf>
    <xf numFmtId="0" fontId="2" fillId="3" borderId="0" xfId="0" applyFont="1" applyFill="1" applyAlignment="1">
      <alignment horizontal="left" wrapText="1" indent="1"/>
    </xf>
    <xf numFmtId="0" fontId="4" fillId="3" borderId="0" xfId="0" applyFont="1" applyFill="1"/>
    <xf numFmtId="0" fontId="9" fillId="3" borderId="0" xfId="0" applyFont="1" applyFill="1" applyAlignment="1">
      <alignment wrapText="1"/>
    </xf>
    <xf numFmtId="0" fontId="3" fillId="4" borderId="1" xfId="0" applyFont="1" applyFill="1" applyBorder="1"/>
    <xf numFmtId="0" fontId="4" fillId="4" borderId="1" xfId="0" applyFont="1" applyFill="1" applyBorder="1"/>
    <xf numFmtId="16" fontId="3" fillId="0" borderId="0" xfId="0" applyNumberFormat="1" applyFont="1" applyAlignment="1">
      <alignment horizontal="center"/>
    </xf>
    <xf numFmtId="165" fontId="10" fillId="0" borderId="6" xfId="5" applyNumberFormat="1" applyFont="1" applyBorder="1"/>
    <xf numFmtId="164" fontId="5" fillId="4" borderId="1" xfId="2" applyNumberFormat="1" applyFont="1" applyFill="1" applyBorder="1"/>
    <xf numFmtId="0" fontId="4" fillId="0" borderId="0" xfId="0" applyFont="1" applyAlignment="1">
      <alignment horizontal="left" indent="1"/>
    </xf>
    <xf numFmtId="0" fontId="3" fillId="4" borderId="1" xfId="0" applyFont="1" applyFill="1" applyBorder="1" applyAlignment="1">
      <alignment horizontal="center"/>
    </xf>
    <xf numFmtId="0" fontId="3" fillId="4" borderId="1" xfId="0" applyFont="1" applyFill="1" applyBorder="1" applyAlignment="1">
      <alignment horizontal="left"/>
    </xf>
    <xf numFmtId="37" fontId="2" fillId="0" borderId="0" xfId="0" applyNumberFormat="1" applyFont="1"/>
    <xf numFmtId="165" fontId="10" fillId="0" borderId="2" xfId="5" applyNumberFormat="1" applyFont="1" applyBorder="1" applyAlignment="1">
      <alignment horizontal="right"/>
    </xf>
    <xf numFmtId="0" fontId="14" fillId="0" borderId="0" xfId="0" applyFont="1" applyAlignment="1">
      <alignment horizontal="center"/>
    </xf>
    <xf numFmtId="0" fontId="2" fillId="4" borderId="1" xfId="0" applyFont="1" applyFill="1" applyBorder="1"/>
    <xf numFmtId="9" fontId="2" fillId="0" borderId="0" xfId="5" applyFont="1" applyBorder="1"/>
    <xf numFmtId="165" fontId="5" fillId="4" borderId="1" xfId="0" applyNumberFormat="1" applyFont="1" applyFill="1" applyBorder="1"/>
    <xf numFmtId="5" fontId="4" fillId="0" borderId="0" xfId="0" applyNumberFormat="1" applyFont="1"/>
    <xf numFmtId="165" fontId="2" fillId="0" borderId="0" xfId="5" applyNumberFormat="1" applyFont="1"/>
    <xf numFmtId="165" fontId="10" fillId="0" borderId="0" xfId="5" applyNumberFormat="1" applyFont="1" applyBorder="1" applyAlignment="1">
      <alignment horizontal="right"/>
    </xf>
    <xf numFmtId="164" fontId="2" fillId="0" borderId="0" xfId="2" applyNumberFormat="1" applyFont="1" applyBorder="1" applyAlignment="1">
      <alignment horizontal="right"/>
    </xf>
    <xf numFmtId="164" fontId="5" fillId="2" borderId="1" xfId="2" applyNumberFormat="1" applyFont="1" applyFill="1" applyBorder="1"/>
    <xf numFmtId="165" fontId="10" fillId="0" borderId="0" xfId="5" applyNumberFormat="1" applyFont="1" applyBorder="1"/>
    <xf numFmtId="0" fontId="10" fillId="0" borderId="5" xfId="0" applyFont="1" applyBorder="1" applyAlignment="1">
      <alignment horizontal="left" indent="2"/>
    </xf>
    <xf numFmtId="0" fontId="10" fillId="0" borderId="7" xfId="1" applyFont="1" applyBorder="1" applyAlignment="1">
      <alignment horizontal="left" indent="2"/>
    </xf>
    <xf numFmtId="165" fontId="10" fillId="0" borderId="5" xfId="5" applyNumberFormat="1" applyFont="1" applyBorder="1" applyAlignment="1">
      <alignment horizontal="right"/>
    </xf>
    <xf numFmtId="10" fontId="2" fillId="0" borderId="0" xfId="0" applyNumberFormat="1" applyFont="1"/>
    <xf numFmtId="0" fontId="10" fillId="0" borderId="0" xfId="1" applyFont="1" applyAlignment="1">
      <alignment horizontal="left" indent="2"/>
    </xf>
    <xf numFmtId="0" fontId="10" fillId="0" borderId="2" xfId="1" applyFont="1" applyBorder="1" applyAlignment="1">
      <alignment horizontal="left" indent="2"/>
    </xf>
    <xf numFmtId="164" fontId="4" fillId="0" borderId="0" xfId="3" applyNumberFormat="1" applyFont="1"/>
    <xf numFmtId="5" fontId="3" fillId="2" borderId="1" xfId="3" applyNumberFormat="1" applyFont="1" applyFill="1" applyBorder="1"/>
    <xf numFmtId="5" fontId="3" fillId="0" borderId="1" xfId="3" applyNumberFormat="1" applyFont="1" applyBorder="1"/>
    <xf numFmtId="0" fontId="3" fillId="0" borderId="1" xfId="0" applyFont="1" applyBorder="1" applyAlignment="1">
      <alignment wrapText="1"/>
    </xf>
    <xf numFmtId="164" fontId="4" fillId="0" borderId="0" xfId="3" applyNumberFormat="1" applyFont="1" applyBorder="1"/>
    <xf numFmtId="0" fontId="4" fillId="0" borderId="0" xfId="0" applyFont="1" applyAlignment="1">
      <alignment wrapText="1"/>
    </xf>
    <xf numFmtId="164" fontId="4" fillId="3" borderId="0" xfId="3" applyNumberFormat="1" applyFont="1" applyFill="1"/>
    <xf numFmtId="5" fontId="4" fillId="3" borderId="0" xfId="3" applyNumberFormat="1" applyFont="1" applyFill="1"/>
    <xf numFmtId="43" fontId="4" fillId="3" borderId="0" xfId="3" applyFont="1" applyFill="1"/>
    <xf numFmtId="164" fontId="3" fillId="3" borderId="0" xfId="3" applyNumberFormat="1" applyFont="1" applyFill="1"/>
    <xf numFmtId="164" fontId="4" fillId="0" borderId="0" xfId="3" applyNumberFormat="1" applyFont="1" applyFill="1" applyBorder="1"/>
    <xf numFmtId="164" fontId="3" fillId="2" borderId="1" xfId="3" applyNumberFormat="1" applyFont="1" applyFill="1" applyBorder="1"/>
    <xf numFmtId="164" fontId="13" fillId="3" borderId="0" xfId="3" applyNumberFormat="1" applyFont="1" applyFill="1"/>
    <xf numFmtId="5" fontId="3" fillId="3" borderId="1" xfId="3" applyNumberFormat="1" applyFont="1" applyFill="1" applyBorder="1"/>
    <xf numFmtId="164" fontId="4" fillId="0" borderId="1" xfId="3" applyNumberFormat="1" applyFont="1" applyBorder="1"/>
    <xf numFmtId="0" fontId="10" fillId="0" borderId="0" xfId="0" applyFont="1"/>
    <xf numFmtId="167" fontId="2" fillId="0" borderId="0" xfId="0" applyNumberFormat="1" applyFont="1"/>
    <xf numFmtId="9" fontId="10" fillId="0" borderId="0" xfId="5" applyFont="1"/>
    <xf numFmtId="0" fontId="17" fillId="0" borderId="0" xfId="0" applyFont="1"/>
    <xf numFmtId="4" fontId="2" fillId="0" borderId="0" xfId="0" applyNumberFormat="1" applyFont="1"/>
    <xf numFmtId="5" fontId="5" fillId="0" borderId="0" xfId="2" applyNumberFormat="1" applyFont="1" applyFill="1"/>
    <xf numFmtId="165" fontId="10" fillId="0" borderId="0" xfId="5" applyNumberFormat="1" applyFont="1" applyFill="1"/>
    <xf numFmtId="164" fontId="4" fillId="0" borderId="0" xfId="2" applyNumberFormat="1" applyFont="1"/>
    <xf numFmtId="0" fontId="18" fillId="0" borderId="0" xfId="4" applyBorder="1" applyAlignment="1" applyProtection="1"/>
    <xf numFmtId="0" fontId="5" fillId="0" borderId="0" xfId="0" applyFont="1" applyAlignment="1">
      <alignment horizontal="center" vertical="center"/>
    </xf>
    <xf numFmtId="0" fontId="3" fillId="0" borderId="0" xfId="0" applyFont="1" applyAlignment="1">
      <alignment horizontal="right"/>
    </xf>
    <xf numFmtId="0" fontId="20" fillId="0" borderId="0" xfId="0" applyFont="1" applyAlignment="1">
      <alignment horizontal="center"/>
    </xf>
    <xf numFmtId="0" fontId="20" fillId="0" borderId="0" xfId="0" applyFont="1"/>
    <xf numFmtId="0" fontId="22" fillId="0" borderId="0" xfId="0" applyFont="1"/>
    <xf numFmtId="0" fontId="23" fillId="0" borderId="0" xfId="0" applyFont="1" applyAlignment="1">
      <alignment horizontal="center"/>
    </xf>
    <xf numFmtId="0" fontId="24" fillId="0" borderId="0" xfId="0" applyFont="1"/>
    <xf numFmtId="0" fontId="20" fillId="4" borderId="1" xfId="0" applyFont="1" applyFill="1" applyBorder="1" applyAlignment="1">
      <alignment horizontal="center"/>
    </xf>
    <xf numFmtId="0" fontId="24" fillId="4" borderId="1" xfId="0" applyFont="1" applyFill="1" applyBorder="1"/>
    <xf numFmtId="5" fontId="23" fillId="4" borderId="1" xfId="2" applyNumberFormat="1" applyFont="1" applyFill="1" applyBorder="1"/>
    <xf numFmtId="0" fontId="20" fillId="0" borderId="0" xfId="0" applyFont="1" applyAlignment="1">
      <alignment horizontal="left" indent="1"/>
    </xf>
    <xf numFmtId="165" fontId="20" fillId="0" borderId="0" xfId="5" applyNumberFormat="1" applyFont="1" applyBorder="1"/>
    <xf numFmtId="165" fontId="21" fillId="0" borderId="0" xfId="5" applyNumberFormat="1" applyFont="1" applyBorder="1"/>
    <xf numFmtId="37" fontId="21" fillId="3" borderId="0" xfId="2" applyNumberFormat="1" applyFont="1" applyFill="1" applyBorder="1"/>
    <xf numFmtId="0" fontId="24" fillId="4" borderId="0" xfId="0" applyFont="1" applyFill="1"/>
    <xf numFmtId="42" fontId="23" fillId="4" borderId="0" xfId="2" applyNumberFormat="1" applyFont="1" applyFill="1" applyBorder="1"/>
    <xf numFmtId="0" fontId="20" fillId="0" borderId="0" xfId="0" applyFont="1" applyAlignment="1">
      <alignment horizontal="left"/>
    </xf>
    <xf numFmtId="165" fontId="20" fillId="0" borderId="0" xfId="5" applyNumberFormat="1" applyFont="1" applyFill="1" applyBorder="1"/>
    <xf numFmtId="165" fontId="21" fillId="0" borderId="0" xfId="5" applyNumberFormat="1" applyFont="1" applyFill="1" applyBorder="1"/>
    <xf numFmtId="0" fontId="21" fillId="0" borderId="0" xfId="0" applyFont="1" applyAlignment="1">
      <alignment horizontal="left" indent="1"/>
    </xf>
    <xf numFmtId="0" fontId="25" fillId="0" borderId="0" xfId="0" applyFont="1" applyAlignment="1">
      <alignment horizontal="center"/>
    </xf>
    <xf numFmtId="164" fontId="2" fillId="0" borderId="0" xfId="0" applyNumberFormat="1" applyFont="1"/>
    <xf numFmtId="0" fontId="4" fillId="0" borderId="0" xfId="0" applyFont="1" applyAlignment="1">
      <alignment horizontal="right"/>
    </xf>
    <xf numFmtId="5" fontId="3" fillId="0" borderId="0" xfId="0" applyNumberFormat="1" applyFont="1" applyAlignment="1">
      <alignment horizontal="right"/>
    </xf>
    <xf numFmtId="5" fontId="5" fillId="2" borderId="1" xfId="3" applyNumberFormat="1" applyFont="1" applyFill="1" applyBorder="1" applyAlignment="1">
      <alignment horizontal="right"/>
    </xf>
    <xf numFmtId="5" fontId="4" fillId="0" borderId="0" xfId="0" applyNumberFormat="1" applyFont="1" applyAlignment="1">
      <alignment horizontal="right"/>
    </xf>
    <xf numFmtId="5" fontId="5" fillId="0" borderId="0" xfId="3" applyNumberFormat="1" applyFont="1" applyAlignment="1">
      <alignment horizontal="right"/>
    </xf>
    <xf numFmtId="37" fontId="4" fillId="0" borderId="0" xfId="0" applyNumberFormat="1" applyFont="1" applyAlignment="1">
      <alignment horizontal="right"/>
    </xf>
    <xf numFmtId="42" fontId="23" fillId="4" borderId="3" xfId="2" applyNumberFormat="1" applyFont="1" applyFill="1" applyBorder="1"/>
    <xf numFmtId="43" fontId="4" fillId="3" borderId="0" xfId="2" applyFont="1" applyFill="1"/>
    <xf numFmtId="43" fontId="4" fillId="0" borderId="0" xfId="2" applyFont="1"/>
    <xf numFmtId="164" fontId="2" fillId="0" borderId="0" xfId="2" applyNumberFormat="1" applyFont="1" applyFill="1" applyAlignment="1">
      <alignment horizontal="right"/>
    </xf>
    <xf numFmtId="164" fontId="4" fillId="0" borderId="0" xfId="2" applyNumberFormat="1" applyFont="1" applyBorder="1" applyAlignment="1">
      <alignment horizontal="right"/>
    </xf>
    <xf numFmtId="164" fontId="4" fillId="0" borderId="0" xfId="2" applyNumberFormat="1" applyFont="1" applyFill="1" applyBorder="1" applyAlignment="1">
      <alignment horizontal="right"/>
    </xf>
    <xf numFmtId="164" fontId="4" fillId="0" borderId="0" xfId="2" applyNumberFormat="1" applyFont="1" applyBorder="1"/>
    <xf numFmtId="164" fontId="4" fillId="0" borderId="0" xfId="2" applyNumberFormat="1" applyFont="1" applyAlignment="1">
      <alignment horizontal="right"/>
    </xf>
    <xf numFmtId="5" fontId="21" fillId="5" borderId="0" xfId="0" applyNumberFormat="1" applyFont="1" applyFill="1"/>
    <xf numFmtId="9" fontId="21" fillId="5" borderId="0" xfId="0" applyNumberFormat="1" applyFont="1" applyFill="1"/>
    <xf numFmtId="165" fontId="21" fillId="0" borderId="0" xfId="0" applyNumberFormat="1" applyFont="1"/>
    <xf numFmtId="9" fontId="4" fillId="0" borderId="0" xfId="5" applyFont="1" applyBorder="1"/>
    <xf numFmtId="165" fontId="4" fillId="0" borderId="0" xfId="5" applyNumberFormat="1" applyFont="1"/>
    <xf numFmtId="0" fontId="28" fillId="0" borderId="0" xfId="0" applyFont="1"/>
    <xf numFmtId="164" fontId="28" fillId="0" borderId="0" xfId="2" applyNumberFormat="1" applyFont="1" applyFill="1"/>
    <xf numFmtId="165" fontId="2" fillId="0" borderId="0" xfId="5" applyNumberFormat="1" applyFont="1" applyBorder="1"/>
    <xf numFmtId="5" fontId="22" fillId="0" borderId="0" xfId="0" applyNumberFormat="1" applyFont="1"/>
    <xf numFmtId="164" fontId="2" fillId="0" borderId="0" xfId="2" applyNumberFormat="1" applyFont="1" applyFill="1" applyBorder="1" applyAlignment="1">
      <alignment horizontal="right"/>
    </xf>
    <xf numFmtId="164" fontId="4" fillId="0" borderId="0" xfId="2" quotePrefix="1" applyNumberFormat="1" applyFont="1"/>
    <xf numFmtId="0" fontId="29" fillId="0" borderId="0" xfId="0" applyFont="1"/>
    <xf numFmtId="5" fontId="2" fillId="6" borderId="0" xfId="0" applyNumberFormat="1" applyFont="1" applyFill="1"/>
    <xf numFmtId="164" fontId="2" fillId="6" borderId="0" xfId="2" applyNumberFormat="1" applyFont="1" applyFill="1" applyBorder="1"/>
    <xf numFmtId="5" fontId="5" fillId="6" borderId="0" xfId="0" applyNumberFormat="1" applyFont="1" applyFill="1"/>
    <xf numFmtId="164" fontId="22" fillId="0" borderId="0" xfId="2" applyNumberFormat="1" applyFont="1"/>
    <xf numFmtId="43" fontId="10" fillId="0" borderId="0" xfId="2" applyFont="1"/>
    <xf numFmtId="164" fontId="10" fillId="0" borderId="0" xfId="2" applyNumberFormat="1" applyFont="1"/>
    <xf numFmtId="0" fontId="20" fillId="0" borderId="0" xfId="0" applyFont="1" applyAlignment="1">
      <alignment horizontal="center" vertical="center"/>
    </xf>
    <xf numFmtId="0" fontId="20" fillId="0" borderId="0" xfId="0" applyFont="1" applyAlignment="1">
      <alignment vertical="center"/>
    </xf>
    <xf numFmtId="0" fontId="22" fillId="0" borderId="0" xfId="0" applyFont="1" applyAlignment="1">
      <alignment vertical="center"/>
    </xf>
    <xf numFmtId="165" fontId="10" fillId="0" borderId="0" xfId="5" applyNumberFormat="1" applyFont="1" applyFill="1" applyBorder="1" applyAlignment="1">
      <alignment horizontal="right"/>
    </xf>
    <xf numFmtId="165" fontId="22" fillId="0" borderId="3" xfId="5" applyNumberFormat="1" applyFont="1" applyBorder="1"/>
    <xf numFmtId="165" fontId="4" fillId="0" borderId="0" xfId="5" applyNumberFormat="1" applyFont="1" applyFill="1"/>
    <xf numFmtId="165" fontId="2" fillId="0" borderId="0" xfId="5" applyNumberFormat="1" applyFont="1" applyFill="1"/>
    <xf numFmtId="164" fontId="2" fillId="0" borderId="0" xfId="2" applyNumberFormat="1" applyFont="1" applyBorder="1" applyAlignment="1">
      <alignment horizontal="right" vertical="center"/>
    </xf>
    <xf numFmtId="164" fontId="2" fillId="0" borderId="0" xfId="2" applyNumberFormat="1" applyFont="1" applyFill="1" applyBorder="1" applyAlignment="1">
      <alignment horizontal="right" vertical="center"/>
    </xf>
    <xf numFmtId="164" fontId="2" fillId="0" borderId="0" xfId="2" applyNumberFormat="1" applyFont="1" applyAlignment="1">
      <alignment vertical="center"/>
    </xf>
    <xf numFmtId="164" fontId="2" fillId="0" borderId="0" xfId="0" applyNumberFormat="1" applyFont="1" applyAlignment="1">
      <alignment vertical="center"/>
    </xf>
    <xf numFmtId="0" fontId="2" fillId="0" borderId="0" xfId="0" applyFont="1" applyAlignment="1">
      <alignment horizontal="right"/>
    </xf>
    <xf numFmtId="164" fontId="2" fillId="0" borderId="0" xfId="2" applyNumberFormat="1" applyFont="1" applyAlignment="1">
      <alignment horizontal="right"/>
    </xf>
    <xf numFmtId="165" fontId="10" fillId="0" borderId="0" xfId="5" applyNumberFormat="1" applyFont="1" applyFill="1" applyBorder="1"/>
    <xf numFmtId="42" fontId="23" fillId="4" borderId="1" xfId="2" applyNumberFormat="1" applyFont="1" applyFill="1" applyBorder="1"/>
    <xf numFmtId="164" fontId="2" fillId="0" borderId="0" xfId="2" applyNumberFormat="1" applyFont="1" applyFill="1" applyBorder="1"/>
    <xf numFmtId="164" fontId="4" fillId="0" borderId="0" xfId="0" applyNumberFormat="1" applyFont="1"/>
    <xf numFmtId="2" fontId="2" fillId="0" borderId="0" xfId="0" applyNumberFormat="1" applyFont="1"/>
    <xf numFmtId="5" fontId="21" fillId="0" borderId="0" xfId="0" applyNumberFormat="1" applyFont="1"/>
    <xf numFmtId="43" fontId="4" fillId="0" borderId="0" xfId="0" applyNumberFormat="1" applyFont="1"/>
    <xf numFmtId="0" fontId="30" fillId="0" borderId="12" xfId="0" applyFont="1" applyBorder="1" applyAlignment="1">
      <alignment horizontal="center" vertical="center"/>
    </xf>
    <xf numFmtId="5" fontId="5" fillId="0" borderId="0" xfId="0" applyNumberFormat="1" applyFont="1"/>
    <xf numFmtId="5" fontId="5" fillId="0" borderId="0" xfId="3" applyNumberFormat="1" applyFont="1" applyFill="1" applyAlignment="1">
      <alignment horizontal="right"/>
    </xf>
    <xf numFmtId="42" fontId="23" fillId="0" borderId="0" xfId="2" applyNumberFormat="1" applyFont="1" applyFill="1" applyBorder="1"/>
    <xf numFmtId="37" fontId="21" fillId="0" borderId="0" xfId="2" applyNumberFormat="1" applyFont="1" applyFill="1" applyBorder="1"/>
    <xf numFmtId="43" fontId="32" fillId="0" borderId="0" xfId="2" applyFont="1" applyFill="1"/>
    <xf numFmtId="0" fontId="21" fillId="0" borderId="0" xfId="0" applyFont="1"/>
    <xf numFmtId="164" fontId="22" fillId="0" borderId="0" xfId="0" applyNumberFormat="1" applyFont="1"/>
    <xf numFmtId="37" fontId="2" fillId="0" borderId="0" xfId="2" applyNumberFormat="1" applyFont="1" applyFill="1"/>
    <xf numFmtId="2" fontId="4" fillId="0" borderId="0" xfId="0" applyNumberFormat="1" applyFont="1"/>
    <xf numFmtId="9" fontId="2" fillId="0" borderId="0" xfId="5" applyFont="1" applyFill="1" applyBorder="1"/>
    <xf numFmtId="165" fontId="10" fillId="0" borderId="0" xfId="5" applyNumberFormat="1" applyFont="1" applyFill="1" applyAlignment="1">
      <alignment horizontal="right"/>
    </xf>
    <xf numFmtId="10" fontId="2" fillId="0" borderId="0" xfId="5" applyNumberFormat="1" applyFont="1" applyBorder="1"/>
    <xf numFmtId="165" fontId="22" fillId="0" borderId="0" xfId="5" applyNumberFormat="1" applyFont="1"/>
    <xf numFmtId="164" fontId="22" fillId="0" borderId="0" xfId="2" applyNumberFormat="1" applyFont="1" applyFill="1"/>
    <xf numFmtId="7" fontId="2" fillId="0" borderId="0" xfId="0" applyNumberFormat="1" applyFont="1"/>
    <xf numFmtId="0" fontId="21" fillId="0" borderId="0" xfId="0" applyFont="1" applyAlignment="1">
      <alignment horizontal="right"/>
    </xf>
    <xf numFmtId="0" fontId="21" fillId="7" borderId="0" xfId="0" applyFont="1" applyFill="1" applyAlignment="1">
      <alignment horizontal="left" indent="1"/>
    </xf>
    <xf numFmtId="5" fontId="21" fillId="7" borderId="0" xfId="0" applyNumberFormat="1" applyFont="1" applyFill="1"/>
    <xf numFmtId="165" fontId="21" fillId="0" borderId="0" xfId="0" applyNumberFormat="1" applyFont="1" applyAlignment="1">
      <alignment horizontal="right"/>
    </xf>
    <xf numFmtId="0" fontId="35" fillId="0" borderId="0" xfId="0" applyFont="1"/>
    <xf numFmtId="9" fontId="2" fillId="0" borderId="0" xfId="5" applyFont="1"/>
    <xf numFmtId="164" fontId="4" fillId="0" borderId="0" xfId="0" applyNumberFormat="1" applyFont="1" applyAlignment="1">
      <alignment horizontal="right"/>
    </xf>
    <xf numFmtId="165" fontId="22" fillId="0" borderId="0" xfId="5" applyNumberFormat="1" applyFont="1" applyFill="1"/>
    <xf numFmtId="39" fontId="2" fillId="0" borderId="0" xfId="2" applyNumberFormat="1" applyFont="1" applyFill="1" applyBorder="1"/>
    <xf numFmtId="39" fontId="2" fillId="0" borderId="0" xfId="0" applyNumberFormat="1" applyFont="1"/>
    <xf numFmtId="39" fontId="5" fillId="0" borderId="0" xfId="2" applyNumberFormat="1" applyFont="1" applyFill="1" applyBorder="1"/>
    <xf numFmtId="39" fontId="10" fillId="0" borderId="0" xfId="5" applyNumberFormat="1" applyFont="1" applyFill="1" applyBorder="1"/>
    <xf numFmtId="39" fontId="10" fillId="0" borderId="0" xfId="5" applyNumberFormat="1" applyFont="1" applyFill="1" applyBorder="1" applyAlignment="1">
      <alignment horizontal="right"/>
    </xf>
    <xf numFmtId="39" fontId="2" fillId="0" borderId="0" xfId="2" applyNumberFormat="1" applyFont="1" applyFill="1" applyBorder="1" applyAlignment="1">
      <alignment horizontal="right"/>
    </xf>
    <xf numFmtId="39" fontId="2" fillId="0" borderId="0" xfId="2" applyNumberFormat="1" applyFont="1" applyFill="1" applyBorder="1" applyAlignment="1">
      <alignment vertical="center"/>
    </xf>
    <xf numFmtId="0" fontId="9" fillId="0" borderId="0" xfId="0" applyFont="1" applyAlignment="1">
      <alignment horizontal="left" wrapText="1" indent="2"/>
    </xf>
    <xf numFmtId="164" fontId="4" fillId="0" borderId="0" xfId="2" applyNumberFormat="1" applyFont="1" applyFill="1"/>
    <xf numFmtId="37" fontId="2" fillId="0" borderId="0" xfId="2" applyNumberFormat="1" applyFont="1" applyFill="1" applyBorder="1" applyAlignment="1">
      <alignment horizontal="right"/>
    </xf>
    <xf numFmtId="43" fontId="2" fillId="0" borderId="0" xfId="2" applyFont="1" applyFill="1" applyBorder="1" applyAlignment="1">
      <alignment horizontal="right"/>
    </xf>
    <xf numFmtId="43" fontId="2" fillId="0" borderId="0" xfId="2" applyFont="1" applyFill="1"/>
    <xf numFmtId="0" fontId="37" fillId="0" borderId="0" xfId="0" applyFont="1" applyAlignment="1">
      <alignment horizontal="left" indent="1"/>
    </xf>
    <xf numFmtId="0" fontId="37" fillId="0" borderId="0" xfId="0" applyFont="1" applyAlignment="1">
      <alignment horizontal="left"/>
    </xf>
    <xf numFmtId="39" fontId="36" fillId="0" borderId="0" xfId="0" applyNumberFormat="1" applyFont="1" applyAlignment="1">
      <alignment horizontal="center"/>
    </xf>
    <xf numFmtId="0" fontId="38" fillId="0" borderId="0" xfId="0" applyFont="1"/>
    <xf numFmtId="5" fontId="39" fillId="0" borderId="0" xfId="0" applyNumberFormat="1" applyFont="1"/>
    <xf numFmtId="0" fontId="40" fillId="0" borderId="0" xfId="0" applyFont="1"/>
    <xf numFmtId="0" fontId="41" fillId="0" borderId="0" xfId="0" applyFont="1"/>
    <xf numFmtId="0" fontId="42" fillId="0" borderId="0" xfId="0" applyFont="1"/>
    <xf numFmtId="0" fontId="43" fillId="0" borderId="0" xfId="0" applyFont="1"/>
    <xf numFmtId="168" fontId="5" fillId="0" borderId="0" xfId="0" applyNumberFormat="1" applyFont="1"/>
    <xf numFmtId="165" fontId="39" fillId="0" borderId="0" xfId="0" applyNumberFormat="1" applyFont="1"/>
    <xf numFmtId="164" fontId="39" fillId="0" borderId="0" xfId="0" applyNumberFormat="1" applyFont="1"/>
    <xf numFmtId="169" fontId="32" fillId="0" borderId="0" xfId="8" applyNumberFormat="1" applyFont="1"/>
    <xf numFmtId="165" fontId="22" fillId="0" borderId="0" xfId="0" applyNumberFormat="1" applyFont="1"/>
    <xf numFmtId="42" fontId="22" fillId="0" borderId="0" xfId="0" applyNumberFormat="1" applyFont="1"/>
    <xf numFmtId="9" fontId="22" fillId="0" borderId="0" xfId="0" applyNumberFormat="1" applyFont="1"/>
    <xf numFmtId="37" fontId="4" fillId="0" borderId="0" xfId="0" applyNumberFormat="1" applyFont="1"/>
    <xf numFmtId="164" fontId="5" fillId="0" borderId="0" xfId="2" applyNumberFormat="1" applyFont="1" applyFill="1" applyBorder="1"/>
    <xf numFmtId="0" fontId="36" fillId="0" borderId="0" xfId="0" applyFont="1"/>
    <xf numFmtId="0" fontId="30" fillId="0" borderId="13" xfId="0" applyFont="1" applyBorder="1" applyAlignment="1">
      <alignment horizontal="center" vertical="center"/>
    </xf>
    <xf numFmtId="0" fontId="4" fillId="8" borderId="0" xfId="0" applyFont="1" applyFill="1"/>
    <xf numFmtId="165" fontId="22" fillId="0" borderId="0" xfId="5" applyNumberFormat="1" applyFont="1" applyBorder="1"/>
    <xf numFmtId="166" fontId="2" fillId="0" borderId="0" xfId="2" applyNumberFormat="1" applyFont="1" applyFill="1" applyBorder="1" applyAlignment="1">
      <alignment horizontal="right"/>
    </xf>
    <xf numFmtId="5" fontId="3" fillId="0" borderId="1" xfId="3" applyNumberFormat="1" applyFont="1" applyFill="1" applyBorder="1"/>
    <xf numFmtId="0" fontId="2" fillId="8" borderId="0" xfId="0" applyFont="1" applyFill="1"/>
    <xf numFmtId="0" fontId="5" fillId="8" borderId="0" xfId="0" applyFont="1" applyFill="1"/>
    <xf numFmtId="0" fontId="2" fillId="0" borderId="5" xfId="0" applyFont="1" applyBorder="1" applyAlignment="1">
      <alignment horizontal="left" wrapText="1" indent="1"/>
    </xf>
    <xf numFmtId="0" fontId="26" fillId="0" borderId="10" xfId="0" applyFont="1" applyBorder="1" applyAlignment="1">
      <alignment horizontal="center" vertical="center"/>
    </xf>
    <xf numFmtId="5" fontId="23" fillId="0" borderId="1" xfId="2" applyNumberFormat="1" applyFont="1" applyFill="1" applyBorder="1"/>
    <xf numFmtId="5" fontId="23" fillId="0" borderId="0" xfId="2" applyNumberFormat="1" applyFont="1" applyFill="1" applyBorder="1"/>
    <xf numFmtId="169" fontId="23" fillId="4" borderId="1" xfId="8" applyNumberFormat="1" applyFont="1" applyFill="1" applyBorder="1"/>
    <xf numFmtId="0" fontId="45" fillId="0" borderId="0" xfId="0" applyFont="1"/>
    <xf numFmtId="0" fontId="46" fillId="0" borderId="0" xfId="0" applyFont="1"/>
    <xf numFmtId="43" fontId="29" fillId="0" borderId="0" xfId="2" applyFont="1"/>
    <xf numFmtId="165" fontId="10" fillId="0" borderId="2" xfId="5" applyNumberFormat="1" applyFont="1" applyFill="1" applyBorder="1"/>
    <xf numFmtId="165" fontId="10" fillId="0" borderId="2" xfId="5" applyNumberFormat="1" applyFont="1" applyFill="1" applyBorder="1" applyAlignment="1">
      <alignment horizontal="right"/>
    </xf>
    <xf numFmtId="0" fontId="2" fillId="0" borderId="5" xfId="1" applyBorder="1" applyAlignment="1">
      <alignment horizontal="left" indent="2"/>
    </xf>
    <xf numFmtId="7" fontId="2" fillId="0" borderId="0" xfId="2" applyNumberFormat="1" applyFont="1" applyFill="1"/>
    <xf numFmtId="0" fontId="2" fillId="0" borderId="7" xfId="1" applyBorder="1" applyAlignment="1">
      <alignment horizontal="left" indent="1"/>
    </xf>
    <xf numFmtId="164" fontId="2" fillId="0" borderId="6" xfId="2" applyNumberFormat="1" applyFont="1" applyFill="1" applyBorder="1"/>
    <xf numFmtId="0" fontId="5" fillId="9" borderId="8" xfId="1" applyFont="1" applyFill="1" applyBorder="1"/>
    <xf numFmtId="7" fontId="5" fillId="9" borderId="1" xfId="2" applyNumberFormat="1" applyFont="1" applyFill="1" applyBorder="1" applyAlignment="1">
      <alignment horizontal="right"/>
    </xf>
    <xf numFmtId="7" fontId="5" fillId="9" borderId="1" xfId="2" applyNumberFormat="1" applyFont="1" applyFill="1" applyBorder="1"/>
    <xf numFmtId="43" fontId="2" fillId="0" borderId="0" xfId="2" applyFont="1" applyFill="1" applyBorder="1" applyAlignment="1">
      <alignment horizontal="right" vertical="center"/>
    </xf>
    <xf numFmtId="43" fontId="5" fillId="0" borderId="0" xfId="2" applyFont="1"/>
    <xf numFmtId="7" fontId="5" fillId="0" borderId="0" xfId="0" applyNumberFormat="1" applyFont="1"/>
    <xf numFmtId="5" fontId="5" fillId="0" borderId="0" xfId="2" applyNumberFormat="1" applyFont="1"/>
    <xf numFmtId="43" fontId="42" fillId="0" borderId="0" xfId="2" applyFont="1"/>
    <xf numFmtId="37" fontId="29" fillId="0" borderId="0" xfId="2" applyNumberFormat="1" applyFont="1" applyFill="1" applyBorder="1" applyAlignment="1">
      <alignment horizontal="right"/>
    </xf>
    <xf numFmtId="0" fontId="49" fillId="0" borderId="0" xfId="0" applyFont="1"/>
    <xf numFmtId="43" fontId="36" fillId="0" borderId="0" xfId="2" applyFont="1"/>
    <xf numFmtId="164" fontId="29" fillId="0" borderId="0" xfId="0" applyNumberFormat="1" applyFont="1"/>
    <xf numFmtId="0" fontId="23" fillId="0" borderId="12" xfId="0" applyFont="1" applyBorder="1" applyAlignment="1">
      <alignment horizontal="center"/>
    </xf>
    <xf numFmtId="5" fontId="4" fillId="0" borderId="0" xfId="2" applyNumberFormat="1" applyFont="1"/>
    <xf numFmtId="43" fontId="0" fillId="0" borderId="0" xfId="0" applyNumberFormat="1"/>
    <xf numFmtId="0" fontId="18" fillId="0" borderId="0" xfId="4" applyAlignment="1" applyProtection="1"/>
    <xf numFmtId="43" fontId="39" fillId="0" borderId="0" xfId="2" applyFont="1"/>
    <xf numFmtId="0" fontId="9" fillId="8" borderId="0" xfId="0" applyFont="1" applyFill="1" applyAlignment="1">
      <alignment horizontal="left" wrapText="1" indent="1"/>
    </xf>
    <xf numFmtId="164" fontId="36" fillId="0" borderId="0" xfId="2" applyNumberFormat="1" applyFont="1" applyFill="1" applyBorder="1"/>
    <xf numFmtId="39" fontId="50" fillId="0" borderId="0" xfId="2" applyNumberFormat="1" applyFont="1" applyFill="1" applyBorder="1"/>
    <xf numFmtId="0" fontId="9" fillId="8" borderId="0" xfId="0" applyFont="1" applyFill="1" applyAlignment="1">
      <alignment horizontal="left" wrapText="1" indent="2"/>
    </xf>
    <xf numFmtId="43" fontId="2" fillId="0" borderId="0" xfId="2" applyFont="1" applyFill="1" applyAlignment="1"/>
    <xf numFmtId="37" fontId="5" fillId="0" borderId="0" xfId="2" applyNumberFormat="1" applyFont="1" applyFill="1" applyBorder="1"/>
    <xf numFmtId="164" fontId="2" fillId="0" borderId="0" xfId="2" quotePrefix="1" applyNumberFormat="1" applyFont="1" applyFill="1" applyBorder="1"/>
    <xf numFmtId="164" fontId="29" fillId="0" borderId="0" xfId="2" applyNumberFormat="1" applyFont="1" applyFill="1" applyBorder="1"/>
    <xf numFmtId="165" fontId="51" fillId="0" borderId="0" xfId="0" applyNumberFormat="1" applyFont="1"/>
    <xf numFmtId="0" fontId="47" fillId="0" borderId="0" xfId="0" applyFont="1" applyAlignment="1">
      <alignment horizontal="center" wrapText="1"/>
    </xf>
    <xf numFmtId="0" fontId="23" fillId="0" borderId="9" xfId="0" applyFont="1" applyBorder="1" applyAlignment="1">
      <alignment horizontal="center"/>
    </xf>
    <xf numFmtId="0" fontId="23" fillId="0" borderId="10" xfId="0" applyFont="1" applyBorder="1" applyAlignment="1">
      <alignment horizontal="center"/>
    </xf>
    <xf numFmtId="0" fontId="23" fillId="0" borderId="11" xfId="0" applyFont="1" applyBorder="1" applyAlignment="1">
      <alignment horizontal="center"/>
    </xf>
    <xf numFmtId="0" fontId="24" fillId="0" borderId="0" xfId="0" applyFont="1" applyAlignment="1">
      <alignment horizontal="left"/>
    </xf>
  </cellXfs>
  <cellStyles count="9">
    <cellStyle name="%" xfId="1" xr:uid="{00000000-0005-0000-0000-000000000000}"/>
    <cellStyle name="Comma" xfId="2" builtinId="3"/>
    <cellStyle name="Comma 2" xfId="3" xr:uid="{00000000-0005-0000-0000-000002000000}"/>
    <cellStyle name="Currency" xfId="8" builtinId="4"/>
    <cellStyle name="Hyperlink" xfId="4" builtinId="8"/>
    <cellStyle name="Normal" xfId="0" builtinId="0"/>
    <cellStyle name="Percent" xfId="5" builtinId="5"/>
    <cellStyle name="Percent 2" xfId="6" xr:uid="{00000000-0005-0000-0000-000007000000}"/>
    <cellStyle name="Percent 3"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09.xml"/><Relationship Id="rId21" Type="http://schemas.openxmlformats.org/officeDocument/2006/relationships/externalLink" Target="externalLinks/externalLink13.xml"/><Relationship Id="rId42" Type="http://schemas.openxmlformats.org/officeDocument/2006/relationships/externalLink" Target="externalLinks/externalLink34.xml"/><Relationship Id="rId63" Type="http://schemas.openxmlformats.org/officeDocument/2006/relationships/externalLink" Target="externalLinks/externalLink55.xml"/><Relationship Id="rId84" Type="http://schemas.openxmlformats.org/officeDocument/2006/relationships/externalLink" Target="externalLinks/externalLink76.xml"/><Relationship Id="rId138" Type="http://schemas.openxmlformats.org/officeDocument/2006/relationships/externalLink" Target="externalLinks/externalLink130.xml"/><Relationship Id="rId159" Type="http://schemas.openxmlformats.org/officeDocument/2006/relationships/externalLink" Target="externalLinks/externalLink151.xml"/><Relationship Id="rId170" Type="http://schemas.openxmlformats.org/officeDocument/2006/relationships/externalLink" Target="externalLinks/externalLink162.xml"/><Relationship Id="rId191" Type="http://schemas.openxmlformats.org/officeDocument/2006/relationships/externalLink" Target="externalLinks/externalLink183.xml"/><Relationship Id="rId107" Type="http://schemas.openxmlformats.org/officeDocument/2006/relationships/externalLink" Target="externalLinks/externalLink99.xml"/><Relationship Id="rId11" Type="http://schemas.openxmlformats.org/officeDocument/2006/relationships/externalLink" Target="externalLinks/externalLink3.xml"/><Relationship Id="rId32" Type="http://schemas.openxmlformats.org/officeDocument/2006/relationships/externalLink" Target="externalLinks/externalLink24.xml"/><Relationship Id="rId53" Type="http://schemas.openxmlformats.org/officeDocument/2006/relationships/externalLink" Target="externalLinks/externalLink45.xml"/><Relationship Id="rId74" Type="http://schemas.openxmlformats.org/officeDocument/2006/relationships/externalLink" Target="externalLinks/externalLink66.xml"/><Relationship Id="rId128" Type="http://schemas.openxmlformats.org/officeDocument/2006/relationships/externalLink" Target="externalLinks/externalLink120.xml"/><Relationship Id="rId149" Type="http://schemas.openxmlformats.org/officeDocument/2006/relationships/externalLink" Target="externalLinks/externalLink141.xml"/><Relationship Id="rId5" Type="http://schemas.openxmlformats.org/officeDocument/2006/relationships/worksheet" Target="worksheets/sheet5.xml"/><Relationship Id="rId95" Type="http://schemas.openxmlformats.org/officeDocument/2006/relationships/externalLink" Target="externalLinks/externalLink87.xml"/><Relationship Id="rId160" Type="http://schemas.openxmlformats.org/officeDocument/2006/relationships/externalLink" Target="externalLinks/externalLink152.xml"/><Relationship Id="rId181" Type="http://schemas.openxmlformats.org/officeDocument/2006/relationships/externalLink" Target="externalLinks/externalLink173.xml"/><Relationship Id="rId22" Type="http://schemas.openxmlformats.org/officeDocument/2006/relationships/externalLink" Target="externalLinks/externalLink14.xml"/><Relationship Id="rId43" Type="http://schemas.openxmlformats.org/officeDocument/2006/relationships/externalLink" Target="externalLinks/externalLink35.xml"/><Relationship Id="rId64" Type="http://schemas.openxmlformats.org/officeDocument/2006/relationships/externalLink" Target="externalLinks/externalLink56.xml"/><Relationship Id="rId118" Type="http://schemas.openxmlformats.org/officeDocument/2006/relationships/externalLink" Target="externalLinks/externalLink110.xml"/><Relationship Id="rId139" Type="http://schemas.openxmlformats.org/officeDocument/2006/relationships/externalLink" Target="externalLinks/externalLink131.xml"/><Relationship Id="rId85" Type="http://schemas.openxmlformats.org/officeDocument/2006/relationships/externalLink" Target="externalLinks/externalLink77.xml"/><Relationship Id="rId150" Type="http://schemas.openxmlformats.org/officeDocument/2006/relationships/externalLink" Target="externalLinks/externalLink142.xml"/><Relationship Id="rId171" Type="http://schemas.openxmlformats.org/officeDocument/2006/relationships/externalLink" Target="externalLinks/externalLink163.xml"/><Relationship Id="rId192" Type="http://schemas.openxmlformats.org/officeDocument/2006/relationships/externalLink" Target="externalLinks/externalLink184.xml"/><Relationship Id="rId12" Type="http://schemas.openxmlformats.org/officeDocument/2006/relationships/externalLink" Target="externalLinks/externalLink4.xml"/><Relationship Id="rId33" Type="http://schemas.openxmlformats.org/officeDocument/2006/relationships/externalLink" Target="externalLinks/externalLink25.xml"/><Relationship Id="rId108" Type="http://schemas.openxmlformats.org/officeDocument/2006/relationships/externalLink" Target="externalLinks/externalLink100.xml"/><Relationship Id="rId129" Type="http://schemas.openxmlformats.org/officeDocument/2006/relationships/externalLink" Target="externalLinks/externalLink121.xml"/><Relationship Id="rId54" Type="http://schemas.openxmlformats.org/officeDocument/2006/relationships/externalLink" Target="externalLinks/externalLink46.xml"/><Relationship Id="rId75" Type="http://schemas.openxmlformats.org/officeDocument/2006/relationships/externalLink" Target="externalLinks/externalLink67.xml"/><Relationship Id="rId96" Type="http://schemas.openxmlformats.org/officeDocument/2006/relationships/externalLink" Target="externalLinks/externalLink88.xml"/><Relationship Id="rId140" Type="http://schemas.openxmlformats.org/officeDocument/2006/relationships/externalLink" Target="externalLinks/externalLink132.xml"/><Relationship Id="rId161" Type="http://schemas.openxmlformats.org/officeDocument/2006/relationships/externalLink" Target="externalLinks/externalLink153.xml"/><Relationship Id="rId182" Type="http://schemas.openxmlformats.org/officeDocument/2006/relationships/externalLink" Target="externalLinks/externalLink174.xml"/><Relationship Id="rId6" Type="http://schemas.openxmlformats.org/officeDocument/2006/relationships/worksheet" Target="worksheets/sheet6.xml"/><Relationship Id="rId23" Type="http://schemas.openxmlformats.org/officeDocument/2006/relationships/externalLink" Target="externalLinks/externalLink15.xml"/><Relationship Id="rId119" Type="http://schemas.openxmlformats.org/officeDocument/2006/relationships/externalLink" Target="externalLinks/externalLink111.xml"/><Relationship Id="rId44" Type="http://schemas.openxmlformats.org/officeDocument/2006/relationships/externalLink" Target="externalLinks/externalLink36.xml"/><Relationship Id="rId65" Type="http://schemas.openxmlformats.org/officeDocument/2006/relationships/externalLink" Target="externalLinks/externalLink57.xml"/><Relationship Id="rId86" Type="http://schemas.openxmlformats.org/officeDocument/2006/relationships/externalLink" Target="externalLinks/externalLink78.xml"/><Relationship Id="rId130" Type="http://schemas.openxmlformats.org/officeDocument/2006/relationships/externalLink" Target="externalLinks/externalLink122.xml"/><Relationship Id="rId151" Type="http://schemas.openxmlformats.org/officeDocument/2006/relationships/externalLink" Target="externalLinks/externalLink143.xml"/><Relationship Id="rId172" Type="http://schemas.openxmlformats.org/officeDocument/2006/relationships/externalLink" Target="externalLinks/externalLink164.xml"/><Relationship Id="rId193" Type="http://schemas.openxmlformats.org/officeDocument/2006/relationships/externalLink" Target="externalLinks/externalLink185.xml"/><Relationship Id="rId13" Type="http://schemas.openxmlformats.org/officeDocument/2006/relationships/externalLink" Target="externalLinks/externalLink5.xml"/><Relationship Id="rId109" Type="http://schemas.openxmlformats.org/officeDocument/2006/relationships/externalLink" Target="externalLinks/externalLink101.xml"/><Relationship Id="rId34" Type="http://schemas.openxmlformats.org/officeDocument/2006/relationships/externalLink" Target="externalLinks/externalLink26.xml"/><Relationship Id="rId55" Type="http://schemas.openxmlformats.org/officeDocument/2006/relationships/externalLink" Target="externalLinks/externalLink47.xml"/><Relationship Id="rId76" Type="http://schemas.openxmlformats.org/officeDocument/2006/relationships/externalLink" Target="externalLinks/externalLink68.xml"/><Relationship Id="rId97" Type="http://schemas.openxmlformats.org/officeDocument/2006/relationships/externalLink" Target="externalLinks/externalLink89.xml"/><Relationship Id="rId120" Type="http://schemas.openxmlformats.org/officeDocument/2006/relationships/externalLink" Target="externalLinks/externalLink112.xml"/><Relationship Id="rId141" Type="http://schemas.openxmlformats.org/officeDocument/2006/relationships/externalLink" Target="externalLinks/externalLink133.xml"/><Relationship Id="rId7" Type="http://schemas.openxmlformats.org/officeDocument/2006/relationships/worksheet" Target="worksheets/sheet7.xml"/><Relationship Id="rId71" Type="http://schemas.openxmlformats.org/officeDocument/2006/relationships/externalLink" Target="externalLinks/externalLink63.xml"/><Relationship Id="rId92" Type="http://schemas.openxmlformats.org/officeDocument/2006/relationships/externalLink" Target="externalLinks/externalLink84.xml"/><Relationship Id="rId162" Type="http://schemas.openxmlformats.org/officeDocument/2006/relationships/externalLink" Target="externalLinks/externalLink154.xml"/><Relationship Id="rId183" Type="http://schemas.openxmlformats.org/officeDocument/2006/relationships/externalLink" Target="externalLinks/externalLink175.xml"/><Relationship Id="rId2" Type="http://schemas.openxmlformats.org/officeDocument/2006/relationships/worksheet" Target="worksheets/sheet2.xml"/><Relationship Id="rId29" Type="http://schemas.openxmlformats.org/officeDocument/2006/relationships/externalLink" Target="externalLinks/externalLink21.xml"/><Relationship Id="rId24" Type="http://schemas.openxmlformats.org/officeDocument/2006/relationships/externalLink" Target="externalLinks/externalLink16.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66" Type="http://schemas.openxmlformats.org/officeDocument/2006/relationships/externalLink" Target="externalLinks/externalLink58.xml"/><Relationship Id="rId87" Type="http://schemas.openxmlformats.org/officeDocument/2006/relationships/externalLink" Target="externalLinks/externalLink79.xml"/><Relationship Id="rId110" Type="http://schemas.openxmlformats.org/officeDocument/2006/relationships/externalLink" Target="externalLinks/externalLink102.xml"/><Relationship Id="rId115" Type="http://schemas.openxmlformats.org/officeDocument/2006/relationships/externalLink" Target="externalLinks/externalLink107.xml"/><Relationship Id="rId131" Type="http://schemas.openxmlformats.org/officeDocument/2006/relationships/externalLink" Target="externalLinks/externalLink123.xml"/><Relationship Id="rId136" Type="http://schemas.openxmlformats.org/officeDocument/2006/relationships/externalLink" Target="externalLinks/externalLink128.xml"/><Relationship Id="rId157" Type="http://schemas.openxmlformats.org/officeDocument/2006/relationships/externalLink" Target="externalLinks/externalLink149.xml"/><Relationship Id="rId178" Type="http://schemas.openxmlformats.org/officeDocument/2006/relationships/externalLink" Target="externalLinks/externalLink170.xml"/><Relationship Id="rId61" Type="http://schemas.openxmlformats.org/officeDocument/2006/relationships/externalLink" Target="externalLinks/externalLink53.xml"/><Relationship Id="rId82" Type="http://schemas.openxmlformats.org/officeDocument/2006/relationships/externalLink" Target="externalLinks/externalLink74.xml"/><Relationship Id="rId152" Type="http://schemas.openxmlformats.org/officeDocument/2006/relationships/externalLink" Target="externalLinks/externalLink144.xml"/><Relationship Id="rId173" Type="http://schemas.openxmlformats.org/officeDocument/2006/relationships/externalLink" Target="externalLinks/externalLink165.xml"/><Relationship Id="rId194" Type="http://schemas.openxmlformats.org/officeDocument/2006/relationships/externalLink" Target="externalLinks/externalLink186.xml"/><Relationship Id="rId199" Type="http://schemas.openxmlformats.org/officeDocument/2006/relationships/sharedStrings" Target="sharedStrings.xml"/><Relationship Id="rId19" Type="http://schemas.openxmlformats.org/officeDocument/2006/relationships/externalLink" Target="externalLinks/externalLink11.xml"/><Relationship Id="rId14" Type="http://schemas.openxmlformats.org/officeDocument/2006/relationships/externalLink" Target="externalLinks/externalLink6.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56" Type="http://schemas.openxmlformats.org/officeDocument/2006/relationships/externalLink" Target="externalLinks/externalLink48.xml"/><Relationship Id="rId77" Type="http://schemas.openxmlformats.org/officeDocument/2006/relationships/externalLink" Target="externalLinks/externalLink69.xml"/><Relationship Id="rId100" Type="http://schemas.openxmlformats.org/officeDocument/2006/relationships/externalLink" Target="externalLinks/externalLink92.xml"/><Relationship Id="rId105" Type="http://schemas.openxmlformats.org/officeDocument/2006/relationships/externalLink" Target="externalLinks/externalLink97.xml"/><Relationship Id="rId126" Type="http://schemas.openxmlformats.org/officeDocument/2006/relationships/externalLink" Target="externalLinks/externalLink118.xml"/><Relationship Id="rId147" Type="http://schemas.openxmlformats.org/officeDocument/2006/relationships/externalLink" Target="externalLinks/externalLink139.xml"/><Relationship Id="rId168" Type="http://schemas.openxmlformats.org/officeDocument/2006/relationships/externalLink" Target="externalLinks/externalLink160.xml"/><Relationship Id="rId8" Type="http://schemas.openxmlformats.org/officeDocument/2006/relationships/worksheet" Target="worksheets/sheet8.xml"/><Relationship Id="rId51" Type="http://schemas.openxmlformats.org/officeDocument/2006/relationships/externalLink" Target="externalLinks/externalLink43.xml"/><Relationship Id="rId72" Type="http://schemas.openxmlformats.org/officeDocument/2006/relationships/externalLink" Target="externalLinks/externalLink64.xml"/><Relationship Id="rId93" Type="http://schemas.openxmlformats.org/officeDocument/2006/relationships/externalLink" Target="externalLinks/externalLink85.xml"/><Relationship Id="rId98" Type="http://schemas.openxmlformats.org/officeDocument/2006/relationships/externalLink" Target="externalLinks/externalLink90.xml"/><Relationship Id="rId121" Type="http://schemas.openxmlformats.org/officeDocument/2006/relationships/externalLink" Target="externalLinks/externalLink113.xml"/><Relationship Id="rId142" Type="http://schemas.openxmlformats.org/officeDocument/2006/relationships/externalLink" Target="externalLinks/externalLink134.xml"/><Relationship Id="rId163" Type="http://schemas.openxmlformats.org/officeDocument/2006/relationships/externalLink" Target="externalLinks/externalLink155.xml"/><Relationship Id="rId184" Type="http://schemas.openxmlformats.org/officeDocument/2006/relationships/externalLink" Target="externalLinks/externalLink176.xml"/><Relationship Id="rId189" Type="http://schemas.openxmlformats.org/officeDocument/2006/relationships/externalLink" Target="externalLinks/externalLink181.xml"/><Relationship Id="rId3" Type="http://schemas.openxmlformats.org/officeDocument/2006/relationships/worksheet" Target="worksheets/sheet3.xml"/><Relationship Id="rId25" Type="http://schemas.openxmlformats.org/officeDocument/2006/relationships/externalLink" Target="externalLinks/externalLink17.xml"/><Relationship Id="rId46" Type="http://schemas.openxmlformats.org/officeDocument/2006/relationships/externalLink" Target="externalLinks/externalLink38.xml"/><Relationship Id="rId67" Type="http://schemas.openxmlformats.org/officeDocument/2006/relationships/externalLink" Target="externalLinks/externalLink59.xml"/><Relationship Id="rId116" Type="http://schemas.openxmlformats.org/officeDocument/2006/relationships/externalLink" Target="externalLinks/externalLink108.xml"/><Relationship Id="rId137" Type="http://schemas.openxmlformats.org/officeDocument/2006/relationships/externalLink" Target="externalLinks/externalLink129.xml"/><Relationship Id="rId158" Type="http://schemas.openxmlformats.org/officeDocument/2006/relationships/externalLink" Target="externalLinks/externalLink150.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 Id="rId62" Type="http://schemas.openxmlformats.org/officeDocument/2006/relationships/externalLink" Target="externalLinks/externalLink54.xml"/><Relationship Id="rId83" Type="http://schemas.openxmlformats.org/officeDocument/2006/relationships/externalLink" Target="externalLinks/externalLink75.xml"/><Relationship Id="rId88" Type="http://schemas.openxmlformats.org/officeDocument/2006/relationships/externalLink" Target="externalLinks/externalLink80.xml"/><Relationship Id="rId111" Type="http://schemas.openxmlformats.org/officeDocument/2006/relationships/externalLink" Target="externalLinks/externalLink103.xml"/><Relationship Id="rId132" Type="http://schemas.openxmlformats.org/officeDocument/2006/relationships/externalLink" Target="externalLinks/externalLink124.xml"/><Relationship Id="rId153" Type="http://schemas.openxmlformats.org/officeDocument/2006/relationships/externalLink" Target="externalLinks/externalLink145.xml"/><Relationship Id="rId174" Type="http://schemas.openxmlformats.org/officeDocument/2006/relationships/externalLink" Target="externalLinks/externalLink166.xml"/><Relationship Id="rId179" Type="http://schemas.openxmlformats.org/officeDocument/2006/relationships/externalLink" Target="externalLinks/externalLink171.xml"/><Relationship Id="rId195" Type="http://schemas.openxmlformats.org/officeDocument/2006/relationships/externalLink" Target="externalLinks/externalLink187.xml"/><Relationship Id="rId190" Type="http://schemas.openxmlformats.org/officeDocument/2006/relationships/externalLink" Target="externalLinks/externalLink182.xml"/><Relationship Id="rId15" Type="http://schemas.openxmlformats.org/officeDocument/2006/relationships/externalLink" Target="externalLinks/externalLink7.xml"/><Relationship Id="rId36" Type="http://schemas.openxmlformats.org/officeDocument/2006/relationships/externalLink" Target="externalLinks/externalLink28.xml"/><Relationship Id="rId57" Type="http://schemas.openxmlformats.org/officeDocument/2006/relationships/externalLink" Target="externalLinks/externalLink49.xml"/><Relationship Id="rId106" Type="http://schemas.openxmlformats.org/officeDocument/2006/relationships/externalLink" Target="externalLinks/externalLink98.xml"/><Relationship Id="rId127" Type="http://schemas.openxmlformats.org/officeDocument/2006/relationships/externalLink" Target="externalLinks/externalLink119.xml"/><Relationship Id="rId10" Type="http://schemas.openxmlformats.org/officeDocument/2006/relationships/externalLink" Target="externalLinks/externalLink2.xml"/><Relationship Id="rId31" Type="http://schemas.openxmlformats.org/officeDocument/2006/relationships/externalLink" Target="externalLinks/externalLink23.xml"/><Relationship Id="rId52" Type="http://schemas.openxmlformats.org/officeDocument/2006/relationships/externalLink" Target="externalLinks/externalLink44.xml"/><Relationship Id="rId73" Type="http://schemas.openxmlformats.org/officeDocument/2006/relationships/externalLink" Target="externalLinks/externalLink65.xml"/><Relationship Id="rId78" Type="http://schemas.openxmlformats.org/officeDocument/2006/relationships/externalLink" Target="externalLinks/externalLink70.xml"/><Relationship Id="rId94" Type="http://schemas.openxmlformats.org/officeDocument/2006/relationships/externalLink" Target="externalLinks/externalLink86.xml"/><Relationship Id="rId99" Type="http://schemas.openxmlformats.org/officeDocument/2006/relationships/externalLink" Target="externalLinks/externalLink91.xml"/><Relationship Id="rId101" Type="http://schemas.openxmlformats.org/officeDocument/2006/relationships/externalLink" Target="externalLinks/externalLink93.xml"/><Relationship Id="rId122" Type="http://schemas.openxmlformats.org/officeDocument/2006/relationships/externalLink" Target="externalLinks/externalLink114.xml"/><Relationship Id="rId143" Type="http://schemas.openxmlformats.org/officeDocument/2006/relationships/externalLink" Target="externalLinks/externalLink135.xml"/><Relationship Id="rId148" Type="http://schemas.openxmlformats.org/officeDocument/2006/relationships/externalLink" Target="externalLinks/externalLink140.xml"/><Relationship Id="rId164" Type="http://schemas.openxmlformats.org/officeDocument/2006/relationships/externalLink" Target="externalLinks/externalLink156.xml"/><Relationship Id="rId169" Type="http://schemas.openxmlformats.org/officeDocument/2006/relationships/externalLink" Target="externalLinks/externalLink161.xml"/><Relationship Id="rId185" Type="http://schemas.openxmlformats.org/officeDocument/2006/relationships/externalLink" Target="externalLinks/externalLink177.xml"/><Relationship Id="rId4" Type="http://schemas.openxmlformats.org/officeDocument/2006/relationships/worksheet" Target="worksheets/sheet4.xml"/><Relationship Id="rId9" Type="http://schemas.openxmlformats.org/officeDocument/2006/relationships/externalLink" Target="externalLinks/externalLink1.xml"/><Relationship Id="rId180" Type="http://schemas.openxmlformats.org/officeDocument/2006/relationships/externalLink" Target="externalLinks/externalLink172.xml"/><Relationship Id="rId26" Type="http://schemas.openxmlformats.org/officeDocument/2006/relationships/externalLink" Target="externalLinks/externalLink18.xml"/><Relationship Id="rId47" Type="http://schemas.openxmlformats.org/officeDocument/2006/relationships/externalLink" Target="externalLinks/externalLink39.xml"/><Relationship Id="rId68" Type="http://schemas.openxmlformats.org/officeDocument/2006/relationships/externalLink" Target="externalLinks/externalLink60.xml"/><Relationship Id="rId89" Type="http://schemas.openxmlformats.org/officeDocument/2006/relationships/externalLink" Target="externalLinks/externalLink81.xml"/><Relationship Id="rId112" Type="http://schemas.openxmlformats.org/officeDocument/2006/relationships/externalLink" Target="externalLinks/externalLink104.xml"/><Relationship Id="rId133" Type="http://schemas.openxmlformats.org/officeDocument/2006/relationships/externalLink" Target="externalLinks/externalLink125.xml"/><Relationship Id="rId154" Type="http://schemas.openxmlformats.org/officeDocument/2006/relationships/externalLink" Target="externalLinks/externalLink146.xml"/><Relationship Id="rId175" Type="http://schemas.openxmlformats.org/officeDocument/2006/relationships/externalLink" Target="externalLinks/externalLink167.xml"/><Relationship Id="rId196" Type="http://schemas.openxmlformats.org/officeDocument/2006/relationships/externalLink" Target="externalLinks/externalLink188.xml"/><Relationship Id="rId200" Type="http://schemas.openxmlformats.org/officeDocument/2006/relationships/calcChain" Target="calcChain.xml"/><Relationship Id="rId16" Type="http://schemas.openxmlformats.org/officeDocument/2006/relationships/externalLink" Target="externalLinks/externalLink8.xml"/><Relationship Id="rId37" Type="http://schemas.openxmlformats.org/officeDocument/2006/relationships/externalLink" Target="externalLinks/externalLink29.xml"/><Relationship Id="rId58" Type="http://schemas.openxmlformats.org/officeDocument/2006/relationships/externalLink" Target="externalLinks/externalLink50.xml"/><Relationship Id="rId79" Type="http://schemas.openxmlformats.org/officeDocument/2006/relationships/externalLink" Target="externalLinks/externalLink71.xml"/><Relationship Id="rId102" Type="http://schemas.openxmlformats.org/officeDocument/2006/relationships/externalLink" Target="externalLinks/externalLink94.xml"/><Relationship Id="rId123" Type="http://schemas.openxmlformats.org/officeDocument/2006/relationships/externalLink" Target="externalLinks/externalLink115.xml"/><Relationship Id="rId144" Type="http://schemas.openxmlformats.org/officeDocument/2006/relationships/externalLink" Target="externalLinks/externalLink136.xml"/><Relationship Id="rId90" Type="http://schemas.openxmlformats.org/officeDocument/2006/relationships/externalLink" Target="externalLinks/externalLink82.xml"/><Relationship Id="rId165" Type="http://schemas.openxmlformats.org/officeDocument/2006/relationships/externalLink" Target="externalLinks/externalLink157.xml"/><Relationship Id="rId186" Type="http://schemas.openxmlformats.org/officeDocument/2006/relationships/externalLink" Target="externalLinks/externalLink178.xml"/><Relationship Id="rId27" Type="http://schemas.openxmlformats.org/officeDocument/2006/relationships/externalLink" Target="externalLinks/externalLink19.xml"/><Relationship Id="rId48" Type="http://schemas.openxmlformats.org/officeDocument/2006/relationships/externalLink" Target="externalLinks/externalLink40.xml"/><Relationship Id="rId69" Type="http://schemas.openxmlformats.org/officeDocument/2006/relationships/externalLink" Target="externalLinks/externalLink61.xml"/><Relationship Id="rId113" Type="http://schemas.openxmlformats.org/officeDocument/2006/relationships/externalLink" Target="externalLinks/externalLink105.xml"/><Relationship Id="rId134" Type="http://schemas.openxmlformats.org/officeDocument/2006/relationships/externalLink" Target="externalLinks/externalLink126.xml"/><Relationship Id="rId80" Type="http://schemas.openxmlformats.org/officeDocument/2006/relationships/externalLink" Target="externalLinks/externalLink72.xml"/><Relationship Id="rId155" Type="http://schemas.openxmlformats.org/officeDocument/2006/relationships/externalLink" Target="externalLinks/externalLink147.xml"/><Relationship Id="rId176" Type="http://schemas.openxmlformats.org/officeDocument/2006/relationships/externalLink" Target="externalLinks/externalLink168.xml"/><Relationship Id="rId197" Type="http://schemas.openxmlformats.org/officeDocument/2006/relationships/theme" Target="theme/theme1.xml"/><Relationship Id="rId17" Type="http://schemas.openxmlformats.org/officeDocument/2006/relationships/externalLink" Target="externalLinks/externalLink9.xml"/><Relationship Id="rId38" Type="http://schemas.openxmlformats.org/officeDocument/2006/relationships/externalLink" Target="externalLinks/externalLink30.xml"/><Relationship Id="rId59" Type="http://schemas.openxmlformats.org/officeDocument/2006/relationships/externalLink" Target="externalLinks/externalLink51.xml"/><Relationship Id="rId103" Type="http://schemas.openxmlformats.org/officeDocument/2006/relationships/externalLink" Target="externalLinks/externalLink95.xml"/><Relationship Id="rId124" Type="http://schemas.openxmlformats.org/officeDocument/2006/relationships/externalLink" Target="externalLinks/externalLink116.xml"/><Relationship Id="rId70" Type="http://schemas.openxmlformats.org/officeDocument/2006/relationships/externalLink" Target="externalLinks/externalLink62.xml"/><Relationship Id="rId91" Type="http://schemas.openxmlformats.org/officeDocument/2006/relationships/externalLink" Target="externalLinks/externalLink83.xml"/><Relationship Id="rId145" Type="http://schemas.openxmlformats.org/officeDocument/2006/relationships/externalLink" Target="externalLinks/externalLink137.xml"/><Relationship Id="rId166" Type="http://schemas.openxmlformats.org/officeDocument/2006/relationships/externalLink" Target="externalLinks/externalLink158.xml"/><Relationship Id="rId187" Type="http://schemas.openxmlformats.org/officeDocument/2006/relationships/externalLink" Target="externalLinks/externalLink179.xml"/><Relationship Id="rId1" Type="http://schemas.openxmlformats.org/officeDocument/2006/relationships/worksheet" Target="worksheets/sheet1.xml"/><Relationship Id="rId28" Type="http://schemas.openxmlformats.org/officeDocument/2006/relationships/externalLink" Target="externalLinks/externalLink20.xml"/><Relationship Id="rId49" Type="http://schemas.openxmlformats.org/officeDocument/2006/relationships/externalLink" Target="externalLinks/externalLink41.xml"/><Relationship Id="rId114" Type="http://schemas.openxmlformats.org/officeDocument/2006/relationships/externalLink" Target="externalLinks/externalLink106.xml"/><Relationship Id="rId60" Type="http://schemas.openxmlformats.org/officeDocument/2006/relationships/externalLink" Target="externalLinks/externalLink52.xml"/><Relationship Id="rId81" Type="http://schemas.openxmlformats.org/officeDocument/2006/relationships/externalLink" Target="externalLinks/externalLink73.xml"/><Relationship Id="rId135" Type="http://schemas.openxmlformats.org/officeDocument/2006/relationships/externalLink" Target="externalLinks/externalLink127.xml"/><Relationship Id="rId156" Type="http://schemas.openxmlformats.org/officeDocument/2006/relationships/externalLink" Target="externalLinks/externalLink148.xml"/><Relationship Id="rId177" Type="http://schemas.openxmlformats.org/officeDocument/2006/relationships/externalLink" Target="externalLinks/externalLink169.xml"/><Relationship Id="rId198" Type="http://schemas.openxmlformats.org/officeDocument/2006/relationships/styles" Target="styles.xml"/><Relationship Id="rId18" Type="http://schemas.openxmlformats.org/officeDocument/2006/relationships/externalLink" Target="externalLinks/externalLink10.xml"/><Relationship Id="rId39" Type="http://schemas.openxmlformats.org/officeDocument/2006/relationships/externalLink" Target="externalLinks/externalLink31.xml"/><Relationship Id="rId50" Type="http://schemas.openxmlformats.org/officeDocument/2006/relationships/externalLink" Target="externalLinks/externalLink42.xml"/><Relationship Id="rId104" Type="http://schemas.openxmlformats.org/officeDocument/2006/relationships/externalLink" Target="externalLinks/externalLink96.xml"/><Relationship Id="rId125" Type="http://schemas.openxmlformats.org/officeDocument/2006/relationships/externalLink" Target="externalLinks/externalLink117.xml"/><Relationship Id="rId146" Type="http://schemas.openxmlformats.org/officeDocument/2006/relationships/externalLink" Target="externalLinks/externalLink138.xml"/><Relationship Id="rId167" Type="http://schemas.openxmlformats.org/officeDocument/2006/relationships/externalLink" Target="externalLinks/externalLink159.xml"/><Relationship Id="rId188" Type="http://schemas.openxmlformats.org/officeDocument/2006/relationships/externalLink" Target="externalLinks/externalLink18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47627</xdr:colOff>
      <xdr:row>0</xdr:row>
      <xdr:rowOff>2</xdr:rowOff>
    </xdr:from>
    <xdr:to>
      <xdr:col>1</xdr:col>
      <xdr:colOff>335758</xdr:colOff>
      <xdr:row>1</xdr:row>
      <xdr:rowOff>366714</xdr:rowOff>
    </xdr:to>
    <xdr:pic>
      <xdr:nvPicPr>
        <xdr:cNvPr id="3" name="Picture 2" descr="cid:image001.png@01D7AA39.D1F7E16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7" y="2"/>
          <a:ext cx="895350" cy="5334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52917</xdr:colOff>
      <xdr:row>0</xdr:row>
      <xdr:rowOff>0</xdr:rowOff>
    </xdr:from>
    <xdr:to>
      <xdr:col>0</xdr:col>
      <xdr:colOff>814917</xdr:colOff>
      <xdr:row>1</xdr:row>
      <xdr:rowOff>232833</xdr:rowOff>
    </xdr:to>
    <xdr:pic>
      <xdr:nvPicPr>
        <xdr:cNvPr id="2" name="Picture 1" descr="cid:image001.png@01D7AA39.D1F7E160">
          <a:extLst>
            <a:ext uri="{FF2B5EF4-FFF2-40B4-BE49-F238E27FC236}">
              <a16:creationId xmlns:a16="http://schemas.microsoft.com/office/drawing/2014/main" id="{168189A8-B751-4979-9F76-E5413126790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7" y="0"/>
          <a:ext cx="762000" cy="4222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52917</xdr:colOff>
      <xdr:row>0</xdr:row>
      <xdr:rowOff>0</xdr:rowOff>
    </xdr:from>
    <xdr:to>
      <xdr:col>0</xdr:col>
      <xdr:colOff>836083</xdr:colOff>
      <xdr:row>1</xdr:row>
      <xdr:rowOff>179916</xdr:rowOff>
    </xdr:to>
    <xdr:pic>
      <xdr:nvPicPr>
        <xdr:cNvPr id="4" name="Picture 3" descr="cid:image001.png@01D7AA39.D1F7E160">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7" y="0"/>
          <a:ext cx="783166" cy="33866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42333</xdr:colOff>
      <xdr:row>0</xdr:row>
      <xdr:rowOff>0</xdr:rowOff>
    </xdr:from>
    <xdr:to>
      <xdr:col>0</xdr:col>
      <xdr:colOff>654050</xdr:colOff>
      <xdr:row>1</xdr:row>
      <xdr:rowOff>116417</xdr:rowOff>
    </xdr:to>
    <xdr:pic>
      <xdr:nvPicPr>
        <xdr:cNvPr id="3" name="Picture 2" descr="cid:image001.png@01D7AA39.D1F7E160">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3" y="0"/>
          <a:ext cx="611717" cy="27516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42333</xdr:colOff>
      <xdr:row>0</xdr:row>
      <xdr:rowOff>0</xdr:rowOff>
    </xdr:from>
    <xdr:to>
      <xdr:col>0</xdr:col>
      <xdr:colOff>654050</xdr:colOff>
      <xdr:row>1</xdr:row>
      <xdr:rowOff>116417</xdr:rowOff>
    </xdr:to>
    <xdr:pic>
      <xdr:nvPicPr>
        <xdr:cNvPr id="2" name="Picture 1" descr="cid:image001.png@01D7AA39.D1F7E160">
          <a:extLst>
            <a:ext uri="{FF2B5EF4-FFF2-40B4-BE49-F238E27FC236}">
              <a16:creationId xmlns:a16="http://schemas.microsoft.com/office/drawing/2014/main" id="{CA137BF3-8135-4AF5-BA84-245CEE39D7B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3" y="0"/>
          <a:ext cx="611717" cy="27834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784225</xdr:colOff>
      <xdr:row>1</xdr:row>
      <xdr:rowOff>263525</xdr:rowOff>
    </xdr:to>
    <xdr:pic>
      <xdr:nvPicPr>
        <xdr:cNvPr id="5" name="Picture 4" descr="cid:image001.png@01D7AA39.D1F7E160">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895350" cy="5334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52917</xdr:colOff>
      <xdr:row>0</xdr:row>
      <xdr:rowOff>0</xdr:rowOff>
    </xdr:from>
    <xdr:to>
      <xdr:col>0</xdr:col>
      <xdr:colOff>814917</xdr:colOff>
      <xdr:row>1</xdr:row>
      <xdr:rowOff>222250</xdr:rowOff>
    </xdr:to>
    <xdr:pic>
      <xdr:nvPicPr>
        <xdr:cNvPr id="2" name="Picture 1" descr="cid:image001.png@01D7AA39.D1F7E160">
          <a:extLst>
            <a:ext uri="{FF2B5EF4-FFF2-40B4-BE49-F238E27FC236}">
              <a16:creationId xmlns:a16="http://schemas.microsoft.com/office/drawing/2014/main" id="{FD89F8C3-97EB-417C-8817-C614E3C1AAD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7" y="0"/>
          <a:ext cx="762000" cy="4222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31750</xdr:colOff>
      <xdr:row>0</xdr:row>
      <xdr:rowOff>1</xdr:rowOff>
    </xdr:from>
    <xdr:to>
      <xdr:col>1</xdr:col>
      <xdr:colOff>560917</xdr:colOff>
      <xdr:row>2</xdr:row>
      <xdr:rowOff>31751</xdr:rowOff>
    </xdr:to>
    <xdr:pic>
      <xdr:nvPicPr>
        <xdr:cNvPr id="3" name="Picture 2" descr="cid:image001.png@01D7AA39.D1F7E160">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1"/>
          <a:ext cx="687917" cy="3492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Financial%20Reporting/2019/Q4'19/Dec'19/Footnotes/Linked%20Data_2019_10K.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Financial%20Reporting/2024/Q2'24/Jun'24/Footnotes/Linked%20Data_2024_Q2_10Q.xlsx"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F:/Financial%20Reporting/2022/Q3'22/Sept'22/Footnotes/EPS/Adjusted%20EPS%20Sep%202022.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Financial%20Reporting/2022/Q4'22/Dec'22/Footnotes/EPS/Adjusted%20EPS%20Dec%202022%20v3.xlsx"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F:/Financial%20Reporting/2024/Q2'24/Jun'24/Footnotes/EPS/Final%20Restructuring%20cost-Q2'24_v2.xlsx"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F:/Financial%20Reporting/2024/Q2'24/Jun'24/Financials/Consolidated%20Financials%20Jun'24_V5.xlsb"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F:/Financial%20Reporting/Lease%20Termination/Lease%20Termination_Q4'22%20v5.xlsb"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F:/Financial%20Reporting/2023/Q1'23/Mar'23/Financials/Consolidated%20Financials%20Mar'23_V4.1.xlsb"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F:/Financial%20Reporting/2023/Q2'23/Jun'23/Financials/Consolidated%20Financials%20Jun'23_V5.xlsb"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F:/Financial%20Reporting/2023/Q3'23/Sep'23/Footnotes/EPS/Adjusted%20EPS%20Sep'23.xlsx"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F:/Financial%20Reporting/2023/Q4'23/Dec'23/Financials/Consolidated%20Financials%20Dec'23_V10.xlsb"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F:/Financial%20Reporting/2024/Q2'24/Jun'24/Financials/Consolidated%20Financials%20Jun'24_V4.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Financial%20Reporting/2024/Q1'24/Mar'24/Investor%20relation/EXLS%20Investor%20Factsheet%20Q1%202024.xlsx"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F:/Financial%20Reporting/2023/Q1'23/Mar'23/Footnotes/EPS/Adjusted%20EPS%20Mar'23.xlsx"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F:/Financial%20Reporting/2023/Q2'23/Jun'23/Footnotes/EPS/Adjusted%20EPS%20June'23.xlsx"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F:/Financial%20Reporting/2023/Q4'23/Dec'23/Footnotes/EPS/Adjusted%20EPS%20Dec'23_v1.xlsx"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Financial%20Reporting/2024/Q1'24/Mar'24/Footnotes/EPS/Adjusted%20EPS%20March'24.xlsx"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F:/Financial%20Reporting/2019/Q3'19/September'19/Footnotes/EPS/Adjusted%20EPS%20September%202019.xlsx"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F:/Financial%20Reporting/2019/Q4'19/Dec'19/Footnotes/EPS/Adjusted%20EPS%20December%202019%20v3.xlsx"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F:/Financial%20Reporting/2019/Q1'19/Mar'19/Footnotes/EPS/Adjusted%20EPS%20March%202019.xlsx"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F:/Financial%20Reporting/2019/Q2'19/June'19/Footnotes/EPS/Adjusted%20EPS%20June%202019%20v2.xlsx"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F:/Financial%20Reporting/2020/Q1'20/Mar'20/Footnotes/EPS/Adjusted%20EPS%20March%202020.xlsx"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F:/Financial%20Reporting/2020/Q2'20/Jun%20'20/Footnotes/EPS/Adjusted%20EPS%20June%20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Financial%20Reporting/2018/Q4'18/Dec'18/Footnotes/EPS/EPS%20working%20Dec%202018%20v1.xlsx"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F:/Financial%20Reporting/2020/Q3'20/Sep'20/Footnotes/EPS/Adjusted%20EPS%20Sep%202020.xlsx"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F:/Financial%20Reporting/2020/Q4'20/Dec'20/Footnotes/EPS/Adjusted%20EPS%20Dec%202020.xlsx"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F:/Financial%20Reporting/2021/Q1'21/Mar'21/Footnotes/EPS/Adjusted%20EPS%20Mar%202021.xlsx"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F:/Financial%20Reporting/2021/Q2'21/Jun'21/Footnotes/EPS/Adjusted%20EPS%20June%202021.xlsx"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Financial%20Reporting/2021/Q3'21/Sep'21/Footnotes/EPS/Adjusted%20EPS%20Sep%202021.xlsx"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F:/Financial%20Reporting/2018/Q3'18/Sep'18/Footnotes/EPS/Adjusted%20EPS%20Sep%202018.xlsx"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F:/Financial%20Reporting/2019/Q3'19/September'19/Investor%20Relations/SEC%20Report%20-%20Q3%202019.xlsb"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F:/Financial%20Reporting/2019/Q4'19/Dec'19/Investor%20Relations/SEC%20Report%20-%20Q4%202019.xlsb"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F:/Financial%20Reporting/2020/Q1'20/Mar'20/Investor%20relation/SEC%20Report%20-%20Q1%202020.xlsb"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F:/Financial%20Reporting/2020/Q2'20/Jun%20'20/Investor%20relation/SEC%20Report%20-%20Q2%202020.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Financial%20Reporting/2019/Q4'19/Dec'19/Footnotes/EPS/EPS%20working%20December%202019.xlsx"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F:/Financial%20Reporting/2020/Q3'20/Sep'20/Investor%20relations/SEC%20Report%20-%20Q3%202020.xlsb"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F:/Financial%20Reporting/2020/Q4'20/Dec'20/Investor%20relations/SEC%20Report%20-%20Q4%202020.xlsb"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F:/Financial%20Reporting/2021/Q1'21/Mar'21/Investor%20relations/SEC%20Report%20-%20Q1%202021.xlsb"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F:/Financial%20Reporting/2021/Q2'21/Jun'21/Investor%20relation/SEC%20Report%20-%20Q2%202021_Revised.xlsb"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F:/Financial%20Reporting/2021/Q3'21/Sep'21/Investor%20relation/SEC%20Report%20-%20Q3%202021.xlsb"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F:/Financial%20Reporting/2021/Q4'21/Dec'21/Investor%20relation/Headcount%20Report_SEC%20Format%20-%20Q4%202021.xlsb"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F:/Financial%20Reporting/2022/Q1'22/Mar'22/Investor%20relation/SEC%20Report%20-%20Q1-2022.xlsb"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F:/Financial%20Reporting/2022/Q2'22/Jun'22/Investor%20relation/SEC%20Report%20-%20Q2%202022.xlsb"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F:/Financial%20Reporting/2022/Q3'22/Sept'22/Investor%20relation/SEC%20Report%20-%20Q3%202022.xlsb"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F:/Financial%20Reporting/2022/Q4'22/Dec'22/Investor%20relation/Updated%20SEC%20Report%20-%20Q4%202022.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Financial%20Reporting/2020/Q4'20/Dec'20/Footnotes/EPS/EPS%20working%20December%202020.xlsx"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F:/Financial%20Reporting/2023/Q1'23/Mar'23/Investor%20relation/Headcount%20SEC%20Report%20-%20Q1%202023.xlsb"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F:/Financial%20Reporting/2023/Q2'23/Jun'23/Investor%20relation/SEC%20Report%20-%20Q2%202023.xlsb"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F:/Financial%20Reporting/2023/Q3'23/Sep'23/Investor%20relation/SEC%20Report%20-%20Q3%202023.xlsb"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F:/Financial%20Reporting/2023/Q4'23/Dec'23/Investor%20relation/Headcount%20Report%20-%20Q4%202023.xlsb"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F:/Financial%20Reporting/2024/Q1'24/Mar'24/Investor%20relation/SEC%20Report%20-%20Q1%202024.xlsb"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F:/Financial%20Reporting/2024/Q2'24/Jun'24/Investor%20relation/SEC%20Report%20-%20Q2%202024.xlsb"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F:/Financial%20Reporting/2019/Q3'19/September'19/Footnotes/Revenue%20recognition/Top%2010%2020%2030%20Q3'19%20Vs%20Q2'19.xlsb"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F:/Financial%20Reporting/2019/Q4'19/Dec'19/Footnotes/Revenue/Top%2010,%2020%20&amp;%2030%20Clients_Q4'19.xlsb"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F:/Financial%20Reporting/2019/Q4'19/Dec'19/Footnotes/Revenue/Top%2010,%2020%20&amp;%2030%20Clients_YTD%202019_.xlsx"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F:/Financial%20Reporting/2020/Q1'20/Mar'20/Investor%20relation/Top%2010%2020%20%2030_Q1'20%20Vs%20Q4'19.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Financial%20Reporting/2021/Q4'21/Dec'21/Footnotes/EPS/EPS%20working%20December%202021.xlsx"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F:/Financial%20Reporting/2020/Q2'20/Jun%20'20/MD&amp;A/Top%2010%2020%2030%20Q220%20Vs%20Q120%20&amp;%20H120_Final.xlsb"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F:/Financial%20Reporting/2020/Q3'20/Sep'20/MD&amp;A/Top%2010%2020%2030%20Q320%20Vs%20Q220%20%20YTD%20Sep20%20F.xlsb"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F:/Financial%20Reporting/2020/Q4'20/Dec'20/MD&amp;A/Revenue%20Team%20Inputs/Top%2010%2020%2030%20Q420%20Vs%20Q320%20%20YTD%202020%20F.xlsb"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F:/Financial%20Reporting/2021/Q1'21/Mar'21/MD&amp;A/Revenue/Top%2010%2020%20%2030_Q1'21F.xlsb"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F:/Financial%20Reporting/2021/Q2'21/Jun'21/MD&amp;A/FP&amp;A/Top%2010,%2020%20&amp;%2030%20Client%20QTD%20&amp;%20YTD.xlsx"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F:/Financial%20Reporting/2021/Q3'21/Sep'21/MD&amp;A/Top%2010%2020%2030%20Clients_Q3'21%20YTD.xlsx"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F:/Financial%20Reporting/2021/Q4'21/Dec'21/Footnotes/Revenue/Top%2010%2020%20%2030%20Client%20QTD%20%20YTD%20(SEC%20Format).xlsx"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file:///F:/Financial%20Reporting/2022/Q1'22/Mar'22/MD&amp;A/FP&amp;A%20Inputs/Top%2010%2020%20%2030%20Client%202022%20QTD%20%20YTD%20(SEC%20Format)-updated.xlsx"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file:///F:/Financial%20Reporting/2022/Q2'22/Jun'22/MD&amp;A/Top%2010,20%20&amp;%2030_Q2'22_%20QTD%20June'22.xlsb"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file:///F:/Financial%20Reporting/2022/Q3'22/Sept'22/MD&amp;A/Top%2010,20%20&amp;%2030_Q3'22_%20comparision%20with%20Qlik.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Financial%20Reporting/2022/Q1'22/Mar'22/Footnotes/EPS/EPS%20working%20March%202022.xlsx"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file:///F:/Financial%20Reporting/2022/Q4'22/Dec'22/Business%20Section/Information%20Received%20from%20Various%20Stakeholders/Clients/Top%2010,%2020,%2030_Q4'22.xlsx"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file:///F:/Financial%20Reporting/2022/Q4'22/Dec'22/Business%20Section/Information%20Received%20from%20Various%20Stakeholders/Clients/Top%2010,%2020,%2030_YTD%202022.xlsx"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file:///F:/Financial%20Reporting/2023/Q1'23/Mar'23/MD&amp;A/Top%2010,20%20&amp;%2030_Q1'23_%20comparision%20with%20BI.xlsb"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file:///F:/Financial%20Reporting/2023/Q2'23/Jun'23/MD&amp;A/Top%2010,20%20&amp;%2030_Q2'23_%20comparision%20with%20BI%20(SEC).xlsb"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file:///F:/Financial%20Reporting/2023/Q3'23/Sep'23/MD&amp;A/Top%2010,20%20&amp;%2030_Q3'23_%20comparision%20with%20BI.xlsb"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file:///F:/Financial%20Reporting/2023/Q4'23/Dec'23/MD&amp;A/Top%2010,%2020%20&amp;%2030_Q4'23.xlsb"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file:///F:/Financial%20Reporting/2023/Q4'23/Dec'23/MD&amp;A/Top%2010,20%20&amp;%2030_Dec%20YTD'23.xlsb"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file:///F:/Financial%20Reporting/2024/Q1'24/Mar'24/MD&amp;A/Top%2010,20%20&amp;%2030_Q1'24_%20comparision%20with%20BI.xlsb"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file:///F:/Financial%20Reporting/2024/Q2'24/Jun'24/MD&amp;A/Top%2010,20%20&amp;%2030_Q2'24_%20comparision%20with%20BI.xlsb"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file:///F:/Financial%20Reporting/2019/Q3'19/September'19/Fx.%20and%20Exchange%20Rate/Fx%20Rate%20Summary%20Q3'1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Financial%20Reporting/2022/Q2'22/Jun'22/Footnotes/EPS/EPS%20working%20June%202022.xlsx"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file:///F:/Financial%20Reporting/2019/Q4'19/Dec'19/Fx.%20and%20Exchange%20Rate/Fx%20Rate%20Summary%20Q4'19.xlsx"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file:///F:/Financial%20Reporting/2020/Q1'20/Mar'20/Fx.%20and%20Exchange%20Rate/Fx%20Rate%20Summary%20Q1'20.xlsx"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file:///F:/Financial%20Reporting/2020/Q2'20/Jun%20'20/Fx%20and%20exchange%20rate/Fx%20Rate%20Summary%20Q2'20.xlsx"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file:///F:/Financial%20Reporting/2020/Q3'20/Sep'20/Fx%20and%20exchange%20rates/Fx%20Rate%20Summary%20Q3'20.xlsx"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file:///F:/Financial%20Reporting/2020/Q4'20/Dec'20/Fx%20and%20exchange%20rates/Fx%20Rate%20Summary%20Q4'20.xlsx" TargetMode="External"/></Relationships>
</file>

<file path=xl/externalLinks/_rels/externalLink175.xml.rels><?xml version="1.0" encoding="UTF-8" standalone="yes"?>
<Relationships xmlns="http://schemas.openxmlformats.org/package/2006/relationships"><Relationship Id="rId1" Type="http://schemas.openxmlformats.org/officeDocument/2006/relationships/externalLinkPath" Target="file:///F:/Financial%20Reporting/2021/Q1'21/Mar'21/Fx%20and%20exchange%20rates/Fx%20Rate%20Summary%20Q1'21.xlsx"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file:///F:/Financial%20Reporting/2021/Q2'21/Jun'21/Fx%20and%20exchange%20rates/Fx%20Rate%20Summary%20Q2'21.xlsx"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file:///F:/Financial%20Reporting/2021/Q3'21/Sep'21/Fx%20and%20exchange%20rates/Fx%20Rate%20Summary%20Q3'21.xlsx"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file:///F:/Financial%20Reporting/2021/Q4'21/Dec'21/Fx%20and%20exchange%20rates/Fx%20Rate%20Summary%20Q4'21.xlsx"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file:///F:/Financial%20Reporting/2022/Q1'22/Mar'22/Fx%20and%20exchange%20rates/Fx%20Rate%20Summary%20Q1'2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Financial%20Reporting/2022/Q3'22/Sept'22/Footnotes/EPS/EPS%20working%20Sep%202022.xlsx"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file:///F:/Financial%20Reporting/2022/Q2'22/Jun'22/Fx%20and%20exchange%20rates/Fx%20Rate%20Summary%20Q2'22.xlsx"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file:///F:/Financial%20Reporting/2022/Q3'22/Sept'22/Fx%20and%20exchange%20rates/Fx%20Rate%20Summary%20Q3'22.xlsx" TargetMode="External"/></Relationships>
</file>

<file path=xl/externalLinks/_rels/externalLink182.xml.rels><?xml version="1.0" encoding="UTF-8" standalone="yes"?>
<Relationships xmlns="http://schemas.openxmlformats.org/package/2006/relationships"><Relationship Id="rId1" Type="http://schemas.openxmlformats.org/officeDocument/2006/relationships/externalLinkPath" Target="file:///F:/Financial%20Reporting/2022/Q4'22/Dec'22/Fx%20and%20exchange%20rates/Fx%20Rate%20Summary%20Q4'22.xlsx" TargetMode="External"/></Relationships>
</file>

<file path=xl/externalLinks/_rels/externalLink183.xml.rels><?xml version="1.0" encoding="UTF-8" standalone="yes"?>
<Relationships xmlns="http://schemas.openxmlformats.org/package/2006/relationships"><Relationship Id="rId1" Type="http://schemas.openxmlformats.org/officeDocument/2006/relationships/externalLinkPath" Target="file:///F:/Financial%20Reporting/2023/Q1'23/Mar'23/Fx%20and%20exchange%20rates/Fx%20Rate%20Summary%20Q1'23.xlsx" TargetMode="External"/></Relationships>
</file>

<file path=xl/externalLinks/_rels/externalLink184.xml.rels><?xml version="1.0" encoding="UTF-8" standalone="yes"?>
<Relationships xmlns="http://schemas.openxmlformats.org/package/2006/relationships"><Relationship Id="rId1" Type="http://schemas.openxmlformats.org/officeDocument/2006/relationships/externalLinkPath" Target="file:///F:/Financial%20Reporting/2023/Q2'23/Jun'23/Fx%20and%20exchange%20rates/Fx%20Rate%20Summary%20Q2'23.xlsx" TargetMode="External"/></Relationships>
</file>

<file path=xl/externalLinks/_rels/externalLink185.xml.rels><?xml version="1.0" encoding="UTF-8" standalone="yes"?>
<Relationships xmlns="http://schemas.openxmlformats.org/package/2006/relationships"><Relationship Id="rId1" Type="http://schemas.openxmlformats.org/officeDocument/2006/relationships/externalLinkPath" Target="file:///F:/Financial%20Reporting/2023/Q3'23/Sep'23/Fx%20and%20exchange%20rates/Fx%20Rate%20Summary%20Q3'23.xlsx" TargetMode="External"/></Relationships>
</file>

<file path=xl/externalLinks/_rels/externalLink186.xml.rels><?xml version="1.0" encoding="UTF-8" standalone="yes"?>
<Relationships xmlns="http://schemas.openxmlformats.org/package/2006/relationships"><Relationship Id="rId1" Type="http://schemas.openxmlformats.org/officeDocument/2006/relationships/externalLinkPath" Target="file:///F:/Financial%20Reporting/2023/Q4'23/Dec'23/Fx%20and%20exchange%20rates/Fx%20Rate%20Summary%20Q4'23.xlsx" TargetMode="External"/></Relationships>
</file>

<file path=xl/externalLinks/_rels/externalLink187.xml.rels><?xml version="1.0" encoding="UTF-8" standalone="yes"?>
<Relationships xmlns="http://schemas.openxmlformats.org/package/2006/relationships"><Relationship Id="rId1" Type="http://schemas.openxmlformats.org/officeDocument/2006/relationships/externalLinkPath" Target="file:///F:/Financial%20Reporting/2024/Q1'24/Mar'24/Fx%20and%20exchange%20rates/Fx%20Rate%20Summary%20Q1'24.xlsx" TargetMode="External"/></Relationships>
</file>

<file path=xl/externalLinks/_rels/externalLink188.xml.rels><?xml version="1.0" encoding="UTF-8" standalone="yes"?>
<Relationships xmlns="http://schemas.openxmlformats.org/package/2006/relationships"><Relationship Id="rId1" Type="http://schemas.openxmlformats.org/officeDocument/2006/relationships/externalLinkPath" Target="file:///F:/Financial%20Reporting/2024/Q2'24/Jun'24/Fx%20and%20exchange%20rates/Fx%20Rate%20Summary%20Q2'2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Financial%20Reporting/2022/Q4'22/Dec'22/Footnotes/EPS/EPS%20working%20Dec%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inancial%20Reporting/2020/Q4'20/Dec'20/Footnotes/Linked%20Data_2020_10K.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Financial%20Reporting/2023/Q1'23/Mar'23/Footnotes/EPS/EPS%20working%20March%202023.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Financial%20Reporting/2023/Q2'23/Jun'23/Footnotes/EPS/EPS%20working%20June%20202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Financial%20Reporting/2023/Q3'23/Sep'23/Footnotes/EPS/EPS%20working%20Sep%202023.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Financial%20Reporting/2023/Q4'23/Dec'23/Footnotes/EPS/EPS%20working%20Dec%202023.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Financial%20Reporting/2024/Q1'24/Mar'24/Footnotes/EPS/EPS%20working%20March%2020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Financial%20Reporting/2024/Q2'24/Jun'24/Footnotes/EPS/EPS%20working%20Jun%20202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Financial%20Reporting/2022/Q3'22/Sept'22/Financials/SEC%20Financials%20Sep%202022.xlsb"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Financial%20Reporting/2022/Q4'22/Dec'22/Financials/SEC%20Financials%20Dec%202022.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Financial%20Reporting/2023/Q1'23/Mar'23/Financials/SEC%20Financials%20Mar%202023.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Financial%20Reporting/2023/Q2'23/Jun'23/Financials/SEC%20Financials%20Jun%202023.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Financial%20Reporting/2021/Q4'21/Dec'21/Footnotes/Linked%20Data_2021_10K.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Financial%20Reporting/2023/Q3'23/Sep'23/Financials/SEC%20Financials%20Sep%202023.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Financial%20Reporting/2023/Q4'23/Dec'23/Financials/SEC%20Financials%20Dec%202023.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Financial%20Reporting/2024/Q1'24/Mar'24/Financials/SEC%20Financials%20Mar%202024.xlsb"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Financial%20Reporting/2024/Q2'24/Jun'24/Financials/SEC%20Financials%20June%202024.xlsb"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Financial%20Reporting/2021/Q4'21/Dec'21/Financials/SEC%20Financials%20Dec%202021.xlsb"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Financial%20Reporting/2020/Q1'20/Mar'20/Cash%20flow/Exl%20Holdings%20Inc.%20Cash%20Flow_March'2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Financial%20Reporting/2020/Q2'20/Jun%20'20/Cash%20flow/Exl%20Holdings%20Inc.%20Cash%20Flow_June'2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Financial%20Reporting/2020/Q3'20/Sep'20/Cash%20flow/Exl%20Holdings%20Inc.%20Cash%20Flow_Sep'20.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Financial%20Reporting/2020/Q4'20/Dec'20/Cash%20flows/Exl%20Holdings%20Inc.%20Cash%20Flow_Dec'2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Financial%20Reporting/2021/Q1'21/Mar'21/Cash%20Flow/Exl%20Holdings%20Inc.%20Cash%20Flow_Mar'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Financial%20Reporting/2022/Q4'22/Dec'22/Footnotes/Linked%20Data_2022_10K.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Financial%20Reporting/2021/Q2'21/Jun'21/Cash%20flow/Exl%20Holdings%20Inc.%20Cash%20Flow_Jun'21.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Financial%20Reporting/2023/Q2'23/Jun'23/Investor%20relation/EXLS%20Investor%20Factsheet%20Q2%202023.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Financial%20Reporting/2019/Q2'19/June'19/Cash%20Flow/Exl%20Holdings%20Inc.%20Cash%20Flow_Jun'19%20v1.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F:/Financial%20Reporting/2019/Q4'19/Dec'19/Cash%20flow/Exl%20Holdings%20Inc.%20Cash%20Flow_December'19.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Financial%20Reporting/2022/Q3'22/Sept'22/Cash%20flow/Exl%20Holdings%20Inc.%20Cash%20Flow_Sep'22.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Financial%20Reporting/2022/Q4'22/Dec'22/CFS/Exl%20Holdings%20Inc.%20Cash%20Flow_Dec'22.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Financial%20Reporting/2023/Q1'23/Mar'23/CFS/Exl%20Holdings%20Inc.%20Cash%20Flow_Mar'23.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Financial%20Reporting/2023/Q2'23/Jun'23/CFS/Exl%20Holdings%20Inc.%20Cash%20Flow_Jun'23.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Financial%20Reporting/2023/Q3'23/Sep'23/CFS/Exl%20Holdings%20Inc.%20Cash%20Flow_Sep'23.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Financial%20Reporting/2023/Q4'23/Dec'23/CFS/Exl%20Holdings%20Inc.%20Cash%20Flow_Dec'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Financial%20Reporting/2023/Q1'23/Mar'23/Footnotes/Linked%20Data_2023_Q1_10Q.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F:/Financial%20Reporting/2024/Q1'24/Mar'24/CFS/Exl%20Holdings%20Inc.%20Cash%20Flow_Mar'24.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F:/Financial%20Reporting/2024/Q2'24/Jun'24/CFS/Exl%20Holdings%20Inc.%20Cash%20Flow_Jun'24.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F:/Financial%20Reporting/2021/Q3'21/Sep'21/Cash%20flow/Exl%20Holdings%20Inc.%20Cash%20Flow_Sep'21.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Financial%20Reporting/2024/Q2'24/Jun'24/Investor%20relation/Restricted%20Cash%20Working_2018%20onw.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Financial%20Reporting/2020/Q1'20/Mar'20/Investor%20relation/Q1_20_Segment%20Restated.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F:/Financial%20Reporting/2020/Q1'20/Mar'20/Investor%20relation/Earning%20Call%20Deck%20Views_Q1'20.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Financial%20Reporting/2020/Q2'20/Jun%20'20/Highlights/AC%20Deck/Backup/Earning%20Call%20Deck%20Views_Q2'20_Original.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Financial%20Reporting/2020/Q3'20/Sep'20/Highlights/Backup/EC%20Deck%20Views_Q3'20.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F:/Financial%20Reporting/2020/Q4'20/Dec'20/Highlights/FP&amp;A%20Team/Earning%20call%20Deck%20V1_Q4'20.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F:/Financial%20Reporting/2021/Q1'21/Mar'21/Highlights/Backup/FP&amp;A/Earnings%20Deck_Q1'21%20v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Financial%20Reporting/2023/Q2'23/Jun'23/Footnotes/Linked%20Data_2023_Q2_10Q.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Financial%20Reporting/2021/Q2'21/Jun'21/Highlights/FP&amp;A%20Team/Earning%20call%20Slide%20View%20Q2'21_BL.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F:/Financial%20Reporting/2021/Q3'21/Sep'21/Highlights/FP&amp;A%20Inputs/Earning%20call%20Q3'21_v2.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F:/Financial%20Reporting/2021/Q4'21/Dec'21/Investor%20relation/Earning%20call%20views_V3_BL.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F:/Financial%20Reporting/2022/Q1'22/Mar'22/Investor%20relation/Q1'22%20Earning%20Call%20Slides%20V1.1_BL.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Financial%20Reporting/2022/Q2'22/Jun'22/Investor%20relation/Q2'22%20Earning%20call%20Slides.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F:/Financial%20Reporting/2022/Q3'22/Sept'22/Investor%20relation/Q3'22%20Earning%20call%20slides_V2_BL.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F:/Financial%20Reporting/2022/Q4'22/Dec'22/Investor%20relation/Earning%20call%20Slides_Q4'22_V1.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Financial%20Reporting/2023/Q1'23/Mar'23/Investor%20relation/Earning%20call%20Slides%20Q1'23_V1.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F:/Financial%20Reporting/2023/Q2'23/Jun'23/MD&amp;A/Earning%20call%20slides_V1_BL.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F:/Financial%20Reporting/2023/Q3'23/Sep'23/Investor%20relation/Q3'23%20Earning%20call%20slides_V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inancial%20Reporting/2023/Q3'23/Sep'23/Footnotes/Linked%20Data_2023_Q3_10Q.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Financial%20Reporting/2023/Q4'23/Dec'23/Investor%20relation/Q4'23%20Earning%20call%20Slides_V3_BL.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F:/Financial%20Reporting/2024/Q1'24/Mar'24/Investor%20relation/Q1'24%20Earnings%20call%20slides_V1_BL.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F:/Financial%20Reporting/2024/Q2'24/Jun'24/Investor%20relation/Earnings%20Call%20Slides_V1_BL.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F:/Financial%20Reporting/2020/Q3'20/Sep'20/Footnotes/Segment%20reporting/Segment%20Report%20Working%20Q3-2020%20BL_PW_SegmentQ32020.xlsb"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172.16.2.131/accounts/Financial%20Reporting/2020/Q1'20/Mar'20/Investor%20relation/Segment%20Restated.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Financial%20Reporting/2020/Q4'20/Dec'20/Footnotes/Segment/Segment%20Report%20Working%20Q4-2020.xlsb"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Financial%20Reporting/2021/Q1'21/Mar'21/Highlights/Backup/FP&amp;A/Revenue%20by%20Vertical_Q1'21.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F:/Financial%20Reporting/2021/Q2'21/Jun'21/Highlights/FP&amp;A%20Team/Earning%20call%20Slide%20revenue%20by%20Industry%20vertical%20Q2'21_BL.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F:/Financial%20Reporting/2020/Q3'20/Sep'20/Footnotes/Revenue%20recognition/Geo%20Wise%20Q3'20.xlsb"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F:/Financial%20Reporting/2020/Q4'20/Dec'20/Footnotes/Revenue%20recognition/Geowise%20Summary_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Financial%20Reporting/2023/Q4'23/Dec'23/Footnotes/Linked%20Data_2023_10K.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F:/Financial%20Reporting/2021/Q1'21/Mar'21/Footnotes/Revenue/Geowise%20Revenue%20Q1'21%20(003).xlsb"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F:/Financial%20Reporting/2021/Q2'21/Jun'21/Footnotes/Revenue/Revenue%20Geowise%20Q2'21.xlsb"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F:/Financial%20Reporting/2021/Q3'21/Sep'21/Footnotes/Revenue/Geowise%20Revenue%20Jul'21%20to%20Sep'21.xlsb"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F:/Financial%20Reporting/2021/Q4'21/Dec'21/MD&amp;A/Revenue%20Team%20Inputs/Geowise%20Revenue%20Oct'21%20to%20Dec'21%20v2.xlsb"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F:/Financial%20Reporting/2022/Q1'22/Mar'22/Footnotes/Revenue/Geowise%20Revenue%20Q1'2022.xlsb"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F:/Financial%20Reporting/2022/Q2'22/Jun'22/Footnotes/Revenue/Geowise%20Revenue%20Q2'2022-CV%20v3.xlsb"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F:/Financial%20Reporting/2022/Q3'22/Sept'22/Footnotes/Revenue/Geowise%20Revenue%20Q3'2022.xlsb"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Financial%20Reporting/2022/Q4'22/Dec'22/Footnotes/Revenue/Geowise%20Revenue%20Q4'2022%20-%20SEC%20format.xlsb"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F:/Financial%20Reporting/2023/Q4'23/Dec'23/Footnotes/Revenue/Geowise%20working%20Q4'23-Final.xlsb"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F:/Financial%20Reporting/2024/Q1'24/Mar'24/Footnotes/Revenue/Geowise%20working%20Q1'2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Financial%20Reporting/2024/Q1'24/Mar'24/Footnotes/Linked%20Data_2024_Q1_10Q.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F:/Financial%20Reporting/2024/Q2'24/Jun'24/Footnotes/Revenue/Geowise%20working%20Q2'24/Geowise%20working%20Q2'24.xlsb"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F:/Financial%20Reporting/Provident%20Fund%20Matter/Inductis/Memo/Interest%20%207A%20of%20EPF%20(IIPL%20%20SEZ)%20Ver%203.0_validation_Pwd_hrss.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F:/Financial%20Reporting/Provident%20Fund%20Matter/Exl%20India/Quantification/Exl%20India_PF%20Matter_Sep%202022_Pwd_hrss.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F:/Financial%20Reporting/Litigations%20-%20Critical/Cooper/Legal%20Expenses_Cooper%20Matter_Dec%202023%20v2.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F:/Financial%20Reporting/2024/Q2'24/Jun'24/Footnotes/EPS/Adjusted%20EPS%20Jun'24.xlsx"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172.16.2.131/accounts/Financial%20Reporting/2018/Q3'18/Sep'18/Acq-Related%20Cost/Acquisition%20Cost%20-%20Jan'18%20to%20Sep'18_10.09.2018.xlsb"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F:/Financial%20Reporting/2018/Q4'18/Dec'18/Footnotes/EPS/Adjusted%20EPS%20Dec%202018.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F:/Financial%20Reporting/2021/Q4'21/Dec'21/Footnotes/EPS/Adjusted%20EPS%20Dec%202021.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F:/Financial%20Reporting/2022/Q1'22/Mar'22/Footnotes/EPS/Adjusted%20EPS%20March%202022%20v1.xlsx"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F:/Financial%20Reporting/2022/Q2'22/Jun'22/Footnotes/EPS/Adjusted%20EPS%20Jun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
      <sheetName val="Index"/>
      <sheetName val="Balance Sheets"/>
      <sheetName val="Statements of Income"/>
      <sheetName val="Reclass Adjustment"/>
      <sheetName val="SCI"/>
      <sheetName val="SCI (Tax grossing)"/>
      <sheetName val="AOCI"/>
      <sheetName val="AOCI (Tax grossing)"/>
      <sheetName val="Shareholders Equity 10K"/>
      <sheetName val="Shareholders Equity Q3'17"/>
      <sheetName val="Shareholders Equity 10K (3M)"/>
      <sheetName val="Statements of Cash Flow"/>
      <sheetName val="3. Quarterly Financial Data"/>
      <sheetName val="Other income (expense), net"/>
      <sheetName val="Cash &amp; cash equivalent"/>
      <sheetName val="CL,NCL,OCA &amp; OA"/>
      <sheetName val="Revenues,Net"/>
      <sheetName val="EPS"/>
      <sheetName val="MD&amp;A Section- Three months"/>
      <sheetName val="MD&amp;A Section- Three Months End"/>
      <sheetName val="Segment Information 10K"/>
      <sheetName val="Segment Information"/>
      <sheetName val="Statement of opts data(Item 6)"/>
      <sheetName val="Geographical"/>
      <sheetName val="Reimb Revenue- Unbilled"/>
      <sheetName val="MD&amp;A Section- Year End"/>
      <sheetName val="Data - 8K"/>
      <sheetName val="Pro forma (Bus. Com (1)"/>
      <sheetName val="Business Com (2)"/>
      <sheetName val="Emp Benefits"/>
      <sheetName val="Goodwill &amp; Intangibles"/>
      <sheetName val="Business Com"/>
      <sheetName val="Goodwill (2)"/>
      <sheetName val="Goodwill"/>
      <sheetName val="Intangibles"/>
      <sheetName val="6. Fair Value Measurements"/>
      <sheetName val="Derivatives 1"/>
      <sheetName val="Derivatives 3"/>
      <sheetName val="Derivatives 2 (a)"/>
      <sheetName val="Derivatives 2 (b)"/>
      <sheetName val="FA"/>
      <sheetName val="Lease disclosure"/>
      <sheetName val="12. Leases"/>
      <sheetName val="Contractual Obligati &amp; Note 19 "/>
      <sheetName val="Income Tax"/>
      <sheetName val="21. Stock Based Compensation"/>
      <sheetName val="Contingencies"/>
      <sheetName val="Sheet1"/>
      <sheetName val="MD&amp;A"/>
      <sheetName val="MD&amp;A (9m)"/>
      <sheetName val="MD&amp;A (PY)"/>
      <sheetName val="Liquidity &amp; CR"/>
      <sheetName val="Item 5"/>
      <sheetName val="18. Capital Structure"/>
      <sheetName val="Borrowings &amp; Credit Arrangement"/>
      <sheetName val="Commitment &amp; Contingencies"/>
      <sheetName val="Equity compensation plan Item 5"/>
      <sheetName val="24. Impairment &amp; Restructuring"/>
      <sheetName val="High and Low"/>
    </sheetNames>
    <sheetDataSet>
      <sheetData sheetId="0">
        <row r="6">
          <cell r="B6" t="str">
            <v>December 31,</v>
          </cell>
        </row>
      </sheetData>
      <sheetData sheetId="1"/>
      <sheetData sheetId="2">
        <row r="9">
          <cell r="B9" t="str">
            <v>  </v>
          </cell>
          <cell r="C9">
            <v>119165</v>
          </cell>
        </row>
        <row r="10">
          <cell r="C10">
            <v>202238</v>
          </cell>
        </row>
        <row r="11">
          <cell r="C11">
            <v>5453</v>
          </cell>
        </row>
        <row r="12">
          <cell r="C12">
            <v>171864</v>
          </cell>
        </row>
        <row r="13">
          <cell r="C13">
            <v>13246</v>
          </cell>
        </row>
        <row r="14">
          <cell r="C14">
            <v>4698</v>
          </cell>
        </row>
        <row r="15">
          <cell r="C15">
            <v>24594</v>
          </cell>
        </row>
        <row r="17">
          <cell r="C17">
            <v>79142</v>
          </cell>
        </row>
        <row r="18">
          <cell r="C18">
            <v>86396</v>
          </cell>
        </row>
        <row r="19">
          <cell r="C19">
            <v>2426</v>
          </cell>
        </row>
        <row r="20">
          <cell r="C20">
            <v>11855</v>
          </cell>
        </row>
        <row r="21">
          <cell r="C21">
            <v>73982</v>
          </cell>
        </row>
        <row r="22">
          <cell r="C22">
            <v>349529</v>
          </cell>
        </row>
        <row r="23">
          <cell r="C23">
            <v>36016</v>
          </cell>
        </row>
        <row r="24">
          <cell r="C24">
            <v>2484</v>
          </cell>
        </row>
        <row r="28">
          <cell r="C28">
            <v>6564</v>
          </cell>
        </row>
        <row r="29">
          <cell r="C29">
            <v>40867</v>
          </cell>
        </row>
        <row r="30">
          <cell r="C30">
            <v>13436</v>
          </cell>
        </row>
        <row r="33">
          <cell r="C33">
            <v>24148</v>
          </cell>
        </row>
        <row r="37">
          <cell r="C37">
            <v>194131</v>
          </cell>
        </row>
        <row r="40">
          <cell r="C40">
            <v>966</v>
          </cell>
        </row>
        <row r="41">
          <cell r="C41">
            <v>74709</v>
          </cell>
        </row>
        <row r="47">
          <cell r="C47">
            <v>39</v>
          </cell>
        </row>
        <row r="48">
          <cell r="C48">
            <v>391240</v>
          </cell>
        </row>
        <row r="49">
          <cell r="C49">
            <v>551903</v>
          </cell>
        </row>
        <row r="50">
          <cell r="C50">
            <v>-84892</v>
          </cell>
        </row>
        <row r="52">
          <cell r="C52">
            <v>-188289</v>
          </cell>
        </row>
      </sheetData>
      <sheetData sheetId="3">
        <row r="7">
          <cell r="J7">
            <v>991346</v>
          </cell>
        </row>
        <row r="8">
          <cell r="J8">
            <v>655490</v>
          </cell>
        </row>
        <row r="11">
          <cell r="J11">
            <v>126909</v>
          </cell>
        </row>
        <row r="12">
          <cell r="J12">
            <v>71842</v>
          </cell>
        </row>
        <row r="13">
          <cell r="J13">
            <v>51981</v>
          </cell>
        </row>
        <row r="14">
          <cell r="J14">
            <v>8671</v>
          </cell>
        </row>
        <row r="17">
          <cell r="J17">
            <v>3752</v>
          </cell>
        </row>
        <row r="18">
          <cell r="J18">
            <v>-13612</v>
          </cell>
        </row>
        <row r="19">
          <cell r="J19">
            <v>16507</v>
          </cell>
        </row>
        <row r="21">
          <cell r="J21">
            <v>15172</v>
          </cell>
        </row>
        <row r="23">
          <cell r="J23">
            <v>269</v>
          </cell>
        </row>
      </sheetData>
      <sheetData sheetId="4">
        <row r="4">
          <cell r="B4">
            <v>-218</v>
          </cell>
        </row>
      </sheetData>
      <sheetData sheetId="5"/>
      <sheetData sheetId="6">
        <row r="4">
          <cell r="J4">
            <v>67659</v>
          </cell>
        </row>
      </sheetData>
      <sheetData sheetId="7"/>
      <sheetData sheetId="8">
        <row r="5">
          <cell r="B5">
            <v>-87591</v>
          </cell>
        </row>
      </sheetData>
      <sheetData sheetId="9">
        <row r="34">
          <cell r="B34">
            <v>990334</v>
          </cell>
        </row>
      </sheetData>
      <sheetData sheetId="10"/>
      <sheetData sheetId="11"/>
      <sheetData sheetId="12">
        <row r="7">
          <cell r="C7">
            <v>67659</v>
          </cell>
        </row>
        <row r="9">
          <cell r="C9">
            <v>52193</v>
          </cell>
        </row>
        <row r="10">
          <cell r="C10">
            <v>26070</v>
          </cell>
        </row>
        <row r="11">
          <cell r="C11">
            <v>27335</v>
          </cell>
        </row>
        <row r="12">
          <cell r="C12">
            <v>-10116</v>
          </cell>
        </row>
        <row r="13">
          <cell r="C13">
            <v>-321</v>
          </cell>
        </row>
        <row r="14">
          <cell r="C14">
            <v>-12345</v>
          </cell>
        </row>
        <row r="15">
          <cell r="C15">
            <v>614</v>
          </cell>
        </row>
        <row r="16">
          <cell r="C16">
            <v>269</v>
          </cell>
        </row>
        <row r="18">
          <cell r="C18">
            <v>3627</v>
          </cell>
        </row>
        <row r="21">
          <cell r="C21">
            <v>-7093</v>
          </cell>
        </row>
        <row r="22">
          <cell r="C22">
            <v>1215</v>
          </cell>
        </row>
        <row r="23">
          <cell r="C23">
            <v>7194</v>
          </cell>
        </row>
        <row r="24">
          <cell r="C24">
            <v>-2204</v>
          </cell>
        </row>
        <row r="25">
          <cell r="C25">
            <v>134</v>
          </cell>
        </row>
        <row r="26">
          <cell r="C26">
            <v>6679</v>
          </cell>
        </row>
        <row r="27">
          <cell r="C27">
            <v>16915</v>
          </cell>
        </row>
        <row r="28">
          <cell r="C28">
            <v>14141</v>
          </cell>
        </row>
        <row r="29">
          <cell r="C29">
            <v>-24813</v>
          </cell>
        </row>
        <row r="34">
          <cell r="C34">
            <v>-241</v>
          </cell>
        </row>
        <row r="35">
          <cell r="C35">
            <v>0</v>
          </cell>
        </row>
        <row r="36">
          <cell r="C36">
            <v>-187974</v>
          </cell>
        </row>
        <row r="37">
          <cell r="C37">
            <v>176968</v>
          </cell>
        </row>
        <row r="40">
          <cell r="C40">
            <v>-336</v>
          </cell>
        </row>
        <row r="41">
          <cell r="C41">
            <v>46000</v>
          </cell>
        </row>
        <row r="42">
          <cell r="C42">
            <v>-98247</v>
          </cell>
        </row>
        <row r="47">
          <cell r="C47">
            <v>-117</v>
          </cell>
        </row>
        <row r="48">
          <cell r="C48">
            <v>-41364</v>
          </cell>
        </row>
        <row r="49">
          <cell r="C49">
            <v>987</v>
          </cell>
        </row>
        <row r="51">
          <cell r="C51">
            <v>-1045</v>
          </cell>
        </row>
      </sheetData>
      <sheetData sheetId="13"/>
      <sheetData sheetId="14">
        <row r="7">
          <cell r="K7">
            <v>12965</v>
          </cell>
        </row>
      </sheetData>
      <sheetData sheetId="15">
        <row r="5">
          <cell r="C5">
            <v>119165</v>
          </cell>
        </row>
      </sheetData>
      <sheetData sheetId="16">
        <row r="7">
          <cell r="C7">
            <v>53139</v>
          </cell>
        </row>
      </sheetData>
      <sheetData sheetId="17">
        <row r="5">
          <cell r="C5">
            <v>171864</v>
          </cell>
        </row>
      </sheetData>
      <sheetData sheetId="18">
        <row r="15">
          <cell r="K15">
            <v>106375</v>
          </cell>
        </row>
      </sheetData>
      <sheetData sheetId="19"/>
      <sheetData sheetId="20"/>
      <sheetData sheetId="21">
        <row r="30">
          <cell r="B30">
            <v>294159</v>
          </cell>
        </row>
      </sheetData>
      <sheetData sheetId="22"/>
      <sheetData sheetId="23"/>
      <sheetData sheetId="24"/>
      <sheetData sheetId="25"/>
      <sheetData sheetId="26"/>
      <sheetData sheetId="27"/>
      <sheetData sheetId="28"/>
      <sheetData sheetId="29"/>
      <sheetData sheetId="30">
        <row r="6">
          <cell r="E6">
            <v>11044</v>
          </cell>
        </row>
      </sheetData>
      <sheetData sheetId="31">
        <row r="9">
          <cell r="B9">
            <v>38203</v>
          </cell>
        </row>
        <row r="61">
          <cell r="B61">
            <v>21558</v>
          </cell>
        </row>
      </sheetData>
      <sheetData sheetId="32"/>
      <sheetData sheetId="33"/>
      <sheetData sheetId="34"/>
      <sheetData sheetId="35"/>
      <sheetData sheetId="36">
        <row r="7">
          <cell r="B7">
            <v>166330</v>
          </cell>
        </row>
      </sheetData>
      <sheetData sheetId="37">
        <row r="4">
          <cell r="D4">
            <v>3945</v>
          </cell>
        </row>
      </sheetData>
      <sheetData sheetId="38"/>
      <sheetData sheetId="39">
        <row r="15">
          <cell r="L15">
            <v>0</v>
          </cell>
        </row>
      </sheetData>
      <sheetData sheetId="40">
        <row r="6">
          <cell r="C6">
            <v>8773</v>
          </cell>
        </row>
      </sheetData>
      <sheetData sheetId="41">
        <row r="6">
          <cell r="E6">
            <v>98309</v>
          </cell>
        </row>
      </sheetData>
      <sheetData sheetId="42">
        <row r="4">
          <cell r="C4">
            <v>86396</v>
          </cell>
        </row>
      </sheetData>
      <sheetData sheetId="43"/>
      <sheetData sheetId="44"/>
      <sheetData sheetId="45">
        <row r="7">
          <cell r="C7">
            <v>-391</v>
          </cell>
        </row>
      </sheetData>
      <sheetData sheetId="46">
        <row r="4">
          <cell r="B4">
            <v>5895</v>
          </cell>
        </row>
        <row r="7">
          <cell r="B7">
            <v>26070</v>
          </cell>
        </row>
      </sheetData>
      <sheetData sheetId="47"/>
      <sheetData sheetId="48"/>
      <sheetData sheetId="49"/>
      <sheetData sheetId="50"/>
      <sheetData sheetId="51"/>
      <sheetData sheetId="52">
        <row r="5">
          <cell r="C5">
            <v>104.1</v>
          </cell>
        </row>
      </sheetData>
      <sheetData sheetId="53"/>
      <sheetData sheetId="54">
        <row r="4">
          <cell r="B4">
            <v>23859</v>
          </cell>
        </row>
      </sheetData>
      <sheetData sheetId="55">
        <row r="4">
          <cell r="D4">
            <v>300000</v>
          </cell>
        </row>
      </sheetData>
      <sheetData sheetId="56">
        <row r="7">
          <cell r="B7">
            <v>16220</v>
          </cell>
        </row>
      </sheetData>
      <sheetData sheetId="57"/>
      <sheetData sheetId="58">
        <row r="9">
          <cell r="C9">
            <v>1597</v>
          </cell>
        </row>
      </sheetData>
      <sheetData sheetId="5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napshot- Checks"/>
      <sheetName val="Master Sheet"/>
      <sheetName val="Index"/>
      <sheetName val="Balance Sheets"/>
      <sheetName val="Statements of Income"/>
      <sheetName val="OCI Movement"/>
      <sheetName val="SCI"/>
      <sheetName val="SCI (Tax grossing)"/>
      <sheetName val="AOCI"/>
      <sheetName val="AOCI (Tax grossing)"/>
      <sheetName val="Shareholders Equity Q2'20 (9M)"/>
      <sheetName val="Shareholders Equity Q3'17"/>
      <sheetName val="Shareholders Equity (3M)"/>
      <sheetName val="Shareholders Equity (6M)"/>
      <sheetName val="Statements of Cash Flow"/>
      <sheetName val="Other income (expense), net"/>
      <sheetName val="3. Quarterly Financial Data"/>
      <sheetName val="Cash &amp; cash equivalent"/>
      <sheetName val="Segment Information "/>
      <sheetName val="Investments"/>
      <sheetName val="CL,NCL,OCA &amp; OA"/>
      <sheetName val="Revenues,Net"/>
      <sheetName val="EPS"/>
      <sheetName val="MD&amp;A Section- Three months"/>
      <sheetName val="Statement of opts data(Item 6)"/>
      <sheetName val="Geographical"/>
      <sheetName val="Reimb Revenue- Unbilled"/>
      <sheetName val="Data - 8K"/>
      <sheetName val="Pro forma (Bus. Com (1)"/>
      <sheetName val="Business Com (2)"/>
      <sheetName val="Business Com"/>
      <sheetName val="Goodwill (2)"/>
      <sheetName val="Goodwill"/>
      <sheetName val="Intangibles"/>
      <sheetName val="MD&amp;A Section- Nine Months End"/>
      <sheetName val="Goodwill &amp; Intangibles"/>
      <sheetName val="Emp Benefits"/>
      <sheetName val="6. Fair Value Measurements"/>
      <sheetName val="Derivatives 1"/>
      <sheetName val="Derivatives 3"/>
      <sheetName val="Derivatives 2 (b)"/>
      <sheetName val="Derivatives 1 "/>
      <sheetName val="Derivatives 2 (a)"/>
      <sheetName val="Derivatives 2 (b) "/>
      <sheetName val="Derivatives 3 (c) "/>
      <sheetName val="Lease disclosure"/>
      <sheetName val="12. Leases"/>
      <sheetName val="FA"/>
      <sheetName val="Income Tax"/>
      <sheetName val="Contractual Obligati &amp; Note 19 "/>
      <sheetName val="Contingencies"/>
      <sheetName val="Sheet1"/>
      <sheetName val="MD&amp;A"/>
      <sheetName val="MD&amp;A (9m)"/>
      <sheetName val="MD&amp;A (PY)"/>
      <sheetName val="18. Capital Structure"/>
      <sheetName val="Borrowings &amp; Credit Arrangement"/>
      <sheetName val="21. Stock Based Compensation"/>
      <sheetName val="25. Related Party Disclosures"/>
      <sheetName val="Commitment &amp; Contingencies"/>
      <sheetName val="Subsequent Events"/>
      <sheetName val="MD&amp;A Section- Three Months End"/>
      <sheetName val="MD&amp;A Section- Year End"/>
      <sheetName val="Liquidity &amp; CR"/>
      <sheetName val="Item 2"/>
      <sheetName val="Equity compensation plan Item 5"/>
      <sheetName val="24. Impairment &amp; Restructuring"/>
      <sheetName val="High and Low"/>
    </sheetNames>
    <sheetDataSet>
      <sheetData sheetId="0"/>
      <sheetData sheetId="1"/>
      <sheetData sheetId="2"/>
      <sheetData sheetId="3">
        <row r="9">
          <cell r="C9">
            <v>115303</v>
          </cell>
        </row>
        <row r="10">
          <cell r="C10">
            <v>160833</v>
          </cell>
        </row>
        <row r="11">
          <cell r="C11">
            <v>6351</v>
          </cell>
        </row>
        <row r="12">
          <cell r="C12">
            <v>327613</v>
          </cell>
        </row>
        <row r="13">
          <cell r="C13">
            <v>93612</v>
          </cell>
        </row>
        <row r="15">
          <cell r="C15">
            <v>103478</v>
          </cell>
        </row>
        <row r="16">
          <cell r="C16">
            <v>72822</v>
          </cell>
        </row>
        <row r="18">
          <cell r="C18">
            <v>100993</v>
          </cell>
        </row>
        <row r="19">
          <cell r="C19">
            <v>44003</v>
          </cell>
        </row>
        <row r="20">
          <cell r="C20">
            <v>405581</v>
          </cell>
        </row>
        <row r="21">
          <cell r="C21">
            <v>53939</v>
          </cell>
        </row>
        <row r="26">
          <cell r="C26">
            <v>2996</v>
          </cell>
        </row>
        <row r="27">
          <cell r="C27">
            <v>75000</v>
          </cell>
        </row>
        <row r="28">
          <cell r="C28">
            <v>15406</v>
          </cell>
        </row>
        <row r="29">
          <cell r="C29">
            <v>80443</v>
          </cell>
        </row>
        <row r="30">
          <cell r="C30">
            <v>97613</v>
          </cell>
        </row>
        <row r="31">
          <cell r="C31">
            <v>15404</v>
          </cell>
        </row>
        <row r="35">
          <cell r="C35">
            <v>260000</v>
          </cell>
        </row>
        <row r="37">
          <cell r="C37">
            <v>64412</v>
          </cell>
        </row>
        <row r="38">
          <cell r="C38">
            <v>2271</v>
          </cell>
        </row>
        <row r="39">
          <cell r="C39">
            <v>37616</v>
          </cell>
        </row>
        <row r="44">
          <cell r="C44">
            <v>204</v>
          </cell>
        </row>
        <row r="45">
          <cell r="C45">
            <v>520922</v>
          </cell>
        </row>
        <row r="46">
          <cell r="C46">
            <v>1178251</v>
          </cell>
        </row>
        <row r="47">
          <cell r="C47">
            <v>-136108</v>
          </cell>
        </row>
        <row r="49">
          <cell r="C49">
            <v>-710663</v>
          </cell>
        </row>
      </sheetData>
      <sheetData sheetId="4">
        <row r="7">
          <cell r="F7">
            <v>448366</v>
          </cell>
        </row>
        <row r="8">
          <cell r="F8">
            <v>282106</v>
          </cell>
        </row>
        <row r="11">
          <cell r="F11">
            <v>56457</v>
          </cell>
        </row>
        <row r="12">
          <cell r="F12">
            <v>35444</v>
          </cell>
        </row>
        <row r="13">
          <cell r="F13">
            <v>12910</v>
          </cell>
        </row>
        <row r="17">
          <cell r="F17">
            <v>36</v>
          </cell>
        </row>
        <row r="18">
          <cell r="F18">
            <v>-5328</v>
          </cell>
        </row>
        <row r="19">
          <cell r="F19">
            <v>3550</v>
          </cell>
        </row>
        <row r="22">
          <cell r="F22">
            <v>13873</v>
          </cell>
        </row>
        <row r="24">
          <cell r="F24">
            <v>-9</v>
          </cell>
        </row>
      </sheetData>
      <sheetData sheetId="5"/>
      <sheetData sheetId="6"/>
      <sheetData sheetId="7"/>
      <sheetData sheetId="8"/>
      <sheetData sheetId="9"/>
      <sheetData sheetId="10"/>
      <sheetData sheetId="11"/>
      <sheetData sheetId="12"/>
      <sheetData sheetId="13"/>
      <sheetData sheetId="14">
        <row r="7">
          <cell r="C7">
            <v>94588</v>
          </cell>
        </row>
        <row r="9">
          <cell r="C9">
            <v>25230</v>
          </cell>
        </row>
        <row r="10">
          <cell r="C10">
            <v>35947</v>
          </cell>
        </row>
        <row r="11">
          <cell r="C11">
            <v>10349</v>
          </cell>
        </row>
        <row r="12">
          <cell r="C12">
            <v>-301</v>
          </cell>
        </row>
        <row r="13">
          <cell r="C13">
            <v>-2919</v>
          </cell>
        </row>
        <row r="14">
          <cell r="C14">
            <v>-17076</v>
          </cell>
        </row>
        <row r="19">
          <cell r="C19">
            <v>0</v>
          </cell>
        </row>
        <row r="23">
          <cell r="C23">
            <v>-20008</v>
          </cell>
        </row>
        <row r="24">
          <cell r="C24">
            <v>-14507</v>
          </cell>
        </row>
        <row r="25">
          <cell r="C25">
            <v>-4922</v>
          </cell>
        </row>
        <row r="26">
          <cell r="C26">
            <v>-11000</v>
          </cell>
        </row>
        <row r="28">
          <cell r="C28">
            <v>3138</v>
          </cell>
        </row>
        <row r="29">
          <cell r="C29">
            <v>-35128</v>
          </cell>
        </row>
        <row r="30">
          <cell r="C30">
            <v>-639</v>
          </cell>
        </row>
        <row r="31">
          <cell r="C31">
            <v>-9645</v>
          </cell>
        </row>
        <row r="34">
          <cell r="C34">
            <v>-23329</v>
          </cell>
        </row>
        <row r="35">
          <cell r="C35">
            <v>90</v>
          </cell>
        </row>
        <row r="40">
          <cell r="C40">
            <v>-159854</v>
          </cell>
        </row>
        <row r="41">
          <cell r="C41">
            <v>139844</v>
          </cell>
        </row>
        <row r="44">
          <cell r="C44">
            <v>-132</v>
          </cell>
        </row>
        <row r="45">
          <cell r="C45">
            <v>180000</v>
          </cell>
        </row>
        <row r="46">
          <cell r="C46">
            <v>-45000</v>
          </cell>
        </row>
        <row r="47">
          <cell r="C47">
            <v>-4000</v>
          </cell>
        </row>
        <row r="53">
          <cell r="C53">
            <v>-160647</v>
          </cell>
        </row>
        <row r="54">
          <cell r="C54">
            <v>0</v>
          </cell>
        </row>
        <row r="55">
          <cell r="C55">
            <v>2474</v>
          </cell>
        </row>
        <row r="57">
          <cell r="C57">
            <v>-1844</v>
          </cell>
        </row>
      </sheetData>
      <sheetData sheetId="15"/>
      <sheetData sheetId="16"/>
      <sheetData sheetId="17"/>
      <sheetData sheetId="18">
        <row r="6">
          <cell r="B6">
            <v>149297</v>
          </cell>
          <cell r="C6">
            <v>28098</v>
          </cell>
          <cell r="D6">
            <v>77185</v>
          </cell>
          <cell r="E6">
            <v>193786</v>
          </cell>
        </row>
        <row r="8">
          <cell r="B8">
            <v>53773</v>
          </cell>
          <cell r="C8">
            <v>9296</v>
          </cell>
          <cell r="D8">
            <v>32116</v>
          </cell>
          <cell r="E8">
            <v>71075</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58">
          <cell r="B58">
            <v>3077</v>
          </cell>
        </row>
      </sheetData>
      <sheetData sheetId="36"/>
      <sheetData sheetId="37"/>
      <sheetData sheetId="38"/>
      <sheetData sheetId="39"/>
      <sheetData sheetId="40"/>
      <sheetData sheetId="41"/>
      <sheetData sheetId="42"/>
      <sheetData sheetId="43"/>
      <sheetData sheetId="44"/>
      <sheetData sheetId="45"/>
      <sheetData sheetId="46"/>
      <sheetData sheetId="47">
        <row r="35">
          <cell r="E35">
            <v>9833</v>
          </cell>
        </row>
      </sheetData>
      <sheetData sheetId="48"/>
      <sheetData sheetId="49"/>
      <sheetData sheetId="50"/>
      <sheetData sheetId="51"/>
      <sheetData sheetId="52"/>
      <sheetData sheetId="53"/>
      <sheetData sheetId="54"/>
      <sheetData sheetId="55"/>
      <sheetData sheetId="56"/>
      <sheetData sheetId="57">
        <row r="7">
          <cell r="B7">
            <v>18095</v>
          </cell>
        </row>
      </sheetData>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 Working"/>
      <sheetName val="Adjusted EPS Working without CV"/>
    </sheetNames>
    <sheetDataSet>
      <sheetData sheetId="0">
        <row r="6">
          <cell r="B6">
            <v>111119</v>
          </cell>
        </row>
        <row r="10">
          <cell r="G10">
            <v>0</v>
          </cell>
        </row>
        <row r="11">
          <cell r="G11">
            <v>0</v>
          </cell>
        </row>
        <row r="12">
          <cell r="G12">
            <v>481</v>
          </cell>
        </row>
        <row r="14">
          <cell r="G14">
            <v>92</v>
          </cell>
        </row>
        <row r="15">
          <cell r="G15">
            <v>-2925</v>
          </cell>
        </row>
        <row r="16">
          <cell r="G16">
            <v>-994</v>
          </cell>
        </row>
        <row r="17">
          <cell r="G17">
            <v>0</v>
          </cell>
        </row>
        <row r="18">
          <cell r="G18">
            <v>-78</v>
          </cell>
        </row>
      </sheetData>
      <sheetData sheetId="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 Working"/>
      <sheetName val="Adjusted EPS Working without CV"/>
    </sheetNames>
    <sheetDataSet>
      <sheetData sheetId="0">
        <row r="6">
          <cell r="B6">
            <v>142968</v>
          </cell>
        </row>
        <row r="10">
          <cell r="B10">
            <v>134</v>
          </cell>
        </row>
        <row r="11">
          <cell r="B11">
            <v>8500</v>
          </cell>
        </row>
        <row r="13">
          <cell r="B13">
            <v>1061</v>
          </cell>
        </row>
        <row r="15">
          <cell r="B15">
            <v>-5881</v>
          </cell>
        </row>
        <row r="16">
          <cell r="B16">
            <v>-12269</v>
          </cell>
        </row>
        <row r="17">
          <cell r="B17">
            <v>-4151</v>
          </cell>
        </row>
        <row r="18">
          <cell r="B18">
            <v>8365</v>
          </cell>
        </row>
        <row r="19">
          <cell r="B19">
            <v>-170</v>
          </cell>
        </row>
        <row r="22">
          <cell r="B22">
            <v>-1079</v>
          </cell>
        </row>
        <row r="23">
          <cell r="B23">
            <v>-560</v>
          </cell>
        </row>
        <row r="24">
          <cell r="B24">
            <v>141</v>
          </cell>
        </row>
      </sheetData>
      <sheetData sheetId="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o summary "/>
      <sheetName val="Pivot for EPS"/>
      <sheetName val="New consol"/>
      <sheetName val="P050213"/>
      <sheetName val="G110413"/>
      <sheetName val="S030503"/>
      <sheetName val="G110414"/>
    </sheetNames>
    <sheetDataSet>
      <sheetData sheetId="0"/>
      <sheetData sheetId="1">
        <row r="7">
          <cell r="B7">
            <v>4761516.9599999972</v>
          </cell>
        </row>
      </sheetData>
      <sheetData sheetId="2"/>
      <sheetData sheetId="3"/>
      <sheetData sheetId="4"/>
      <sheetData sheetId="5"/>
      <sheetData sheetId="6"/>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
      <sheetName val="Checks Sheet"/>
      <sheetName val="Master"/>
      <sheetName val="Snapshots"/>
      <sheetName val="FSG 2020"/>
      <sheetName val="FSG 2019"/>
      <sheetName val="FSG 2018 "/>
      <sheetName val="FSG 2021"/>
      <sheetName val="Income Statement"/>
      <sheetName val="Summary Quarterly P&amp;L"/>
      <sheetName val="FSG 2022"/>
      <sheetName val="FSG 2023"/>
      <sheetName val="SEC P&amp;L"/>
      <sheetName val="Qtly P&amp;L Trend"/>
      <sheetName val="Monthly PL Trend"/>
      <sheetName val="P&amp;L_Consol_New"/>
      <sheetName val="Clairvoyant"/>
      <sheetName val="Entity Name"/>
      <sheetName val="US Geo New"/>
      <sheetName val="India Geo New"/>
      <sheetName val="ROW Geo"/>
      <sheetName val="Europe Geo"/>
      <sheetName val="Entity wise P&amp;L"/>
      <sheetName val="Dec'23_System PL"/>
      <sheetName val="Jan'24_System PL"/>
      <sheetName val="Feb'24_System PL"/>
      <sheetName val="Mar'24_System PL"/>
      <sheetName val="Apr'24_System PL"/>
      <sheetName val="May'24_System PL"/>
      <sheetName val="Check sheet detailed"/>
      <sheetName val="Jun'24_System PL"/>
      <sheetName val="Jul'24_System PL"/>
      <sheetName val="Aug'24_System PL"/>
      <sheetName val="Sep'24_System PL"/>
      <sheetName val="Oct'24_System PL"/>
      <sheetName val="Nov'24_System PL"/>
      <sheetName val="Dec'24_System PL"/>
      <sheetName val="YTD'24_System PL"/>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O4">
            <v>152185.31209000002</v>
          </cell>
        </row>
        <row r="31">
          <cell r="AF31">
            <v>88796.298859999893</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 AP (2)"/>
      <sheetName val="Consol AP (3)"/>
      <sheetName val="Consol AP (4)_Sep-22"/>
      <sheetName val="Top Page"/>
      <sheetName val="TB Oct'22"/>
      <sheetName val="OU &amp; Acct Wise Reco Advances"/>
      <sheetName val="Pivot"/>
      <sheetName val="W15_12132_33"/>
      <sheetName val="AP_Remarks_Ref."/>
      <sheetName val="Summary"/>
      <sheetName val="Sheet1"/>
      <sheetName val="Closed Ctr Summary V2"/>
      <sheetName val="5 ECOM "/>
      <sheetName val="Center Close Summary"/>
      <sheetName val="Consol AP"/>
      <sheetName val="W14 and W15"/>
      <sheetName val="Consol Advance "/>
      <sheetName val="INTER COMPANY_Check"/>
    </sheetNames>
    <sheetDataSet>
      <sheetData sheetId="0"/>
      <sheetData sheetId="1"/>
      <sheetData sheetId="2"/>
      <sheetData sheetId="3"/>
      <sheetData sheetId="4"/>
      <sheetData sheetId="5"/>
      <sheetData sheetId="6"/>
      <sheetData sheetId="7"/>
      <sheetData sheetId="8"/>
      <sheetData sheetId="9"/>
      <sheetData sheetId="10"/>
      <sheetData sheetId="11">
        <row r="4">
          <cell r="F4">
            <v>309174.11182412726</v>
          </cell>
        </row>
        <row r="19">
          <cell r="M19">
            <v>52623.650459688826</v>
          </cell>
          <cell r="U19">
            <v>-872191.34442148008</v>
          </cell>
          <cell r="X19">
            <v>-24508.965303464138</v>
          </cell>
          <cell r="Y19">
            <v>-20121.093423326947</v>
          </cell>
        </row>
      </sheetData>
      <sheetData sheetId="12"/>
      <sheetData sheetId="13"/>
      <sheetData sheetId="14"/>
      <sheetData sheetId="15"/>
      <sheetData sheetId="16"/>
      <sheetData sheetId="17"/>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
      <sheetName val="Checks Sheet"/>
      <sheetName val="Master"/>
      <sheetName val="Snapshots"/>
      <sheetName val="Income Statement"/>
      <sheetName val="FSG 2020"/>
      <sheetName val="FSG 2019"/>
      <sheetName val="FSG 2018 "/>
      <sheetName val="FSG 2022"/>
      <sheetName val="FSG 2021"/>
      <sheetName val="Summary YOY &amp; QOQ_updated"/>
      <sheetName val="SEC P&amp;L with remarks"/>
      <sheetName val="P&amp;L-Qtly_2023"/>
      <sheetName val="Monthly PL Trend"/>
      <sheetName val="P&amp;L_Consol_New"/>
      <sheetName val="Clairvoyant"/>
      <sheetName val="Entity Name"/>
      <sheetName val="US Geo New"/>
      <sheetName val="India Geo New"/>
      <sheetName val="ROW Geo"/>
      <sheetName val="Europe Geo"/>
      <sheetName val="Entity wise P&amp;L"/>
      <sheetName val="Dec'22_System PL"/>
      <sheetName val="Jan'23_System PL"/>
      <sheetName val="Feb'23_System PL"/>
      <sheetName val="Mar'23_System PL"/>
      <sheetName val="Apr'23_System PL"/>
      <sheetName val="May'23_System PL"/>
      <sheetName val="Check sheet detailed"/>
      <sheetName val="Jun'23_System PL"/>
      <sheetName val="Jul'23_System PL"/>
      <sheetName val="Aug'23_System PL"/>
      <sheetName val="Sep'23_System PL"/>
      <sheetName val="Oct'23_System PL"/>
      <sheetName val="Nov'23_System PL"/>
      <sheetName val="Dec'23_System PL"/>
      <sheetName val="YTD'23_System 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4">
          <cell r="I4">
            <v>143652.71501000001</v>
          </cell>
        </row>
        <row r="30">
          <cell r="AF30">
            <v>-89.130333379262538</v>
          </cell>
        </row>
        <row r="32">
          <cell r="AF32">
            <v>-749.09306017728454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
      <sheetName val="Checks Sheet"/>
      <sheetName val="Master"/>
      <sheetName val="Snapshots"/>
      <sheetName val="Income Statement"/>
      <sheetName val="FSG 2020"/>
      <sheetName val="FSG 2019"/>
      <sheetName val="FSG 2018 "/>
      <sheetName val="FSG 2022"/>
      <sheetName val="FSG 2021"/>
      <sheetName val="Summary YOY &amp; QOQ_updated"/>
      <sheetName val="SEC P&amp;L with remarks"/>
      <sheetName val="P&amp;L-Qtly_2023"/>
      <sheetName val="Monthly PL Trend"/>
      <sheetName val="P&amp;L_Consol_New"/>
      <sheetName val="Clairvoyant"/>
      <sheetName val="Entity Name"/>
      <sheetName val="US Geo New"/>
      <sheetName val="India Geo New"/>
      <sheetName val="ROW Geo"/>
      <sheetName val="Europe Geo"/>
      <sheetName val="Entity wise P&amp;L"/>
      <sheetName val="Dec'22_System PL"/>
      <sheetName val="Jan'23_System PL"/>
      <sheetName val="Feb'23_System PL"/>
      <sheetName val="Mar'23_System PL"/>
      <sheetName val="Apr'23_System PL"/>
      <sheetName val="May'23_System PL"/>
      <sheetName val="Check sheet detailed"/>
      <sheetName val="Jun'23_System PL"/>
      <sheetName val="Jul'23_System PL"/>
      <sheetName val="Aug'23_System PL"/>
      <sheetName val="Sep'23_System PL"/>
      <sheetName val="Oct'23_System PL"/>
      <sheetName val="Nov'23_System PL"/>
      <sheetName val="Dec'23_System PL"/>
      <sheetName val="YTD'23_System PL"/>
    </sheetNames>
    <sheetDataSet>
      <sheetData sheetId="0"/>
      <sheetData sheetId="1"/>
      <sheetData sheetId="2"/>
      <sheetData sheetId="3"/>
      <sheetData sheetId="4"/>
      <sheetData sheetId="5"/>
      <sheetData sheetId="6"/>
      <sheetData sheetId="7"/>
      <sheetData sheetId="8"/>
      <sheetData sheetId="9"/>
      <sheetData sheetId="10"/>
      <sheetData sheetId="11">
        <row r="4">
          <cell r="O4">
            <v>141234.44281000004</v>
          </cell>
        </row>
        <row r="30">
          <cell r="AH30">
            <v>577.8517516291738</v>
          </cell>
        </row>
        <row r="32">
          <cell r="AH32">
            <v>-628.69189157769665</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Post stock split"/>
      <sheetName val="Adjusted EPS-Pre stock split"/>
      <sheetName val="Adjusted EPS Working without CV"/>
    </sheetNames>
    <sheetDataSet>
      <sheetData sheetId="0">
        <row r="6">
          <cell r="B6">
            <v>144275</v>
          </cell>
        </row>
        <row r="10">
          <cell r="G10">
            <v>0</v>
          </cell>
        </row>
        <row r="11">
          <cell r="G11">
            <v>2500</v>
          </cell>
        </row>
        <row r="12">
          <cell r="G12">
            <v>1700.098</v>
          </cell>
        </row>
        <row r="13">
          <cell r="G13">
            <v>0</v>
          </cell>
        </row>
        <row r="15">
          <cell r="G15">
            <v>-462</v>
          </cell>
        </row>
        <row r="16">
          <cell r="G16">
            <v>-4310</v>
          </cell>
        </row>
        <row r="17">
          <cell r="G17">
            <v>-771</v>
          </cell>
        </row>
        <row r="18">
          <cell r="G18">
            <v>399</v>
          </cell>
        </row>
        <row r="22">
          <cell r="G22">
            <v>33</v>
          </cell>
        </row>
        <row r="23">
          <cell r="G23">
            <v>0</v>
          </cell>
        </row>
        <row r="24">
          <cell r="G24">
            <v>0</v>
          </cell>
        </row>
        <row r="25">
          <cell r="G25">
            <v>-429.27814519599997</v>
          </cell>
        </row>
      </sheetData>
      <sheetData sheetId="1" refreshError="1"/>
      <sheetData sheetId="2"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
      <sheetName val="Checks Sheet"/>
      <sheetName val="Master"/>
      <sheetName val="Snapshots"/>
      <sheetName val="FSG 2020"/>
      <sheetName val="FSG 2019"/>
      <sheetName val="FSG 2018 "/>
      <sheetName val="FSG 2021"/>
      <sheetName val="Income Statement"/>
      <sheetName val="Summary YOY &amp; QOQ_updated"/>
      <sheetName val="FSG 2022"/>
      <sheetName val="SEC P&amp;L with remarks"/>
      <sheetName val="P&amp;L-Qtly_2023"/>
      <sheetName val="Monthly PL Trend"/>
      <sheetName val="P&amp;L_Consol_New"/>
      <sheetName val="Clairvoyant"/>
      <sheetName val="Entity Name"/>
      <sheetName val="US Geo New"/>
      <sheetName val="India Geo New"/>
      <sheetName val="ROW Geo"/>
      <sheetName val="Europe Geo"/>
      <sheetName val="Entity wise P&amp;L"/>
      <sheetName val="Dec'22_System PL"/>
      <sheetName val="Jan'23_System PL"/>
      <sheetName val="Feb'23_System PL"/>
      <sheetName val="Mar'23_System PL"/>
      <sheetName val="Apr'23_System PL"/>
      <sheetName val="May'23_System PL"/>
      <sheetName val="Check sheet detailed"/>
      <sheetName val="Jun'23_System PL"/>
      <sheetName val="Jul'23_System PL"/>
      <sheetName val="Aug'23_System PL"/>
      <sheetName val="Sep'23_System PL"/>
      <sheetName val="Oct'23_System PL"/>
      <sheetName val="Nov'23_System PL"/>
      <sheetName val="Dec'23_System PL"/>
      <sheetName val="YTD'23_System 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4">
          <cell r="AA4">
            <v>140163.21045000001</v>
          </cell>
        </row>
        <row r="26">
          <cell r="AO26">
            <v>1436.345415</v>
          </cell>
        </row>
        <row r="30">
          <cell r="AO30">
            <v>488.72141824991127</v>
          </cell>
        </row>
        <row r="32">
          <cell r="AO32">
            <v>-1377.7849517549812</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
      <sheetName val="Checks Sheet"/>
      <sheetName val="Master"/>
      <sheetName val="Snapshots"/>
      <sheetName val="FSG 2020"/>
      <sheetName val="FSG 2019"/>
      <sheetName val="FSG 2018 "/>
      <sheetName val="FSG 2021"/>
      <sheetName val="Income Statement"/>
      <sheetName val="Summary Quarterly P&amp;L"/>
      <sheetName val="FSG 2022"/>
      <sheetName val="FSG 2023"/>
      <sheetName val="SEC P&amp;L"/>
      <sheetName val="Qtly P&amp;L Trend"/>
      <sheetName val="Monthly PL Trend"/>
      <sheetName val="P&amp;L_Consol_New"/>
      <sheetName val="Clairvoyant"/>
      <sheetName val="Entity Name"/>
      <sheetName val="US Geo New"/>
      <sheetName val="India Geo New"/>
      <sheetName val="ROW Geo"/>
      <sheetName val="Europe Geo"/>
      <sheetName val="Entity wise P&amp;L"/>
      <sheetName val="Dec'23_System PL"/>
      <sheetName val="Jan'24_System PL"/>
      <sheetName val="Feb'24_System PL"/>
      <sheetName val="Mar'24_System PL"/>
      <sheetName val="Apr'24_System PL"/>
      <sheetName val="May'24_System PL"/>
      <sheetName val="Check sheet detailed"/>
      <sheetName val="Jun'24_System PL"/>
      <sheetName val="Jul'24_System PL"/>
      <sheetName val="Aug'24_System PL"/>
      <sheetName val="Sep'24_System PL"/>
      <sheetName val="Oct'24_System PL"/>
      <sheetName val="Nov'24_System PL"/>
      <sheetName val="Dec'24_System PL"/>
      <sheetName val="YTD'24_System 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33">
          <cell r="AF33">
            <v>98628.557099999904</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come Statement"/>
      <sheetName val="Balance Sheet"/>
      <sheetName val="Cashflow"/>
      <sheetName val="Revenues and Margins"/>
      <sheetName val="Non-GAAP"/>
      <sheetName val="Other Metrics"/>
    </sheetNames>
    <sheetDataSet>
      <sheetData sheetId="0" refreshError="1"/>
      <sheetData sheetId="1">
        <row r="8">
          <cell r="B8">
            <v>206973</v>
          </cell>
          <cell r="C8">
            <v>210112</v>
          </cell>
          <cell r="D8">
            <v>231124</v>
          </cell>
          <cell r="E8">
            <v>234903</v>
          </cell>
          <cell r="F8">
            <v>883112</v>
          </cell>
          <cell r="G8">
            <v>239573</v>
          </cell>
          <cell r="H8">
            <v>243509</v>
          </cell>
          <cell r="I8">
            <v>251392</v>
          </cell>
          <cell r="J8">
            <v>256872</v>
          </cell>
          <cell r="K8">
            <v>991346</v>
          </cell>
          <cell r="L8">
            <v>245990</v>
          </cell>
          <cell r="M8">
            <v>222473</v>
          </cell>
          <cell r="N8">
            <v>241018</v>
          </cell>
          <cell r="O8">
            <v>248953</v>
          </cell>
          <cell r="P8">
            <v>958434</v>
          </cell>
          <cell r="Q8">
            <v>261415</v>
          </cell>
          <cell r="R8">
            <v>275064</v>
          </cell>
          <cell r="S8">
            <v>290325</v>
          </cell>
          <cell r="T8">
            <v>295489</v>
          </cell>
          <cell r="U8">
            <v>1122293</v>
          </cell>
          <cell r="V8">
            <v>329208</v>
          </cell>
          <cell r="W8">
            <v>346782</v>
          </cell>
          <cell r="X8">
            <v>361351</v>
          </cell>
          <cell r="Y8">
            <v>374703</v>
          </cell>
          <cell r="Z8">
            <v>1412044</v>
          </cell>
          <cell r="AA8">
            <v>400643</v>
          </cell>
          <cell r="AB8">
            <v>404996</v>
          </cell>
          <cell r="AC8">
            <v>410971</v>
          </cell>
          <cell r="AD8">
            <v>414058</v>
          </cell>
          <cell r="AE8">
            <v>1630668</v>
          </cell>
          <cell r="AF8">
            <v>436507</v>
          </cell>
        </row>
        <row r="9">
          <cell r="B9">
            <v>4.5978521794061811E-2</v>
          </cell>
          <cell r="C9">
            <v>1.5166229411565757E-2</v>
          </cell>
          <cell r="D9">
            <v>0.10000380749314641</v>
          </cell>
          <cell r="E9">
            <v>1.6350530451186396E-2</v>
          </cell>
          <cell r="F9" t="str">
            <v>NA</v>
          </cell>
          <cell r="G9">
            <v>1.9880546438317159E-2</v>
          </cell>
          <cell r="H9">
            <v>1.642923033897814E-2</v>
          </cell>
          <cell r="I9">
            <v>3.2372520112192937E-2</v>
          </cell>
          <cell r="J9">
            <v>2.1798625254582538E-2</v>
          </cell>
          <cell r="K9" t="str">
            <v>NA</v>
          </cell>
          <cell r="L9">
            <v>-4.2363511787972263E-2</v>
          </cell>
          <cell r="M9">
            <v>-9.5601447213301327E-2</v>
          </cell>
          <cell r="N9">
            <v>8.3358430011731821E-2</v>
          </cell>
          <cell r="O9">
            <v>3.2922852235102829E-2</v>
          </cell>
          <cell r="P9" t="str">
            <v>NA</v>
          </cell>
          <cell r="Q9">
            <v>5.0057641402192488E-2</v>
          </cell>
          <cell r="R9">
            <v>5.2212000076506726E-2</v>
          </cell>
          <cell r="S9">
            <v>5.5481633365325855E-2</v>
          </cell>
          <cell r="T9">
            <v>1.7786962886420454E-2</v>
          </cell>
          <cell r="U9" t="str">
            <v>NA</v>
          </cell>
          <cell r="V9">
            <v>0.11411253887623563</v>
          </cell>
          <cell r="W9">
            <v>5.3382663847780121E-2</v>
          </cell>
          <cell r="X9">
            <v>4.2011984474396025E-2</v>
          </cell>
          <cell r="Y9">
            <v>3.6950222913455288E-2</v>
          </cell>
          <cell r="Z9" t="str">
            <v>NA</v>
          </cell>
          <cell r="AA9">
            <v>6.9228162037667129E-2</v>
          </cell>
          <cell r="AB9">
            <v>1.0865034457110179E-2</v>
          </cell>
          <cell r="AC9">
            <v>1.4753232130687799E-2</v>
          </cell>
          <cell r="AD9">
            <v>7.511478912137326E-3</v>
          </cell>
          <cell r="AE9" t="str">
            <v>NA</v>
          </cell>
          <cell r="AF9">
            <v>5.4217042056909914E-2</v>
          </cell>
        </row>
        <row r="10">
          <cell r="B10">
            <v>0.13079608595171366</v>
          </cell>
          <cell r="C10">
            <v>0.11136852906795314</v>
          </cell>
          <cell r="D10">
            <v>0.20161168733265744</v>
          </cell>
          <cell r="E10">
            <v>0.18712823752368912</v>
          </cell>
          <cell r="F10">
            <v>0.15846833965184759</v>
          </cell>
          <cell r="G10">
            <v>0.15750846728800383</v>
          </cell>
          <cell r="H10">
            <v>0.15894856076759067</v>
          </cell>
          <cell r="I10">
            <v>8.7693186341530893E-2</v>
          </cell>
          <cell r="J10">
            <v>9.3523709786592857E-2</v>
          </cell>
          <cell r="K10">
            <v>0.12255976591870565</v>
          </cell>
          <cell r="L10">
            <v>2.6785155255391935E-2</v>
          </cell>
          <cell r="M10">
            <v>-8.6386950790319883E-2</v>
          </cell>
          <cell r="N10">
            <v>-4.1266229633401208E-2</v>
          </cell>
          <cell r="O10">
            <v>-3.082858388613785E-2</v>
          </cell>
          <cell r="P10">
            <v>-3.3199306801056316E-2</v>
          </cell>
          <cell r="Q10">
            <v>6.2705801048823062E-2</v>
          </cell>
          <cell r="R10">
            <v>0.23639273080328849</v>
          </cell>
          <cell r="S10">
            <v>0.20457808130513078</v>
          </cell>
          <cell r="T10">
            <v>0.18692684964631878</v>
          </cell>
          <cell r="U10">
            <v>0.17096534555326715</v>
          </cell>
          <cell r="V10">
            <v>0.25933094887439512</v>
          </cell>
          <cell r="W10">
            <v>0.26073204781432691</v>
          </cell>
          <cell r="X10">
            <v>0.24464307241884087</v>
          </cell>
          <cell r="Y10">
            <v>0.26807766109736741</v>
          </cell>
          <cell r="Z10">
            <v>0.25817767730886665</v>
          </cell>
          <cell r="AA10">
            <v>0.21699047410755501</v>
          </cell>
          <cell r="AB10">
            <v>0.16786915122468882</v>
          </cell>
          <cell r="AC10">
            <v>0.13731800935932093</v>
          </cell>
          <cell r="AD10">
            <v>0.10502985030811063</v>
          </cell>
          <cell r="AE10">
            <v>0.15482803652010846</v>
          </cell>
          <cell r="AF10">
            <v>8.9516102864645175E-2</v>
          </cell>
        </row>
        <row r="12">
          <cell r="B12">
            <v>-138101</v>
          </cell>
          <cell r="C12">
            <v>-139649</v>
          </cell>
          <cell r="D12">
            <v>-152157</v>
          </cell>
          <cell r="E12">
            <v>-154948</v>
          </cell>
          <cell r="F12">
            <v>-584855</v>
          </cell>
          <cell r="G12">
            <v>-157240</v>
          </cell>
          <cell r="H12">
            <v>-162446</v>
          </cell>
          <cell r="I12">
            <v>-167542</v>
          </cell>
          <cell r="J12">
            <v>-168262</v>
          </cell>
          <cell r="K12">
            <v>-655490</v>
          </cell>
          <cell r="L12">
            <v>-162656</v>
          </cell>
          <cell r="M12">
            <v>-158401</v>
          </cell>
          <cell r="N12">
            <v>-152087</v>
          </cell>
          <cell r="O12">
            <v>-150792</v>
          </cell>
          <cell r="P12">
            <v>-623936</v>
          </cell>
          <cell r="Q12">
            <v>-158821</v>
          </cell>
          <cell r="R12">
            <v>-170701</v>
          </cell>
          <cell r="S12">
            <v>-177743</v>
          </cell>
          <cell r="T12">
            <v>-183669</v>
          </cell>
          <cell r="U12">
            <v>-690934</v>
          </cell>
          <cell r="V12">
            <v>-207516</v>
          </cell>
          <cell r="W12">
            <v>-221207</v>
          </cell>
          <cell r="X12">
            <v>-230462</v>
          </cell>
          <cell r="Y12">
            <v>-237410</v>
          </cell>
          <cell r="Z12">
            <v>-896595</v>
          </cell>
          <cell r="AA12">
            <v>-251469</v>
          </cell>
          <cell r="AB12">
            <v>-253220</v>
          </cell>
          <cell r="AC12">
            <v>-256002</v>
          </cell>
          <cell r="AD12">
            <v>-262211</v>
          </cell>
          <cell r="AE12">
            <v>-1022902</v>
          </cell>
          <cell r="AF12">
            <v>-273424</v>
          </cell>
        </row>
        <row r="13">
          <cell r="B13">
            <v>68872</v>
          </cell>
          <cell r="C13">
            <v>70463</v>
          </cell>
          <cell r="D13">
            <v>78967</v>
          </cell>
          <cell r="E13">
            <v>79955</v>
          </cell>
          <cell r="F13">
            <v>298257</v>
          </cell>
          <cell r="G13">
            <v>82333</v>
          </cell>
          <cell r="H13">
            <v>81063</v>
          </cell>
          <cell r="I13">
            <v>83850</v>
          </cell>
          <cell r="J13">
            <v>88610</v>
          </cell>
          <cell r="K13">
            <v>335856</v>
          </cell>
          <cell r="L13">
            <v>83334</v>
          </cell>
          <cell r="M13">
            <v>64072</v>
          </cell>
          <cell r="N13">
            <v>88931</v>
          </cell>
          <cell r="O13">
            <v>98161</v>
          </cell>
          <cell r="P13">
            <v>334498</v>
          </cell>
          <cell r="Q13">
            <v>102594</v>
          </cell>
          <cell r="R13">
            <v>104363</v>
          </cell>
          <cell r="S13">
            <v>112582</v>
          </cell>
          <cell r="T13">
            <v>111820</v>
          </cell>
          <cell r="U13">
            <v>431359</v>
          </cell>
          <cell r="V13">
            <v>121692</v>
          </cell>
          <cell r="W13">
            <v>125575</v>
          </cell>
          <cell r="X13">
            <v>130889</v>
          </cell>
          <cell r="Y13">
            <v>137293</v>
          </cell>
          <cell r="Z13">
            <v>515449</v>
          </cell>
          <cell r="AA13">
            <v>149174</v>
          </cell>
          <cell r="AB13">
            <v>151776</v>
          </cell>
          <cell r="AC13">
            <v>154969</v>
          </cell>
          <cell r="AD13">
            <v>151847</v>
          </cell>
          <cell r="AE13">
            <v>607766</v>
          </cell>
          <cell r="AF13">
            <v>163083</v>
          </cell>
        </row>
        <row r="14">
          <cell r="B14">
            <v>0.33275837911225137</v>
          </cell>
          <cell r="C14">
            <v>0.33535923697837344</v>
          </cell>
          <cell r="D14">
            <v>0.34166508021668024</v>
          </cell>
          <cell r="E14">
            <v>0.34037453757508418</v>
          </cell>
          <cell r="F14">
            <v>0.33773405864714784</v>
          </cell>
          <cell r="G14">
            <v>0.34366560505566152</v>
          </cell>
          <cell r="H14">
            <v>0.33289529339777996</v>
          </cell>
          <cell r="I14">
            <v>0.33354283350305497</v>
          </cell>
          <cell r="J14">
            <v>0.34495779999377124</v>
          </cell>
          <cell r="K14">
            <v>0.33878787022896145</v>
          </cell>
          <cell r="L14">
            <v>0.33876986869384934</v>
          </cell>
          <cell r="M14">
            <v>0.28799899313624577</v>
          </cell>
          <cell r="N14">
            <v>0.36898074002771575</v>
          </cell>
          <cell r="O14">
            <v>0.39429530875305779</v>
          </cell>
          <cell r="P14">
            <v>0.34900473063351256</v>
          </cell>
          <cell r="Q14">
            <v>0.39245643899546701</v>
          </cell>
          <cell r="R14">
            <v>0.37941351830846637</v>
          </cell>
          <cell r="S14">
            <v>0.3877792129510032</v>
          </cell>
          <cell r="T14">
            <v>0.37842356229842733</v>
          </cell>
          <cell r="U14">
            <v>0.38435506592307001</v>
          </cell>
          <cell r="V14">
            <v>0.3696507982795072</v>
          </cell>
          <cell r="W14">
            <v>0.36211510401347247</v>
          </cell>
          <cell r="X14">
            <v>0.36222121981120847</v>
          </cell>
          <cell r="Y14">
            <v>0.36640485931524436</v>
          </cell>
          <cell r="Z14">
            <v>0.36503749174954886</v>
          </cell>
          <cell r="AA14">
            <v>0.37233646912588014</v>
          </cell>
          <cell r="AB14">
            <v>0.37475925688154943</v>
          </cell>
          <cell r="AC14">
            <v>0.37708013460803802</v>
          </cell>
          <cell r="AD14">
            <v>0.3667288157697714</v>
          </cell>
          <cell r="AE14">
            <v>0.37270983425197529</v>
          </cell>
          <cell r="AF14">
            <v>0.37360912883413094</v>
          </cell>
        </row>
        <row r="17">
          <cell r="B17">
            <v>-29266</v>
          </cell>
          <cell r="C17">
            <v>-27640</v>
          </cell>
          <cell r="D17">
            <v>-28704</v>
          </cell>
          <cell r="E17">
            <v>-30592</v>
          </cell>
          <cell r="F17">
            <v>-116202</v>
          </cell>
          <cell r="G17">
            <v>-32531</v>
          </cell>
          <cell r="H17">
            <v>-31228</v>
          </cell>
          <cell r="I17">
            <v>-29590</v>
          </cell>
          <cell r="J17">
            <v>-33560</v>
          </cell>
          <cell r="K17">
            <v>-126909</v>
          </cell>
          <cell r="L17">
            <v>-28941</v>
          </cell>
          <cell r="M17">
            <v>-28750</v>
          </cell>
          <cell r="N17">
            <v>-26810</v>
          </cell>
          <cell r="O17">
            <v>-29390</v>
          </cell>
          <cell r="P17">
            <v>-113891</v>
          </cell>
          <cell r="Q17">
            <v>-30703</v>
          </cell>
          <cell r="R17">
            <v>-36499</v>
          </cell>
          <cell r="S17">
            <v>-36167</v>
          </cell>
          <cell r="T17">
            <v>-38671</v>
          </cell>
          <cell r="U17">
            <v>-142040</v>
          </cell>
          <cell r="V17">
            <v>-39945</v>
          </cell>
          <cell r="W17">
            <v>-40434</v>
          </cell>
          <cell r="X17">
            <v>-42519</v>
          </cell>
          <cell r="Y17">
            <v>-46118</v>
          </cell>
          <cell r="Z17">
            <v>-169016</v>
          </cell>
          <cell r="AA17">
            <v>-46746</v>
          </cell>
          <cell r="AB17">
            <v>-45605</v>
          </cell>
          <cell r="AC17">
            <v>-52213</v>
          </cell>
          <cell r="AD17">
            <v>-53730</v>
          </cell>
          <cell r="AE17">
            <v>-198294</v>
          </cell>
          <cell r="AF17">
            <v>-53243</v>
          </cell>
        </row>
        <row r="18">
          <cell r="B18">
            <v>0.14140008600155576</v>
          </cell>
          <cell r="C18">
            <v>0.13154888821200122</v>
          </cell>
          <cell r="D18">
            <v>0.12419307384780465</v>
          </cell>
          <cell r="E18">
            <v>0.13023247893811488</v>
          </cell>
          <cell r="F18">
            <v>0.13158240404388119</v>
          </cell>
          <cell r="G18">
            <v>0.13578742178793102</v>
          </cell>
          <cell r="H18">
            <v>0.1282416666324448</v>
          </cell>
          <cell r="I18">
            <v>0.11770462067209776</v>
          </cell>
          <cell r="J18">
            <v>0.13064872777102993</v>
          </cell>
          <cell r="K18">
            <v>0.12801685788816417</v>
          </cell>
          <cell r="L18">
            <v>0.11765112402943209</v>
          </cell>
          <cell r="M18">
            <v>0.12922916488742453</v>
          </cell>
          <cell r="N18">
            <v>0.11123650515729115</v>
          </cell>
          <cell r="O18">
            <v>0.11805441187694063</v>
          </cell>
          <cell r="P18">
            <v>0.11883030026063349</v>
          </cell>
          <cell r="Q18">
            <v>0.11744926649197636</v>
          </cell>
          <cell r="R18">
            <v>0.13269275514062182</v>
          </cell>
          <cell r="S18">
            <v>0.12457418410402135</v>
          </cell>
          <cell r="T18">
            <v>0.13087119994314508</v>
          </cell>
          <cell r="U18">
            <v>0.12656231483222297</v>
          </cell>
          <cell r="V18">
            <v>0.12133666253553985</v>
          </cell>
          <cell r="W18">
            <v>0.11659774728792152</v>
          </cell>
          <cell r="X18">
            <v>0.1176667561456866</v>
          </cell>
          <cell r="Y18">
            <v>0.12307881175224111</v>
          </cell>
          <cell r="Z18">
            <v>0.11969598681060931</v>
          </cell>
          <cell r="AA18">
            <v>0.11667744101357068</v>
          </cell>
          <cell r="AB18">
            <v>0.11260605043012771</v>
          </cell>
          <cell r="AC18">
            <v>0.12704789389032317</v>
          </cell>
          <cell r="AD18">
            <v>0.12976442913794686</v>
          </cell>
          <cell r="AE18">
            <v>0.12160292591747676</v>
          </cell>
          <cell r="AF18">
            <v>0.12197513441937929</v>
          </cell>
        </row>
        <row r="20">
          <cell r="B20">
            <v>-13952</v>
          </cell>
          <cell r="C20">
            <v>-15151</v>
          </cell>
          <cell r="D20">
            <v>-16490</v>
          </cell>
          <cell r="E20">
            <v>-18019</v>
          </cell>
          <cell r="F20">
            <v>-63612</v>
          </cell>
          <cell r="G20">
            <v>-18047</v>
          </cell>
          <cell r="H20">
            <v>-17647</v>
          </cell>
          <cell r="I20">
            <v>-18302</v>
          </cell>
          <cell r="J20">
            <v>-17846</v>
          </cell>
          <cell r="K20">
            <v>-71842</v>
          </cell>
          <cell r="L20">
            <v>-14456</v>
          </cell>
          <cell r="M20">
            <v>-13051</v>
          </cell>
          <cell r="N20">
            <v>-15290</v>
          </cell>
          <cell r="O20">
            <v>-17326</v>
          </cell>
          <cell r="P20">
            <v>-60123</v>
          </cell>
          <cell r="Q20">
            <v>-18235</v>
          </cell>
          <cell r="R20">
            <v>-19724</v>
          </cell>
          <cell r="S20">
            <v>-21672</v>
          </cell>
          <cell r="T20">
            <v>-24675</v>
          </cell>
          <cell r="U20">
            <v>-84306</v>
          </cell>
          <cell r="V20">
            <v>-24170</v>
          </cell>
          <cell r="W20">
            <v>-23985</v>
          </cell>
          <cell r="X20">
            <v>-23879</v>
          </cell>
          <cell r="Y20">
            <v>-25955</v>
          </cell>
          <cell r="Z20">
            <v>-97989</v>
          </cell>
          <cell r="AA20">
            <v>-29493</v>
          </cell>
          <cell r="AB20">
            <v>-28238</v>
          </cell>
          <cell r="AC20">
            <v>-30943</v>
          </cell>
          <cell r="AD20">
            <v>-31553</v>
          </cell>
          <cell r="AE20">
            <v>-120227</v>
          </cell>
          <cell r="AF20">
            <v>-35970</v>
          </cell>
        </row>
        <row r="21">
          <cell r="B21">
            <v>6.7409758760804545E-2</v>
          </cell>
          <cell r="C21">
            <v>7.2109160828510502E-2</v>
          </cell>
          <cell r="D21">
            <v>7.1346982572125781E-2</v>
          </cell>
          <cell r="E21">
            <v>7.6708258302363108E-2</v>
          </cell>
          <cell r="F21">
            <v>7.2031633586679827E-2</v>
          </cell>
          <cell r="G21">
            <v>7.5329857705167105E-2</v>
          </cell>
          <cell r="H21">
            <v>7.246960071290999E-2</v>
          </cell>
          <cell r="I21">
            <v>7.28026349287169E-2</v>
          </cell>
          <cell r="J21">
            <v>6.9474290697312285E-2</v>
          </cell>
          <cell r="K21">
            <v>7.2469148006851294E-2</v>
          </cell>
          <cell r="L21">
            <v>5.8766616529127201E-2</v>
          </cell>
          <cell r="M21">
            <v>5.8663298467679224E-2</v>
          </cell>
          <cell r="N21">
            <v>6.3439245201603198E-2</v>
          </cell>
          <cell r="O21">
            <v>6.9595465810815701E-2</v>
          </cell>
          <cell r="P21">
            <v>6.2730454053174234E-2</v>
          </cell>
          <cell r="Q21">
            <v>6.9754987280760475E-2</v>
          </cell>
          <cell r="R21">
            <v>7.1706948201145912E-2</v>
          </cell>
          <cell r="S21">
            <v>7.4147377938517181E-2</v>
          </cell>
          <cell r="T21">
            <v>8.3000000000000004E-2</v>
          </cell>
          <cell r="U21">
            <v>7.5119420686041882E-2</v>
          </cell>
          <cell r="V21">
            <v>7.3418628951908829E-2</v>
          </cell>
          <cell r="W21">
            <v>6.916448950637577E-2</v>
          </cell>
          <cell r="X21">
            <v>6.6082562383942486E-2</v>
          </cell>
          <cell r="Y21">
            <v>6.9000000000000006E-2</v>
          </cell>
          <cell r="Z21">
            <v>6.9395146326884996E-2</v>
          </cell>
          <cell r="AA21">
            <v>7.3614165229393749E-2</v>
          </cell>
          <cell r="AB21">
            <v>6.9724145423658498E-2</v>
          </cell>
          <cell r="AC21">
            <v>7.5292417226519637E-2</v>
          </cell>
          <cell r="AD21">
            <v>7.6204299880693049E-2</v>
          </cell>
          <cell r="AE21">
            <v>7.2999999999999995E-2</v>
          </cell>
          <cell r="AF21">
            <v>8.2404176794415668E-2</v>
          </cell>
        </row>
        <row r="23">
          <cell r="B23">
            <v>-10504</v>
          </cell>
          <cell r="C23">
            <v>-10582</v>
          </cell>
          <cell r="D23">
            <v>-14099</v>
          </cell>
          <cell r="E23">
            <v>-13381</v>
          </cell>
          <cell r="F23">
            <v>-48566</v>
          </cell>
          <cell r="G23">
            <v>-13667</v>
          </cell>
          <cell r="H23">
            <v>-12752</v>
          </cell>
          <cell r="I23">
            <v>-13047</v>
          </cell>
          <cell r="J23">
            <v>-12515</v>
          </cell>
          <cell r="K23">
            <v>-51981</v>
          </cell>
          <cell r="L23">
            <v>-12450</v>
          </cell>
          <cell r="M23">
            <v>-12405</v>
          </cell>
          <cell r="N23">
            <v>-12425</v>
          </cell>
          <cell r="O23">
            <v>-13182</v>
          </cell>
          <cell r="P23">
            <v>-50462</v>
          </cell>
          <cell r="Q23">
            <v>-12101</v>
          </cell>
          <cell r="R23">
            <v>-12310</v>
          </cell>
          <cell r="S23">
            <v>-12305</v>
          </cell>
          <cell r="T23">
            <v>-12416</v>
          </cell>
          <cell r="U23">
            <v>-49132</v>
          </cell>
          <cell r="V23">
            <v>-13602</v>
          </cell>
          <cell r="W23">
            <v>-14075</v>
          </cell>
          <cell r="X23">
            <v>-14380</v>
          </cell>
          <cell r="Y23">
            <v>-14225</v>
          </cell>
          <cell r="Z23">
            <v>-56282</v>
          </cell>
          <cell r="AA23">
            <v>-13487</v>
          </cell>
          <cell r="AB23">
            <v>-13122</v>
          </cell>
          <cell r="AC23">
            <v>-11583</v>
          </cell>
          <cell r="AD23">
            <v>-12298</v>
          </cell>
          <cell r="AE23">
            <v>-50490</v>
          </cell>
          <cell r="AF23">
            <v>-12346</v>
          </cell>
        </row>
        <row r="24">
          <cell r="B24">
            <v>5.0750580993656175E-2</v>
          </cell>
          <cell r="C24">
            <v>5.0363615595491927E-2</v>
          </cell>
          <cell r="D24">
            <v>6.1001886433256609E-2</v>
          </cell>
          <cell r="E24">
            <v>5.6963938306449899E-2</v>
          </cell>
          <cell r="F24">
            <v>5.4994157026515327E-2</v>
          </cell>
          <cell r="G24">
            <v>5.7047330041365266E-2</v>
          </cell>
          <cell r="H24">
            <v>5.2367674295405918E-2</v>
          </cell>
          <cell r="I24">
            <v>5.1899026221995929E-2</v>
          </cell>
          <cell r="J24">
            <v>4.8720763648821205E-2</v>
          </cell>
          <cell r="K24">
            <v>5.243477050394111E-2</v>
          </cell>
          <cell r="L24">
            <v>5.0611813488353183E-2</v>
          </cell>
          <cell r="M24">
            <v>5.5759575319252221E-2</v>
          </cell>
          <cell r="N24">
            <v>5.1552166228248514E-2</v>
          </cell>
          <cell r="O24">
            <v>5.2949753567942542E-2</v>
          </cell>
          <cell r="P24">
            <v>5.2650469411560943E-2</v>
          </cell>
          <cell r="Q24">
            <v>4.6290381194652182E-2</v>
          </cell>
          <cell r="R24">
            <v>4.475322106855132E-2</v>
          </cell>
          <cell r="S24">
            <v>4.2383535692758115E-2</v>
          </cell>
          <cell r="T24">
            <v>4.2018484613640439E-2</v>
          </cell>
          <cell r="U24">
            <v>4.3778229036445918E-2</v>
          </cell>
          <cell r="V24">
            <v>4.1317343442443685E-2</v>
          </cell>
          <cell r="W24">
            <v>4.0587458403261993E-2</v>
          </cell>
          <cell r="X24">
            <v>3.9795102268985007E-2</v>
          </cell>
          <cell r="Y24">
            <v>3.7963400346407689E-2</v>
          </cell>
          <cell r="Z24">
            <v>3.9858531320553753E-2</v>
          </cell>
          <cell r="AA24">
            <v>3.3663386106833268E-2</v>
          </cell>
          <cell r="AB24">
            <v>3.2400320003160524E-2</v>
          </cell>
          <cell r="AC24">
            <v>2.81844704370868E-2</v>
          </cell>
          <cell r="AD24">
            <v>2.9701152978568221E-2</v>
          </cell>
          <cell r="AE24">
            <v>3.096277108522397E-2</v>
          </cell>
          <cell r="AF24">
            <v>2.828362431759399E-2</v>
          </cell>
        </row>
        <row r="26">
          <cell r="B26">
            <v>0</v>
          </cell>
          <cell r="C26">
            <v>0</v>
          </cell>
          <cell r="D26">
            <v>0</v>
          </cell>
          <cell r="E26">
            <v>-20056</v>
          </cell>
          <cell r="F26">
            <v>-20056</v>
          </cell>
          <cell r="G26">
            <v>-1227</v>
          </cell>
          <cell r="H26">
            <v>-5580</v>
          </cell>
          <cell r="I26">
            <v>-489</v>
          </cell>
          <cell r="J26">
            <v>-1375</v>
          </cell>
          <cell r="K26">
            <v>-8671</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row>
        <row r="27">
          <cell r="B27">
            <v>0</v>
          </cell>
          <cell r="C27">
            <v>0</v>
          </cell>
          <cell r="D27">
            <v>0</v>
          </cell>
          <cell r="E27">
            <v>8.5379922776635461E-2</v>
          </cell>
          <cell r="F27">
            <v>2.2710596164472911E-2</v>
          </cell>
          <cell r="G27">
            <v>5.1216122017088738E-3</v>
          </cell>
          <cell r="H27">
            <v>2.2914964128635903E-2</v>
          </cell>
          <cell r="I27">
            <v>1.9451692973523422E-3</v>
          </cell>
          <cell r="J27">
            <v>5.3528605686879067E-3</v>
          </cell>
          <cell r="K27">
            <v>8.7466938889146674E-3</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row>
        <row r="29">
          <cell r="B29">
            <v>-53722</v>
          </cell>
          <cell r="C29">
            <v>-53373</v>
          </cell>
          <cell r="D29">
            <v>-59293</v>
          </cell>
          <cell r="E29">
            <v>-82048</v>
          </cell>
          <cell r="F29">
            <v>-248436</v>
          </cell>
          <cell r="G29">
            <v>-65472</v>
          </cell>
          <cell r="H29">
            <v>-67207</v>
          </cell>
          <cell r="I29">
            <v>-61428</v>
          </cell>
          <cell r="J29">
            <v>-65296</v>
          </cell>
          <cell r="K29">
            <v>-259403</v>
          </cell>
          <cell r="L29">
            <v>-55847</v>
          </cell>
          <cell r="M29">
            <v>-54206</v>
          </cell>
          <cell r="N29">
            <v>-54525</v>
          </cell>
          <cell r="O29">
            <v>-59898</v>
          </cell>
          <cell r="P29">
            <v>-224476</v>
          </cell>
          <cell r="Q29">
            <v>-61039</v>
          </cell>
          <cell r="R29">
            <v>-68533</v>
          </cell>
          <cell r="S29">
            <v>-70144</v>
          </cell>
          <cell r="T29">
            <v>-75762</v>
          </cell>
          <cell r="U29">
            <v>-275478</v>
          </cell>
          <cell r="V29">
            <v>-77717</v>
          </cell>
          <cell r="W29">
            <v>-78494</v>
          </cell>
          <cell r="X29">
            <v>-80778</v>
          </cell>
          <cell r="Y29">
            <v>-86298</v>
          </cell>
          <cell r="Z29">
            <v>-323287</v>
          </cell>
          <cell r="AA29">
            <v>-89726</v>
          </cell>
          <cell r="AB29">
            <v>-86965</v>
          </cell>
          <cell r="AC29">
            <v>-94739</v>
          </cell>
          <cell r="AD29">
            <v>-97581</v>
          </cell>
          <cell r="AE29">
            <v>-369011</v>
          </cell>
          <cell r="AF29">
            <v>-101559</v>
          </cell>
        </row>
        <row r="31">
          <cell r="B31">
            <v>15150</v>
          </cell>
          <cell r="C31">
            <v>17090</v>
          </cell>
          <cell r="D31">
            <v>19674</v>
          </cell>
          <cell r="E31">
            <v>-2093</v>
          </cell>
          <cell r="F31">
            <v>49821</v>
          </cell>
          <cell r="G31">
            <v>16861</v>
          </cell>
          <cell r="H31">
            <v>13856</v>
          </cell>
          <cell r="I31">
            <v>22422</v>
          </cell>
          <cell r="J31">
            <v>23314</v>
          </cell>
          <cell r="K31">
            <v>76453</v>
          </cell>
          <cell r="L31">
            <v>27487</v>
          </cell>
          <cell r="M31">
            <v>9866</v>
          </cell>
          <cell r="N31">
            <v>34406</v>
          </cell>
          <cell r="O31">
            <v>38263</v>
          </cell>
          <cell r="P31">
            <v>110022</v>
          </cell>
          <cell r="Q31">
            <v>41555</v>
          </cell>
          <cell r="R31">
            <v>35830</v>
          </cell>
          <cell r="S31">
            <v>42438</v>
          </cell>
          <cell r="T31">
            <v>36058</v>
          </cell>
          <cell r="U31">
            <v>155881</v>
          </cell>
          <cell r="V31">
            <v>43975</v>
          </cell>
          <cell r="W31">
            <v>47081</v>
          </cell>
          <cell r="X31">
            <v>50111</v>
          </cell>
          <cell r="Y31">
            <v>50995</v>
          </cell>
          <cell r="Z31">
            <v>192162</v>
          </cell>
          <cell r="AA31">
            <v>59448</v>
          </cell>
          <cell r="AB31">
            <v>64811</v>
          </cell>
          <cell r="AC31">
            <v>60230</v>
          </cell>
          <cell r="AD31">
            <v>54266</v>
          </cell>
          <cell r="AE31">
            <v>238755</v>
          </cell>
          <cell r="AF31">
            <v>61524</v>
          </cell>
        </row>
        <row r="32">
          <cell r="B32">
            <v>-7.055214723926384E-2</v>
          </cell>
          <cell r="C32">
            <v>0.12805280528052809</v>
          </cell>
          <cell r="D32">
            <v>0.15119953188999413</v>
          </cell>
          <cell r="E32">
            <v>-1.1063840601809494</v>
          </cell>
          <cell r="F32" t="str">
            <v>NA</v>
          </cell>
          <cell r="G32">
            <v>-9.0559006211180133</v>
          </cell>
          <cell r="H32">
            <v>-0.17822193226973493</v>
          </cell>
          <cell r="I32">
            <v>0.61821593533487307</v>
          </cell>
          <cell r="J32">
            <v>3.9782356614039838E-2</v>
          </cell>
          <cell r="K32" t="str">
            <v>NA</v>
          </cell>
          <cell r="L32">
            <v>0.17899116410740334</v>
          </cell>
          <cell r="M32">
            <v>-0.64106668606977846</v>
          </cell>
          <cell r="N32">
            <v>2.4873302250152038</v>
          </cell>
          <cell r="O32">
            <v>0.11210254025460675</v>
          </cell>
          <cell r="P32" t="str">
            <v>NA</v>
          </cell>
          <cell r="Q32">
            <v>8.6036118443404863E-2</v>
          </cell>
          <cell r="R32">
            <v>-0.13776922151365656</v>
          </cell>
          <cell r="S32">
            <v>0.18442645827518844</v>
          </cell>
          <cell r="T32">
            <v>-0.15033696215655779</v>
          </cell>
          <cell r="U32" t="str">
            <v>NA</v>
          </cell>
          <cell r="V32">
            <v>0.21956292639636144</v>
          </cell>
          <cell r="W32">
            <v>7.0631040363843045E-2</v>
          </cell>
          <cell r="X32">
            <v>6.4357171682844383E-2</v>
          </cell>
          <cell r="Y32">
            <v>1.7640837341102777E-2</v>
          </cell>
          <cell r="Z32" t="str">
            <v>NA</v>
          </cell>
          <cell r="AA32">
            <v>0.16576134915187768</v>
          </cell>
          <cell r="AB32">
            <v>9.0213295653344128E-2</v>
          </cell>
          <cell r="AC32">
            <v>-7.0682445881100398E-2</v>
          </cell>
          <cell r="AD32">
            <v>-9.9020421716752405E-2</v>
          </cell>
          <cell r="AE32" t="str">
            <v>NA</v>
          </cell>
          <cell r="AF32">
            <v>0.13374857184977706</v>
          </cell>
        </row>
        <row r="33">
          <cell r="B33">
            <v>-0.1198001394376017</v>
          </cell>
          <cell r="C33">
            <v>-6.4484344208451949E-2</v>
          </cell>
          <cell r="D33">
            <v>-6.0682740510861755E-2</v>
          </cell>
          <cell r="E33">
            <v>-1.1284049079754601</v>
          </cell>
          <cell r="F33">
            <v>-0.31493984187005841</v>
          </cell>
          <cell r="G33">
            <v>0.11293729372937289</v>
          </cell>
          <cell r="H33">
            <v>-0.18923346986541834</v>
          </cell>
          <cell r="I33">
            <v>0.1396767307105824</v>
          </cell>
          <cell r="J33">
            <v>-12.139034878165313</v>
          </cell>
          <cell r="K33">
            <v>0.53455370225406962</v>
          </cell>
          <cell r="L33">
            <v>0.63021173121404428</v>
          </cell>
          <cell r="M33">
            <v>-0.28796189376443415</v>
          </cell>
          <cell r="N33">
            <v>0.53447506912853449</v>
          </cell>
          <cell r="O33">
            <v>0.64120271081753444</v>
          </cell>
          <cell r="P33">
            <v>0.43908021921965124</v>
          </cell>
          <cell r="Q33">
            <v>0.51180558082002392</v>
          </cell>
          <cell r="R33">
            <v>2.6316643016420027</v>
          </cell>
          <cell r="S33">
            <v>0.23344765447886995</v>
          </cell>
          <cell r="T33">
            <v>-5.7627473015707031E-2</v>
          </cell>
          <cell r="U33">
            <v>0.41681663667266555</v>
          </cell>
          <cell r="V33">
            <v>5.823607267476838E-2</v>
          </cell>
          <cell r="W33">
            <v>0.31401060563773364</v>
          </cell>
          <cell r="X33">
            <v>0.18080493896979122</v>
          </cell>
          <cell r="Y33">
            <v>0.41424926507293813</v>
          </cell>
          <cell r="Z33">
            <v>0.23274805781333185</v>
          </cell>
          <cell r="AA33">
            <v>0.35185901080159177</v>
          </cell>
          <cell r="AB33">
            <v>0.37658503430258494</v>
          </cell>
          <cell r="AC33">
            <v>0.20193171160024748</v>
          </cell>
          <cell r="AD33">
            <v>6.4143543484655341E-2</v>
          </cell>
          <cell r="AE33">
            <v>0.24246729322134453</v>
          </cell>
          <cell r="AF33">
            <v>3.4921275736778279E-2</v>
          </cell>
        </row>
        <row r="34">
          <cell r="B34">
            <v>7.3197953356234871E-2</v>
          </cell>
          <cell r="C34">
            <v>8.1337572342369782E-2</v>
          </cell>
          <cell r="D34">
            <v>8.5123137363493195E-2</v>
          </cell>
          <cell r="E34" t="str">
            <v>NM</v>
          </cell>
          <cell r="F34">
            <v>5.6415267825598567E-2</v>
          </cell>
          <cell r="G34">
            <v>7.0379383319489258E-2</v>
          </cell>
          <cell r="H34">
            <v>5.6901387628383343E-2</v>
          </cell>
          <cell r="I34">
            <v>8.9191382382892051E-2</v>
          </cell>
          <cell r="J34">
            <v>9.0761157307919893E-2</v>
          </cell>
          <cell r="K34">
            <v>7.7120399941090198E-2</v>
          </cell>
          <cell r="L34">
            <v>0.11174031464693687</v>
          </cell>
          <cell r="M34">
            <v>4.4346954461889757E-2</v>
          </cell>
          <cell r="N34">
            <v>0.14275282344057291</v>
          </cell>
          <cell r="O34">
            <v>0.15369567749735893</v>
          </cell>
          <cell r="P34">
            <v>0.11479350690814391</v>
          </cell>
          <cell r="Q34">
            <v>0.15896180402807797</v>
          </cell>
          <cell r="R34">
            <v>0.13026059389814734</v>
          </cell>
          <cell r="S34">
            <v>0.14617411521570653</v>
          </cell>
          <cell r="T34">
            <v>0.12202823116934979</v>
          </cell>
          <cell r="U34">
            <v>0.13889510136835925</v>
          </cell>
          <cell r="V34">
            <v>0.13357816334961484</v>
          </cell>
          <cell r="W34">
            <v>0.13576540881591317</v>
          </cell>
          <cell r="X34">
            <v>0.13867679901259441</v>
          </cell>
          <cell r="Y34">
            <v>0.13609445347381793</v>
          </cell>
          <cell r="Z34">
            <v>0.13608782729150082</v>
          </cell>
          <cell r="AA34">
            <v>0.14838147677608246</v>
          </cell>
          <cell r="AB34">
            <v>0.16002874102460271</v>
          </cell>
          <cell r="AC34">
            <v>0.14655535305410844</v>
          </cell>
          <cell r="AD34">
            <v>0.13105893377256325</v>
          </cell>
          <cell r="AE34">
            <v>0.14641545673306891</v>
          </cell>
          <cell r="AF34">
            <v>0.140946193302742</v>
          </cell>
        </row>
        <row r="36">
          <cell r="B36">
            <v>615</v>
          </cell>
          <cell r="C36">
            <v>1414</v>
          </cell>
          <cell r="D36">
            <v>1385</v>
          </cell>
          <cell r="E36">
            <v>1373</v>
          </cell>
          <cell r="F36">
            <v>4787</v>
          </cell>
          <cell r="G36">
            <v>1260</v>
          </cell>
          <cell r="H36">
            <v>1202</v>
          </cell>
          <cell r="I36">
            <v>1009</v>
          </cell>
          <cell r="J36">
            <v>281</v>
          </cell>
          <cell r="K36">
            <v>3752</v>
          </cell>
          <cell r="L36">
            <v>1377</v>
          </cell>
          <cell r="M36">
            <v>1359</v>
          </cell>
          <cell r="N36">
            <v>716</v>
          </cell>
          <cell r="O36">
            <v>980</v>
          </cell>
          <cell r="P36">
            <v>4432</v>
          </cell>
          <cell r="Q36">
            <v>434</v>
          </cell>
          <cell r="R36">
            <v>1353</v>
          </cell>
          <cell r="S36">
            <v>1171</v>
          </cell>
          <cell r="T36">
            <v>1355</v>
          </cell>
          <cell r="U36">
            <v>4313</v>
          </cell>
          <cell r="V36">
            <v>1756</v>
          </cell>
          <cell r="W36">
            <v>1423</v>
          </cell>
          <cell r="X36">
            <v>1504</v>
          </cell>
          <cell r="Y36">
            <v>1516</v>
          </cell>
          <cell r="Z36">
            <v>6199</v>
          </cell>
          <cell r="AA36">
            <v>105</v>
          </cell>
          <cell r="AB36">
            <v>324</v>
          </cell>
          <cell r="AC36">
            <v>409</v>
          </cell>
          <cell r="AD36">
            <v>694</v>
          </cell>
          <cell r="AE36">
            <v>1532</v>
          </cell>
          <cell r="AF36">
            <v>359</v>
          </cell>
        </row>
        <row r="37">
          <cell r="B37">
            <v>2996</v>
          </cell>
          <cell r="C37">
            <v>1526</v>
          </cell>
          <cell r="D37">
            <v>-9</v>
          </cell>
          <cell r="E37">
            <v>1249</v>
          </cell>
          <cell r="F37">
            <v>5762</v>
          </cell>
          <cell r="G37">
            <v>841</v>
          </cell>
          <cell r="H37">
            <v>238</v>
          </cell>
          <cell r="I37">
            <v>1383</v>
          </cell>
          <cell r="J37">
            <v>433</v>
          </cell>
          <cell r="K37">
            <v>2895</v>
          </cell>
          <cell r="L37">
            <v>-543</v>
          </cell>
          <cell r="M37">
            <v>1342</v>
          </cell>
          <cell r="N37">
            <v>-143</v>
          </cell>
          <cell r="O37">
            <v>219</v>
          </cell>
          <cell r="P37">
            <v>875</v>
          </cell>
          <cell r="Q37">
            <v>-1064</v>
          </cell>
          <cell r="R37">
            <v>-305</v>
          </cell>
          <cell r="S37">
            <v>-89</v>
          </cell>
          <cell r="T37">
            <v>670</v>
          </cell>
          <cell r="U37">
            <v>-788</v>
          </cell>
          <cell r="V37">
            <v>1535</v>
          </cell>
          <cell r="W37">
            <v>-1676</v>
          </cell>
          <cell r="X37">
            <v>-181</v>
          </cell>
          <cell r="Y37">
            <v>-7940</v>
          </cell>
          <cell r="Z37">
            <v>-8262</v>
          </cell>
          <cell r="AA37">
            <v>-230</v>
          </cell>
          <cell r="AB37">
            <v>-579</v>
          </cell>
          <cell r="AC37">
            <v>-2627</v>
          </cell>
          <cell r="AD37">
            <v>1090</v>
          </cell>
          <cell r="AE37">
            <v>-2346</v>
          </cell>
          <cell r="AF37">
            <v>661</v>
          </cell>
        </row>
        <row r="38">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-12845</v>
          </cell>
          <cell r="T38">
            <v>0</v>
          </cell>
          <cell r="U38">
            <v>-12845</v>
          </cell>
          <cell r="V38">
            <v>0</v>
          </cell>
          <cell r="W38">
            <v>0</v>
          </cell>
          <cell r="X38">
            <v>0</v>
          </cell>
          <cell r="Y38">
            <v>0</v>
          </cell>
          <cell r="Z38">
            <v>0</v>
          </cell>
          <cell r="AA38">
            <v>0</v>
          </cell>
          <cell r="AB38">
            <v>0</v>
          </cell>
          <cell r="AC38">
            <v>0</v>
          </cell>
          <cell r="AD38">
            <v>0</v>
          </cell>
          <cell r="AE38">
            <v>0</v>
          </cell>
          <cell r="AF38">
            <v>0</v>
          </cell>
        </row>
        <row r="40">
          <cell r="B40">
            <v>18761</v>
          </cell>
          <cell r="C40">
            <v>20030</v>
          </cell>
          <cell r="D40">
            <v>21050</v>
          </cell>
          <cell r="E40">
            <v>529</v>
          </cell>
          <cell r="F40">
            <v>60370</v>
          </cell>
          <cell r="G40">
            <v>18962</v>
          </cell>
          <cell r="H40">
            <v>15296</v>
          </cell>
          <cell r="I40">
            <v>24814</v>
          </cell>
          <cell r="J40">
            <v>24028</v>
          </cell>
          <cell r="K40">
            <v>83100</v>
          </cell>
          <cell r="L40">
            <v>28321</v>
          </cell>
          <cell r="M40">
            <v>12567</v>
          </cell>
          <cell r="N40">
            <v>34979</v>
          </cell>
          <cell r="O40">
            <v>39462</v>
          </cell>
          <cell r="P40">
            <v>115329</v>
          </cell>
          <cell r="Q40">
            <v>40925</v>
          </cell>
          <cell r="R40">
            <v>36878</v>
          </cell>
          <cell r="S40">
            <v>30675</v>
          </cell>
          <cell r="T40">
            <v>38083</v>
          </cell>
          <cell r="U40">
            <v>146561</v>
          </cell>
          <cell r="V40">
            <v>47266</v>
          </cell>
          <cell r="W40">
            <v>46828</v>
          </cell>
          <cell r="X40">
            <v>51434</v>
          </cell>
          <cell r="Y40">
            <v>44571</v>
          </cell>
          <cell r="Z40">
            <v>190099</v>
          </cell>
          <cell r="AA40">
            <v>59323</v>
          </cell>
          <cell r="AB40">
            <v>64556</v>
          </cell>
          <cell r="AC40">
            <v>58012</v>
          </cell>
          <cell r="AD40">
            <v>56050</v>
          </cell>
          <cell r="AE40">
            <v>237941</v>
          </cell>
          <cell r="AF40">
            <v>62544</v>
          </cell>
        </row>
        <row r="42">
          <cell r="B42">
            <v>4453</v>
          </cell>
          <cell r="C42">
            <v>-5510</v>
          </cell>
          <cell r="D42">
            <v>-5739</v>
          </cell>
          <cell r="E42">
            <v>3399</v>
          </cell>
          <cell r="F42">
            <v>-3397</v>
          </cell>
          <cell r="G42">
            <v>-4200</v>
          </cell>
          <cell r="H42">
            <v>-2670</v>
          </cell>
          <cell r="I42">
            <v>-5701</v>
          </cell>
          <cell r="J42">
            <v>-2601</v>
          </cell>
          <cell r="K42">
            <v>-15172</v>
          </cell>
          <cell r="L42">
            <v>-5855</v>
          </cell>
          <cell r="M42">
            <v>-4072</v>
          </cell>
          <cell r="N42">
            <v>-8490</v>
          </cell>
          <cell r="O42">
            <v>-7209</v>
          </cell>
          <cell r="P42">
            <v>-25626</v>
          </cell>
          <cell r="Q42">
            <v>-8958</v>
          </cell>
          <cell r="R42">
            <v>-8865</v>
          </cell>
          <cell r="S42">
            <v>-4196</v>
          </cell>
          <cell r="T42">
            <v>-9831</v>
          </cell>
          <cell r="U42">
            <v>-31850</v>
          </cell>
          <cell r="V42">
            <v>-11202</v>
          </cell>
          <cell r="W42">
            <v>-11125</v>
          </cell>
          <cell r="X42">
            <v>-12447</v>
          </cell>
          <cell r="Y42">
            <v>-12791</v>
          </cell>
          <cell r="Z42">
            <v>-47565</v>
          </cell>
          <cell r="AA42">
            <v>-8058</v>
          </cell>
          <cell r="AB42">
            <v>-15554</v>
          </cell>
          <cell r="AC42">
            <v>-14161</v>
          </cell>
          <cell r="AD42">
            <v>-15763</v>
          </cell>
          <cell r="AE42">
            <v>-53536</v>
          </cell>
          <cell r="AF42">
            <v>-13753</v>
          </cell>
        </row>
        <row r="43">
          <cell r="B43">
            <v>-56</v>
          </cell>
          <cell r="C43">
            <v>-58</v>
          </cell>
          <cell r="D43">
            <v>-62</v>
          </cell>
          <cell r="E43">
            <v>-71</v>
          </cell>
          <cell r="F43">
            <v>-247</v>
          </cell>
          <cell r="G43">
            <v>-67</v>
          </cell>
          <cell r="H43">
            <v>-62</v>
          </cell>
          <cell r="I43">
            <v>-69</v>
          </cell>
          <cell r="J43">
            <v>-71</v>
          </cell>
          <cell r="K43">
            <v>-269</v>
          </cell>
          <cell r="L43">
            <v>-55</v>
          </cell>
          <cell r="M43">
            <v>-66</v>
          </cell>
          <cell r="N43">
            <v>-71</v>
          </cell>
          <cell r="O43">
            <v>-35</v>
          </cell>
          <cell r="P43">
            <v>-227</v>
          </cell>
          <cell r="Q43">
            <v>-36</v>
          </cell>
          <cell r="R43">
            <v>8</v>
          </cell>
          <cell r="S43">
            <v>28</v>
          </cell>
          <cell r="T43">
            <v>47</v>
          </cell>
          <cell r="U43">
            <v>47</v>
          </cell>
          <cell r="V43">
            <v>114</v>
          </cell>
          <cell r="W43">
            <v>143</v>
          </cell>
          <cell r="X43">
            <v>108</v>
          </cell>
          <cell r="Y43">
            <v>69</v>
          </cell>
          <cell r="Z43">
            <v>434</v>
          </cell>
          <cell r="AA43">
            <v>66</v>
          </cell>
          <cell r="AB43">
            <v>66</v>
          </cell>
          <cell r="AC43">
            <v>25</v>
          </cell>
          <cell r="AD43">
            <v>-4</v>
          </cell>
          <cell r="AE43">
            <v>153</v>
          </cell>
          <cell r="AF43">
            <v>-28</v>
          </cell>
        </row>
        <row r="45">
          <cell r="B45">
            <v>23158</v>
          </cell>
          <cell r="C45">
            <v>14462</v>
          </cell>
          <cell r="D45">
            <v>15249</v>
          </cell>
          <cell r="E45">
            <v>3857</v>
          </cell>
          <cell r="F45">
            <v>56726</v>
          </cell>
          <cell r="G45">
            <v>14695</v>
          </cell>
          <cell r="H45">
            <v>12564</v>
          </cell>
          <cell r="I45">
            <v>19044</v>
          </cell>
          <cell r="J45">
            <v>21356</v>
          </cell>
          <cell r="K45">
            <v>67659</v>
          </cell>
          <cell r="L45">
            <v>22411</v>
          </cell>
          <cell r="M45">
            <v>8429</v>
          </cell>
          <cell r="N45">
            <v>26418</v>
          </cell>
          <cell r="O45">
            <v>32218</v>
          </cell>
          <cell r="P45">
            <v>89476</v>
          </cell>
          <cell r="Q45">
            <v>31931</v>
          </cell>
          <cell r="R45">
            <v>28021</v>
          </cell>
          <cell r="S45">
            <v>26507</v>
          </cell>
          <cell r="T45">
            <v>28299</v>
          </cell>
          <cell r="U45">
            <v>114758</v>
          </cell>
          <cell r="V45">
            <v>36178</v>
          </cell>
          <cell r="W45">
            <v>35846</v>
          </cell>
          <cell r="X45">
            <v>39095</v>
          </cell>
          <cell r="Y45">
            <v>31849</v>
          </cell>
          <cell r="Z45">
            <v>142968</v>
          </cell>
          <cell r="AA45">
            <v>51331</v>
          </cell>
          <cell r="AB45">
            <v>49068</v>
          </cell>
          <cell r="AC45">
            <v>43876</v>
          </cell>
          <cell r="AD45">
            <v>40283</v>
          </cell>
          <cell r="AE45">
            <v>184558</v>
          </cell>
          <cell r="AF45">
            <v>48763</v>
          </cell>
        </row>
        <row r="46">
          <cell r="B46">
            <v>0.11188899035139849</v>
          </cell>
          <cell r="C46">
            <v>6.8829957356076762E-2</v>
          </cell>
          <cell r="D46">
            <v>6.5977570481646222E-2</v>
          </cell>
          <cell r="E46">
            <v>1.6419543385993367E-2</v>
          </cell>
          <cell r="F46">
            <v>6.4234208118562536E-2</v>
          </cell>
          <cell r="G46">
            <v>6.1338297721362588E-2</v>
          </cell>
          <cell r="H46">
            <v>5.1595628908993094E-2</v>
          </cell>
          <cell r="I46">
            <v>7.5754200610997968E-2</v>
          </cell>
          <cell r="J46">
            <v>8.3138683858108325E-2</v>
          </cell>
          <cell r="K46">
            <v>6.8249632318080664E-2</v>
          </cell>
          <cell r="L46">
            <v>9.1105329484938408E-2</v>
          </cell>
          <cell r="M46">
            <v>3.7887743681255706E-2</v>
          </cell>
          <cell r="N46">
            <v>0.10961007061713234</v>
          </cell>
          <cell r="O46">
            <v>0.12941398577241486</v>
          </cell>
          <cell r="P46">
            <v>9.3356454382878734E-2</v>
          </cell>
          <cell r="Q46">
            <v>0.12214677811143201</v>
          </cell>
          <cell r="R46">
            <v>0.10187083733240264</v>
          </cell>
          <cell r="S46">
            <v>9.1301128046155172E-2</v>
          </cell>
          <cell r="T46">
            <v>9.5770062506556924E-2</v>
          </cell>
          <cell r="U46">
            <v>0.10225315492478346</v>
          </cell>
          <cell r="V46">
            <v>0.10989404874729654</v>
          </cell>
          <cell r="W46">
            <v>0.10336753349366461</v>
          </cell>
          <cell r="X46">
            <v>0.10819120467357224</v>
          </cell>
          <cell r="Y46">
            <v>8.4997985070842774E-2</v>
          </cell>
          <cell r="Z46">
            <v>0.10124896957885166</v>
          </cell>
          <cell r="AA46">
            <v>0.12812154461702813</v>
          </cell>
          <cell r="AB46">
            <v>0.12115675216545349</v>
          </cell>
          <cell r="AC46">
            <v>0.10676179097795221</v>
          </cell>
          <cell r="AD46">
            <v>9.728830260494907E-2</v>
          </cell>
          <cell r="AE46">
            <v>0.11317938415422392</v>
          </cell>
          <cell r="AF46">
            <v>0.1117118396726742</v>
          </cell>
        </row>
        <row r="47">
          <cell r="B47">
            <v>-3.4754676643506146</v>
          </cell>
          <cell r="C47">
            <v>-0.37550738405734518</v>
          </cell>
          <cell r="D47">
            <v>5.4418476006084848E-2</v>
          </cell>
          <cell r="E47">
            <v>-0.74706538133648115</v>
          </cell>
          <cell r="F47" t="str">
            <v>NA</v>
          </cell>
          <cell r="G47">
            <v>2.8099559242934924</v>
          </cell>
          <cell r="H47">
            <v>-0.14501531133038448</v>
          </cell>
          <cell r="I47">
            <v>0.51575931232091698</v>
          </cell>
          <cell r="J47">
            <v>0.12140306658265065</v>
          </cell>
          <cell r="K47" t="str">
            <v>NA</v>
          </cell>
          <cell r="L47">
            <v>4.9400636823375255E-2</v>
          </cell>
          <cell r="M47">
            <v>-0.62389005399134356</v>
          </cell>
          <cell r="N47">
            <v>2.1341796179855264</v>
          </cell>
          <cell r="O47">
            <v>0.21954727837080767</v>
          </cell>
          <cell r="P47" t="str">
            <v>NA</v>
          </cell>
          <cell r="Q47">
            <v>-8.908063815258549E-3</v>
          </cell>
          <cell r="R47">
            <v>-0.122451536124769</v>
          </cell>
          <cell r="S47">
            <v>-5.403090539238431E-2</v>
          </cell>
          <cell r="T47">
            <v>6.7604783642056798E-2</v>
          </cell>
          <cell r="U47" t="str">
            <v>NA</v>
          </cell>
          <cell r="V47">
            <v>0.27841973214601223</v>
          </cell>
          <cell r="W47">
            <v>-9.1768478080601623E-3</v>
          </cell>
          <cell r="X47">
            <v>9.0637728058918787E-2</v>
          </cell>
          <cell r="Y47">
            <v>-0.18534339429594582</v>
          </cell>
          <cell r="Z47" t="str">
            <v>NA</v>
          </cell>
          <cell r="AA47">
            <v>0.61169895444126965</v>
          </cell>
          <cell r="AB47">
            <v>-4.4086419512575192E-2</v>
          </cell>
          <cell r="AC47">
            <v>-0.10581234205592238</v>
          </cell>
          <cell r="AD47">
            <v>-8.1889871455921193E-2</v>
          </cell>
          <cell r="AE47" t="str">
            <v>NA</v>
          </cell>
          <cell r="AF47">
            <v>0.2105106372415162</v>
          </cell>
        </row>
        <row r="48">
          <cell r="B48">
            <v>0.37943769359066004</v>
          </cell>
          <cell r="C48">
            <v>-0.2903130827362842</v>
          </cell>
          <cell r="D48">
            <v>-0.27650993974474547</v>
          </cell>
          <cell r="E48">
            <v>-1.4122928915018707</v>
          </cell>
          <cell r="F48">
            <v>0.16032564228440527</v>
          </cell>
          <cell r="G48">
            <v>-0.3654460661542448</v>
          </cell>
          <cell r="H48">
            <v>-0.13124049232471302</v>
          </cell>
          <cell r="I48">
            <v>0.24886877828054299</v>
          </cell>
          <cell r="J48">
            <v>4.5369458128078817</v>
          </cell>
          <cell r="K48">
            <v>0.19273349081549918</v>
          </cell>
          <cell r="L48">
            <v>0.52507655665192243</v>
          </cell>
          <cell r="M48">
            <v>-0.32911493155046168</v>
          </cell>
          <cell r="N48">
            <v>0.38720856962822947</v>
          </cell>
          <cell r="O48">
            <v>0.50861584566398199</v>
          </cell>
          <cell r="P48">
            <v>0.32245525355089488</v>
          </cell>
          <cell r="Q48">
            <v>0.42479139708179026</v>
          </cell>
          <cell r="R48">
            <v>2.3243563886582037</v>
          </cell>
          <cell r="S48">
            <v>3.36891513362092E-3</v>
          </cell>
          <cell r="T48">
            <v>-0.12164007697560375</v>
          </cell>
          <cell r="U48">
            <v>0.2825562161920514</v>
          </cell>
          <cell r="V48">
            <v>0.13300554320253055</v>
          </cell>
          <cell r="W48">
            <v>0.27925484458085004</v>
          </cell>
          <cell r="X48">
            <v>0.47489342437846616</v>
          </cell>
          <cell r="Y48">
            <v>0.12544612883847495</v>
          </cell>
          <cell r="Z48">
            <v>0.2458216420641699</v>
          </cell>
          <cell r="AA48">
            <v>0.41884570733594995</v>
          </cell>
          <cell r="AB48">
            <v>0.36885566032472239</v>
          </cell>
          <cell r="AC48">
            <v>0.12229185317815583</v>
          </cell>
          <cell r="AD48">
            <v>0.26481208201199413</v>
          </cell>
          <cell r="AE48">
            <v>0.29090425829556255</v>
          </cell>
          <cell r="AF48">
            <v>-5.0028248037248479E-2</v>
          </cell>
        </row>
        <row r="50">
          <cell r="B50">
            <v>0.13445973407652559</v>
          </cell>
          <cell r="C50">
            <v>8.3808530366249426E-2</v>
          </cell>
          <cell r="D50">
            <v>8.8505180069067588E-2</v>
          </cell>
          <cell r="E50">
            <v>2.243224380597883E-2</v>
          </cell>
          <cell r="F50">
            <v>0.32931409828452002</v>
          </cell>
          <cell r="G50">
            <v>8.5498679265042996E-2</v>
          </cell>
          <cell r="H50">
            <v>7.2937105968953544E-2</v>
          </cell>
          <cell r="I50">
            <v>0.11097126075099643</v>
          </cell>
          <cell r="J50">
            <v>0.12469419094162915</v>
          </cell>
          <cell r="K50">
            <v>0.3939365709661079</v>
          </cell>
          <cell r="L50">
            <v>0.130290451606902</v>
          </cell>
          <cell r="M50">
            <v>4.8883321444519838E-2</v>
          </cell>
          <cell r="N50">
            <v>0.15391786153335238</v>
          </cell>
          <cell r="O50">
            <v>0.19017767546189718</v>
          </cell>
          <cell r="P50">
            <v>0.52213086533579978</v>
          </cell>
          <cell r="Q50">
            <v>0.18930936556965927</v>
          </cell>
          <cell r="R50">
            <v>0.1669357481159334</v>
          </cell>
          <cell r="S50">
            <v>0.15849013734177594</v>
          </cell>
          <cell r="T50">
            <v>0.1692179819893084</v>
          </cell>
          <cell r="U50">
            <v>0.68411765407222824</v>
          </cell>
          <cell r="V50">
            <v>0.21636265773578137</v>
          </cell>
          <cell r="W50">
            <v>0.21462485854733351</v>
          </cell>
          <cell r="X50">
            <v>0.23524420990558942</v>
          </cell>
          <cell r="Y50">
            <v>0.19162364776241531</v>
          </cell>
          <cell r="Z50">
            <v>0.85788349374744977</v>
          </cell>
          <cell r="AA50">
            <v>0.30700726085240254</v>
          </cell>
          <cell r="AB50">
            <v>0.29421323084118312</v>
          </cell>
          <cell r="AC50">
            <v>0.26405873856523832</v>
          </cell>
          <cell r="AD50">
            <v>0.24376414489210549</v>
          </cell>
          <cell r="AE50">
            <v>1.1095159942527699</v>
          </cell>
          <cell r="AF50">
            <v>0.29538653517645774</v>
          </cell>
        </row>
        <row r="51">
          <cell r="B51">
            <v>0.13119564909497777</v>
          </cell>
          <cell r="C51">
            <v>8.230607250583348E-2</v>
          </cell>
          <cell r="D51">
            <v>8.6622358554873893E-2</v>
          </cell>
          <cell r="E51">
            <v>2.2089606945884185E-2</v>
          </cell>
          <cell r="F51">
            <v>0.32386172247437983</v>
          </cell>
          <cell r="G51">
            <v>8.437304426211624E-2</v>
          </cell>
          <cell r="H51">
            <v>7.2409560090598402E-2</v>
          </cell>
          <cell r="I51">
            <v>0.1097655867248425</v>
          </cell>
          <cell r="J51">
            <v>0.12310068940075165</v>
          </cell>
          <cell r="K51">
            <v>0.38959939653236442</v>
          </cell>
          <cell r="L51">
            <v>0.12909339124323888</v>
          </cell>
          <cell r="M51">
            <v>4.8725923185423264E-2</v>
          </cell>
          <cell r="N51">
            <v>0.15298818624044475</v>
          </cell>
          <cell r="O51">
            <v>0.18747745126563864</v>
          </cell>
          <cell r="P51">
            <v>0.51787285271102468</v>
          </cell>
          <cell r="Q51">
            <v>0.18608676395169937</v>
          </cell>
          <cell r="R51">
            <v>0.16296111056185264</v>
          </cell>
          <cell r="S51">
            <v>0.15453363571174553</v>
          </cell>
          <cell r="T51">
            <v>0.16662054509806232</v>
          </cell>
          <cell r="U51">
            <v>0.67022929296468914</v>
          </cell>
          <cell r="V51">
            <v>0.21347227303303162</v>
          </cell>
          <cell r="W51">
            <v>0.21191465714471514</v>
          </cell>
          <cell r="X51">
            <v>0.23148340033986819</v>
          </cell>
          <cell r="Y51">
            <v>0.18825845120790652</v>
          </cell>
          <cell r="Z51">
            <v>0.84511937766375633</v>
          </cell>
          <cell r="AA51">
            <v>0.30255751309996048</v>
          </cell>
          <cell r="AB51">
            <v>0.29130501893826954</v>
          </cell>
          <cell r="AC51">
            <v>0.26165259291064358</v>
          </cell>
          <cell r="AD51">
            <v>0.24138757557780693</v>
          </cell>
          <cell r="AE51">
            <v>1.0975077455533686</v>
          </cell>
          <cell r="AF51">
            <v>0.29247212509071718</v>
          </cell>
        </row>
      </sheetData>
      <sheetData sheetId="2">
        <row r="8">
          <cell r="C8">
            <v>69955</v>
          </cell>
          <cell r="D8">
            <v>84091</v>
          </cell>
          <cell r="E8">
            <v>97636</v>
          </cell>
          <cell r="F8">
            <v>95881</v>
          </cell>
          <cell r="G8">
            <v>86688</v>
          </cell>
          <cell r="H8">
            <v>84842</v>
          </cell>
          <cell r="I8">
            <v>101432</v>
          </cell>
          <cell r="J8">
            <v>119165</v>
          </cell>
          <cell r="K8">
            <v>224874</v>
          </cell>
          <cell r="L8">
            <v>163619</v>
          </cell>
          <cell r="M8">
            <v>206423</v>
          </cell>
          <cell r="N8">
            <v>218530</v>
          </cell>
          <cell r="O8">
            <v>177121</v>
          </cell>
          <cell r="P8">
            <v>150211</v>
          </cell>
          <cell r="Q8">
            <v>114581</v>
          </cell>
          <cell r="R8">
            <v>135337</v>
          </cell>
          <cell r="S8">
            <v>106540</v>
          </cell>
          <cell r="T8">
            <v>106304</v>
          </cell>
          <cell r="U8">
            <v>89262</v>
          </cell>
          <cell r="V8">
            <v>118669</v>
          </cell>
          <cell r="W8">
            <v>87298</v>
          </cell>
          <cell r="X8">
            <v>93960</v>
          </cell>
          <cell r="Y8">
            <v>122655</v>
          </cell>
          <cell r="Z8">
            <v>136953</v>
          </cell>
          <cell r="AA8">
            <v>108565</v>
          </cell>
        </row>
        <row r="9">
          <cell r="C9">
            <v>169461</v>
          </cell>
          <cell r="D9">
            <v>149045</v>
          </cell>
          <cell r="E9">
            <v>144878</v>
          </cell>
          <cell r="F9">
            <v>184489</v>
          </cell>
          <cell r="G9">
            <v>216056</v>
          </cell>
          <cell r="H9">
            <v>168204</v>
          </cell>
          <cell r="I9">
            <v>179340</v>
          </cell>
          <cell r="J9">
            <v>202238</v>
          </cell>
          <cell r="K9">
            <v>142539</v>
          </cell>
          <cell r="L9">
            <v>171962</v>
          </cell>
          <cell r="M9">
            <v>156175</v>
          </cell>
          <cell r="N9">
            <v>184286</v>
          </cell>
          <cell r="O9">
            <v>198721</v>
          </cell>
          <cell r="P9">
            <v>144533</v>
          </cell>
          <cell r="Q9">
            <v>169739</v>
          </cell>
          <cell r="R9">
            <v>178538</v>
          </cell>
          <cell r="S9">
            <v>162694</v>
          </cell>
          <cell r="T9">
            <v>158941</v>
          </cell>
          <cell r="U9">
            <v>172889</v>
          </cell>
          <cell r="V9">
            <v>179027</v>
          </cell>
          <cell r="W9">
            <v>116479</v>
          </cell>
          <cell r="X9">
            <v>156098</v>
          </cell>
          <cell r="Y9">
            <v>151581</v>
          </cell>
          <cell r="Z9">
            <v>153881</v>
          </cell>
          <cell r="AA9">
            <v>137585</v>
          </cell>
        </row>
        <row r="10">
          <cell r="C10">
            <v>2727</v>
          </cell>
          <cell r="D10">
            <v>2256</v>
          </cell>
          <cell r="E10">
            <v>4679</v>
          </cell>
          <cell r="F10">
            <v>5608</v>
          </cell>
          <cell r="G10">
            <v>5364</v>
          </cell>
          <cell r="H10">
            <v>4098</v>
          </cell>
          <cell r="I10">
            <v>5412</v>
          </cell>
          <cell r="J10">
            <v>5453</v>
          </cell>
          <cell r="K10">
            <v>6369</v>
          </cell>
          <cell r="L10">
            <v>4858</v>
          </cell>
          <cell r="M10">
            <v>7312</v>
          </cell>
          <cell r="N10">
            <v>4690</v>
          </cell>
          <cell r="O10">
            <v>5295</v>
          </cell>
          <cell r="P10">
            <v>5065</v>
          </cell>
          <cell r="Q10">
            <v>6810</v>
          </cell>
          <cell r="R10">
            <v>6174</v>
          </cell>
          <cell r="S10">
            <v>6274</v>
          </cell>
          <cell r="T10">
            <v>6840</v>
          </cell>
          <cell r="U10">
            <v>7013</v>
          </cell>
          <cell r="V10">
            <v>4897</v>
          </cell>
          <cell r="W10">
            <v>5598</v>
          </cell>
          <cell r="X10">
            <v>4628</v>
          </cell>
          <cell r="Y10">
            <v>3257</v>
          </cell>
          <cell r="Z10">
            <v>4062</v>
          </cell>
          <cell r="AA10">
            <v>4291</v>
          </cell>
        </row>
        <row r="11">
          <cell r="C11">
            <v>137150</v>
          </cell>
          <cell r="D11">
            <v>147099</v>
          </cell>
          <cell r="E11">
            <v>164307</v>
          </cell>
          <cell r="F11">
            <v>164752</v>
          </cell>
          <cell r="G11">
            <v>176889</v>
          </cell>
          <cell r="H11">
            <v>180680</v>
          </cell>
          <cell r="I11">
            <v>179702</v>
          </cell>
          <cell r="J11">
            <v>171864</v>
          </cell>
          <cell r="K11">
            <v>187137</v>
          </cell>
          <cell r="L11">
            <v>157505</v>
          </cell>
          <cell r="M11">
            <v>154983</v>
          </cell>
          <cell r="N11">
            <v>147635</v>
          </cell>
          <cell r="O11">
            <v>159296</v>
          </cell>
          <cell r="P11">
            <v>182111</v>
          </cell>
          <cell r="Q11">
            <v>192170</v>
          </cell>
          <cell r="R11">
            <v>194232</v>
          </cell>
          <cell r="S11">
            <v>239279</v>
          </cell>
          <cell r="T11">
            <v>237453</v>
          </cell>
          <cell r="U11">
            <v>256911</v>
          </cell>
          <cell r="V11">
            <v>259222</v>
          </cell>
          <cell r="W11">
            <v>290512</v>
          </cell>
          <cell r="X11">
            <v>288305</v>
          </cell>
          <cell r="Y11">
            <v>303378</v>
          </cell>
          <cell r="Z11">
            <v>308108</v>
          </cell>
          <cell r="AA11">
            <v>335523</v>
          </cell>
        </row>
        <row r="12">
          <cell r="C12">
            <v>56680</v>
          </cell>
          <cell r="D12">
            <v>44243</v>
          </cell>
          <cell r="E12">
            <v>42327</v>
          </cell>
          <cell r="F12">
            <v>49205</v>
          </cell>
          <cell r="G12">
            <v>51061</v>
          </cell>
          <cell r="H12">
            <v>51251</v>
          </cell>
          <cell r="I12">
            <v>40340</v>
          </cell>
          <cell r="J12">
            <v>42538</v>
          </cell>
          <cell r="K12">
            <v>43973</v>
          </cell>
          <cell r="L12">
            <v>38596</v>
          </cell>
          <cell r="M12">
            <v>40170</v>
          </cell>
          <cell r="N12">
            <v>54137</v>
          </cell>
          <cell r="O12">
            <v>56117</v>
          </cell>
          <cell r="P12">
            <v>59242</v>
          </cell>
          <cell r="Q12">
            <v>61875</v>
          </cell>
          <cell r="R12">
            <v>63863</v>
          </cell>
          <cell r="S12">
            <v>57831</v>
          </cell>
          <cell r="T12">
            <v>51476</v>
          </cell>
          <cell r="U12">
            <v>54509</v>
          </cell>
          <cell r="V12">
            <v>50979</v>
          </cell>
          <cell r="W12">
            <v>66340</v>
          </cell>
          <cell r="X12">
            <v>70186</v>
          </cell>
          <cell r="Y12">
            <v>70697</v>
          </cell>
          <cell r="Z12">
            <v>76669</v>
          </cell>
          <cell r="AA12">
            <v>78753</v>
          </cell>
        </row>
        <row r="13">
          <cell r="C13">
            <v>435973</v>
          </cell>
          <cell r="D13">
            <v>426734</v>
          </cell>
          <cell r="E13">
            <v>453827</v>
          </cell>
          <cell r="F13">
            <v>499935</v>
          </cell>
          <cell r="G13">
            <v>536058</v>
          </cell>
          <cell r="H13">
            <v>489075</v>
          </cell>
          <cell r="I13">
            <v>506226</v>
          </cell>
          <cell r="J13">
            <v>541258</v>
          </cell>
          <cell r="K13">
            <v>604892</v>
          </cell>
          <cell r="L13">
            <v>536540</v>
          </cell>
          <cell r="M13">
            <v>565063</v>
          </cell>
          <cell r="N13">
            <v>609278</v>
          </cell>
          <cell r="O13">
            <v>596550</v>
          </cell>
          <cell r="P13">
            <v>541162</v>
          </cell>
          <cell r="Q13">
            <v>545175</v>
          </cell>
          <cell r="R13">
            <v>578144</v>
          </cell>
          <cell r="S13">
            <v>572618</v>
          </cell>
          <cell r="T13">
            <v>561014</v>
          </cell>
          <cell r="U13">
            <v>580584</v>
          </cell>
          <cell r="V13">
            <v>612794</v>
          </cell>
          <cell r="W13">
            <v>566227</v>
          </cell>
          <cell r="X13">
            <v>613177</v>
          </cell>
          <cell r="Y13">
            <v>651568</v>
          </cell>
          <cell r="Z13">
            <v>679673</v>
          </cell>
          <cell r="AA13">
            <v>664717</v>
          </cell>
        </row>
        <row r="15">
          <cell r="C15">
            <v>67748</v>
          </cell>
          <cell r="D15">
            <v>66112</v>
          </cell>
          <cell r="E15">
            <v>67675</v>
          </cell>
          <cell r="F15">
            <v>73510</v>
          </cell>
          <cell r="G15">
            <v>73447</v>
          </cell>
          <cell r="H15">
            <v>78083</v>
          </cell>
          <cell r="I15">
            <v>78471</v>
          </cell>
          <cell r="J15">
            <v>79142</v>
          </cell>
          <cell r="K15">
            <v>90513</v>
          </cell>
          <cell r="L15">
            <v>91848</v>
          </cell>
          <cell r="M15">
            <v>94103</v>
          </cell>
          <cell r="N15">
            <v>92875</v>
          </cell>
          <cell r="O15">
            <v>90153</v>
          </cell>
          <cell r="P15">
            <v>86511</v>
          </cell>
          <cell r="Q15">
            <v>83905</v>
          </cell>
          <cell r="R15">
            <v>86008</v>
          </cell>
          <cell r="S15">
            <v>85610</v>
          </cell>
          <cell r="T15">
            <v>82649</v>
          </cell>
          <cell r="U15">
            <v>79933</v>
          </cell>
          <cell r="V15">
            <v>82828</v>
          </cell>
          <cell r="W15">
            <v>86652</v>
          </cell>
          <cell r="X15">
            <v>93688</v>
          </cell>
          <cell r="Y15">
            <v>96729</v>
          </cell>
          <cell r="Z15">
            <v>100373</v>
          </cell>
          <cell r="AA15">
            <v>101622</v>
          </cell>
        </row>
        <row r="16">
          <cell r="C16">
            <v>0</v>
          </cell>
          <cell r="D16">
            <v>0</v>
          </cell>
          <cell r="E16">
            <v>0</v>
          </cell>
          <cell r="F16">
            <v>0</v>
          </cell>
          <cell r="G16">
            <v>89835</v>
          </cell>
          <cell r="H16">
            <v>93162</v>
          </cell>
          <cell r="I16">
            <v>88753</v>
          </cell>
          <cell r="J16">
            <v>86396</v>
          </cell>
          <cell r="K16">
            <v>99940</v>
          </cell>
          <cell r="L16">
            <v>96789</v>
          </cell>
          <cell r="M16">
            <v>95873</v>
          </cell>
          <cell r="N16">
            <v>91918</v>
          </cell>
          <cell r="O16">
            <v>88777</v>
          </cell>
          <cell r="P16">
            <v>83280</v>
          </cell>
          <cell r="Q16">
            <v>81324</v>
          </cell>
          <cell r="R16">
            <v>76692</v>
          </cell>
          <cell r="S16">
            <v>75147</v>
          </cell>
          <cell r="T16">
            <v>67962</v>
          </cell>
          <cell r="U16">
            <v>61966</v>
          </cell>
          <cell r="V16">
            <v>55347</v>
          </cell>
          <cell r="W16">
            <v>52782</v>
          </cell>
          <cell r="X16">
            <v>58423</v>
          </cell>
          <cell r="Y16">
            <v>56817</v>
          </cell>
          <cell r="Z16">
            <v>64856</v>
          </cell>
          <cell r="AA16">
            <v>66799</v>
          </cell>
        </row>
        <row r="17">
          <cell r="C17">
            <v>3783</v>
          </cell>
          <cell r="D17">
            <v>3645</v>
          </cell>
          <cell r="E17">
            <v>3499</v>
          </cell>
          <cell r="F17">
            <v>2642</v>
          </cell>
          <cell r="G17">
            <v>2575</v>
          </cell>
          <cell r="H17">
            <v>2507</v>
          </cell>
          <cell r="I17">
            <v>2441</v>
          </cell>
          <cell r="J17">
            <v>2426</v>
          </cell>
          <cell r="K17">
            <v>2291</v>
          </cell>
          <cell r="L17">
            <v>2298</v>
          </cell>
          <cell r="M17">
            <v>2277</v>
          </cell>
          <cell r="N17">
            <v>2299</v>
          </cell>
          <cell r="O17">
            <v>2298</v>
          </cell>
          <cell r="P17">
            <v>2260</v>
          </cell>
          <cell r="Q17">
            <v>2302</v>
          </cell>
          <cell r="R17">
            <v>2299</v>
          </cell>
          <cell r="S17">
            <v>2255</v>
          </cell>
          <cell r="T17">
            <v>2056</v>
          </cell>
          <cell r="U17">
            <v>1996</v>
          </cell>
          <cell r="V17">
            <v>2055</v>
          </cell>
          <cell r="W17">
            <v>2069</v>
          </cell>
          <cell r="X17">
            <v>2072</v>
          </cell>
          <cell r="Y17">
            <v>2047</v>
          </cell>
          <cell r="Z17">
            <v>4386</v>
          </cell>
          <cell r="AA17">
            <v>4376</v>
          </cell>
        </row>
        <row r="18">
          <cell r="C18">
            <v>6518</v>
          </cell>
          <cell r="D18">
            <v>12702</v>
          </cell>
          <cell r="E18">
            <v>12201</v>
          </cell>
          <cell r="F18">
            <v>6602</v>
          </cell>
          <cell r="G18">
            <v>4570</v>
          </cell>
          <cell r="H18">
            <v>4200</v>
          </cell>
          <cell r="I18">
            <v>6190</v>
          </cell>
          <cell r="J18">
            <v>11855</v>
          </cell>
          <cell r="K18">
            <v>16640</v>
          </cell>
          <cell r="L18">
            <v>17070</v>
          </cell>
          <cell r="M18">
            <v>13230</v>
          </cell>
          <cell r="N18">
            <v>7749</v>
          </cell>
          <cell r="O18">
            <v>10657</v>
          </cell>
          <cell r="P18">
            <v>24132</v>
          </cell>
          <cell r="Q18">
            <v>26747</v>
          </cell>
          <cell r="R18">
            <v>21404</v>
          </cell>
          <cell r="S18">
            <v>22447</v>
          </cell>
          <cell r="T18">
            <v>40924</v>
          </cell>
          <cell r="U18">
            <v>54898</v>
          </cell>
          <cell r="V18">
            <v>55791</v>
          </cell>
          <cell r="W18">
            <v>62252</v>
          </cell>
          <cell r="X18">
            <v>68612</v>
          </cell>
          <cell r="Y18">
            <v>79767</v>
          </cell>
          <cell r="Z18">
            <v>82927</v>
          </cell>
          <cell r="AA18">
            <v>91840</v>
          </cell>
        </row>
        <row r="19">
          <cell r="C19">
            <v>202337</v>
          </cell>
          <cell r="D19">
            <v>200981</v>
          </cell>
          <cell r="E19">
            <v>357533</v>
          </cell>
          <cell r="F19">
            <v>349984</v>
          </cell>
          <cell r="G19">
            <v>350239</v>
          </cell>
          <cell r="H19">
            <v>350220</v>
          </cell>
          <cell r="I19">
            <v>349530</v>
          </cell>
          <cell r="J19">
            <v>349529</v>
          </cell>
          <cell r="K19">
            <v>348076</v>
          </cell>
          <cell r="L19">
            <v>348110</v>
          </cell>
          <cell r="M19">
            <v>348723</v>
          </cell>
          <cell r="N19">
            <v>349088</v>
          </cell>
          <cell r="O19">
            <v>349098</v>
          </cell>
          <cell r="P19">
            <v>348747</v>
          </cell>
          <cell r="Q19">
            <v>348699</v>
          </cell>
          <cell r="R19">
            <v>403902</v>
          </cell>
          <cell r="S19">
            <v>404561</v>
          </cell>
          <cell r="T19">
            <v>406575</v>
          </cell>
          <cell r="U19">
            <v>405781</v>
          </cell>
          <cell r="V19">
            <v>405637</v>
          </cell>
          <cell r="W19">
            <v>405824</v>
          </cell>
          <cell r="X19">
            <v>405903</v>
          </cell>
          <cell r="Y19">
            <v>405579</v>
          </cell>
          <cell r="Z19">
            <v>405639</v>
          </cell>
          <cell r="AA19">
            <v>405574</v>
          </cell>
        </row>
        <row r="20">
          <cell r="C20">
            <v>45104</v>
          </cell>
          <cell r="D20">
            <v>41170</v>
          </cell>
          <cell r="E20">
            <v>114799</v>
          </cell>
          <cell r="F20">
            <v>95495</v>
          </cell>
          <cell r="G20">
            <v>90008</v>
          </cell>
          <cell r="H20">
            <v>84402</v>
          </cell>
          <cell r="I20">
            <v>78845</v>
          </cell>
          <cell r="J20">
            <v>73982</v>
          </cell>
          <cell r="K20">
            <v>69734</v>
          </cell>
          <cell r="L20">
            <v>66296</v>
          </cell>
          <cell r="M20">
            <v>62941</v>
          </cell>
          <cell r="N20">
            <v>59594</v>
          </cell>
          <cell r="O20">
            <v>56243</v>
          </cell>
          <cell r="P20">
            <v>52853</v>
          </cell>
          <cell r="Q20">
            <v>49807</v>
          </cell>
          <cell r="R20">
            <v>81082</v>
          </cell>
          <cell r="S20">
            <v>76578</v>
          </cell>
          <cell r="T20">
            <v>73298</v>
          </cell>
          <cell r="U20">
            <v>69008</v>
          </cell>
          <cell r="V20">
            <v>64819</v>
          </cell>
          <cell r="W20">
            <v>60681</v>
          </cell>
          <cell r="X20">
            <v>56487</v>
          </cell>
          <cell r="Y20">
            <v>53315</v>
          </cell>
          <cell r="Z20">
            <v>50164</v>
          </cell>
          <cell r="AA20">
            <v>47080</v>
          </cell>
        </row>
        <row r="21">
          <cell r="C21">
            <v>2944</v>
          </cell>
          <cell r="D21">
            <v>2886</v>
          </cell>
          <cell r="E21">
            <v>2824</v>
          </cell>
          <cell r="F21">
            <v>2753</v>
          </cell>
          <cell r="G21">
            <v>2686</v>
          </cell>
          <cell r="H21">
            <v>2624</v>
          </cell>
          <cell r="I21">
            <v>2555</v>
          </cell>
          <cell r="J21">
            <v>2484</v>
          </cell>
          <cell r="K21">
            <v>3128</v>
          </cell>
          <cell r="L21">
            <v>3063</v>
          </cell>
          <cell r="M21">
            <v>2991</v>
          </cell>
          <cell r="N21">
            <v>2957</v>
          </cell>
          <cell r="O21">
            <v>2921</v>
          </cell>
          <cell r="P21">
            <v>2929</v>
          </cell>
          <cell r="Q21">
            <v>2957</v>
          </cell>
          <cell r="R21">
            <v>3004</v>
          </cell>
          <cell r="S21">
            <v>3118</v>
          </cell>
          <cell r="T21">
            <v>3261</v>
          </cell>
          <cell r="U21">
            <v>3369</v>
          </cell>
          <cell r="V21">
            <v>3438</v>
          </cell>
          <cell r="W21">
            <v>3504</v>
          </cell>
          <cell r="X21">
            <v>3570</v>
          </cell>
          <cell r="Y21">
            <v>4195</v>
          </cell>
          <cell r="Z21">
            <v>4191</v>
          </cell>
          <cell r="AA21">
            <v>4163</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186</v>
          </cell>
          <cell r="S22">
            <v>184</v>
          </cell>
          <cell r="T22">
            <v>22997</v>
          </cell>
          <cell r="U22">
            <v>31355</v>
          </cell>
          <cell r="V22">
            <v>31341</v>
          </cell>
          <cell r="W22">
            <v>32055</v>
          </cell>
          <cell r="X22">
            <v>12515</v>
          </cell>
          <cell r="Y22">
            <v>1078</v>
          </cell>
          <cell r="Z22">
            <v>239</v>
          </cell>
          <cell r="AA22">
            <v>241</v>
          </cell>
        </row>
        <row r="23">
          <cell r="C23">
            <v>33863</v>
          </cell>
          <cell r="D23">
            <v>36033</v>
          </cell>
          <cell r="E23">
            <v>32779</v>
          </cell>
          <cell r="F23">
            <v>31015</v>
          </cell>
          <cell r="G23">
            <v>33164</v>
          </cell>
          <cell r="H23">
            <v>33194</v>
          </cell>
          <cell r="I23">
            <v>32967</v>
          </cell>
          <cell r="J23">
            <v>36016</v>
          </cell>
          <cell r="K23">
            <v>32045</v>
          </cell>
          <cell r="L23">
            <v>31599</v>
          </cell>
          <cell r="M23">
            <v>34280</v>
          </cell>
          <cell r="N23">
            <v>32099</v>
          </cell>
          <cell r="O23">
            <v>29669</v>
          </cell>
          <cell r="P23">
            <v>27472</v>
          </cell>
          <cell r="Q23">
            <v>27154</v>
          </cell>
          <cell r="R23">
            <v>30183</v>
          </cell>
          <cell r="S23">
            <v>32031</v>
          </cell>
          <cell r="T23">
            <v>30198</v>
          </cell>
          <cell r="U23">
            <v>29838</v>
          </cell>
          <cell r="V23">
            <v>32069</v>
          </cell>
          <cell r="W23">
            <v>36525</v>
          </cell>
          <cell r="X23">
            <v>48255</v>
          </cell>
          <cell r="Y23">
            <v>51398</v>
          </cell>
          <cell r="Z23">
            <v>49524</v>
          </cell>
          <cell r="AA23">
            <v>52979</v>
          </cell>
        </row>
        <row r="24">
          <cell r="C24">
            <v>798270</v>
          </cell>
          <cell r="D24">
            <v>790263</v>
          </cell>
          <cell r="E24">
            <v>1045137</v>
          </cell>
          <cell r="F24">
            <v>1061936</v>
          </cell>
          <cell r="G24">
            <v>1182582</v>
          </cell>
          <cell r="H24">
            <v>1137467</v>
          </cell>
          <cell r="I24">
            <v>1145978</v>
          </cell>
          <cell r="J24">
            <v>1183088</v>
          </cell>
          <cell r="K24">
            <v>1267259</v>
          </cell>
          <cell r="L24">
            <v>1193613</v>
          </cell>
          <cell r="M24">
            <v>1219481</v>
          </cell>
          <cell r="N24">
            <v>1247857</v>
          </cell>
          <cell r="O24">
            <v>1226366</v>
          </cell>
          <cell r="P24">
            <v>1169346</v>
          </cell>
          <cell r="Q24">
            <v>1168070</v>
          </cell>
          <cell r="R24">
            <v>1282904</v>
          </cell>
          <cell r="S24">
            <v>1274549</v>
          </cell>
          <cell r="T24">
            <v>1290934</v>
          </cell>
          <cell r="U24">
            <v>1318728</v>
          </cell>
          <cell r="V24">
            <v>1346119</v>
          </cell>
          <cell r="W24">
            <v>1308571</v>
          </cell>
          <cell r="X24">
            <v>1362702</v>
          </cell>
          <cell r="Y24">
            <v>1402493</v>
          </cell>
          <cell r="Z24">
            <v>1441972</v>
          </cell>
          <cell r="AA24">
            <v>1439391</v>
          </cell>
        </row>
        <row r="28">
          <cell r="C28">
            <v>4114</v>
          </cell>
          <cell r="D28">
            <v>5428</v>
          </cell>
          <cell r="E28">
            <v>4310</v>
          </cell>
          <cell r="F28">
            <v>5653</v>
          </cell>
          <cell r="G28">
            <v>4560</v>
          </cell>
          <cell r="H28">
            <v>3269</v>
          </cell>
          <cell r="I28">
            <v>3658</v>
          </cell>
          <cell r="J28">
            <v>6564</v>
          </cell>
          <cell r="K28">
            <v>8048</v>
          </cell>
          <cell r="L28">
            <v>9048</v>
          </cell>
          <cell r="M28">
            <v>6213</v>
          </cell>
          <cell r="N28">
            <v>6992</v>
          </cell>
          <cell r="O28">
            <v>8304</v>
          </cell>
          <cell r="P28">
            <v>3877</v>
          </cell>
          <cell r="Q28">
            <v>2881</v>
          </cell>
          <cell r="R28">
            <v>5647</v>
          </cell>
          <cell r="S28">
            <v>4796</v>
          </cell>
          <cell r="T28">
            <v>4377</v>
          </cell>
          <cell r="U28">
            <v>3487</v>
          </cell>
          <cell r="V28">
            <v>7789</v>
          </cell>
          <cell r="W28">
            <v>3384</v>
          </cell>
          <cell r="X28">
            <v>3019</v>
          </cell>
          <cell r="Y28">
            <v>3159</v>
          </cell>
          <cell r="Z28">
            <v>5055</v>
          </cell>
          <cell r="AA28">
            <v>3093</v>
          </cell>
        </row>
        <row r="29">
          <cell r="C29">
            <v>318</v>
          </cell>
          <cell r="D29">
            <v>10318</v>
          </cell>
          <cell r="E29">
            <v>12318</v>
          </cell>
          <cell r="F29">
            <v>21423</v>
          </cell>
          <cell r="G29">
            <v>20876</v>
          </cell>
          <cell r="H29">
            <v>20885</v>
          </cell>
          <cell r="I29">
            <v>20876</v>
          </cell>
          <cell r="J29">
            <v>40867</v>
          </cell>
          <cell r="K29">
            <v>100666</v>
          </cell>
          <cell r="L29">
            <v>20657</v>
          </cell>
          <cell r="M29">
            <v>10474</v>
          </cell>
          <cell r="N29">
            <v>25000</v>
          </cell>
          <cell r="O29">
            <v>25000</v>
          </cell>
          <cell r="P29">
            <v>15000</v>
          </cell>
          <cell r="Q29">
            <v>15000</v>
          </cell>
          <cell r="R29">
            <v>260016</v>
          </cell>
          <cell r="S29">
            <v>35000</v>
          </cell>
          <cell r="T29">
            <v>35000</v>
          </cell>
          <cell r="U29">
            <v>35000</v>
          </cell>
          <cell r="V29">
            <v>30000</v>
          </cell>
          <cell r="W29">
            <v>40000</v>
          </cell>
          <cell r="X29">
            <v>30000</v>
          </cell>
          <cell r="Y29">
            <v>50000</v>
          </cell>
          <cell r="Z29">
            <v>65000</v>
          </cell>
          <cell r="AA29">
            <v>65000</v>
          </cell>
        </row>
        <row r="30">
          <cell r="C30">
            <v>11504</v>
          </cell>
          <cell r="D30">
            <v>10448</v>
          </cell>
          <cell r="E30">
            <v>7600</v>
          </cell>
          <cell r="F30">
            <v>7722</v>
          </cell>
          <cell r="G30">
            <v>11132</v>
          </cell>
          <cell r="H30">
            <v>11790</v>
          </cell>
          <cell r="I30">
            <v>9585</v>
          </cell>
          <cell r="J30">
            <v>13436</v>
          </cell>
          <cell r="K30">
            <v>16038</v>
          </cell>
          <cell r="L30">
            <v>16752</v>
          </cell>
          <cell r="M30">
            <v>13562</v>
          </cell>
          <cell r="N30">
            <v>32649</v>
          </cell>
          <cell r="O30">
            <v>14764</v>
          </cell>
          <cell r="P30">
            <v>12017</v>
          </cell>
          <cell r="Q30">
            <v>11866</v>
          </cell>
          <cell r="R30">
            <v>20000</v>
          </cell>
          <cell r="S30">
            <v>22571</v>
          </cell>
          <cell r="T30">
            <v>22013</v>
          </cell>
          <cell r="U30">
            <v>19279</v>
          </cell>
          <cell r="V30">
            <v>18782</v>
          </cell>
          <cell r="W30">
            <v>21525</v>
          </cell>
          <cell r="X30">
            <v>20755</v>
          </cell>
          <cell r="Y30">
            <v>13766</v>
          </cell>
          <cell r="Z30">
            <v>12318</v>
          </cell>
          <cell r="AA30">
            <v>16939</v>
          </cell>
        </row>
        <row r="31">
          <cell r="C31">
            <v>27615</v>
          </cell>
          <cell r="D31">
            <v>33338</v>
          </cell>
          <cell r="E31">
            <v>46638</v>
          </cell>
          <cell r="F31">
            <v>54893</v>
          </cell>
          <cell r="G31">
            <v>31954</v>
          </cell>
          <cell r="H31">
            <v>42967</v>
          </cell>
          <cell r="I31">
            <v>59568</v>
          </cell>
          <cell r="J31">
            <v>68885</v>
          </cell>
          <cell r="K31">
            <v>28937</v>
          </cell>
          <cell r="L31">
            <v>42376</v>
          </cell>
          <cell r="M31">
            <v>57402</v>
          </cell>
          <cell r="N31">
            <v>67645</v>
          </cell>
          <cell r="O31">
            <v>43492</v>
          </cell>
          <cell r="P31">
            <v>70496</v>
          </cell>
          <cell r="Q31">
            <v>95833</v>
          </cell>
          <cell r="R31">
            <v>114285</v>
          </cell>
          <cell r="S31">
            <v>52276</v>
          </cell>
          <cell r="T31">
            <v>75698</v>
          </cell>
          <cell r="U31">
            <v>92252</v>
          </cell>
          <cell r="V31">
            <v>108100</v>
          </cell>
          <cell r="W31">
            <v>49955</v>
          </cell>
          <cell r="X31">
            <v>82044</v>
          </cell>
          <cell r="Y31">
            <v>105535</v>
          </cell>
          <cell r="Z31">
            <v>117137</v>
          </cell>
          <cell r="AA31">
            <v>50970</v>
          </cell>
        </row>
        <row r="32">
          <cell r="C32">
            <v>61394</v>
          </cell>
          <cell r="D32">
            <v>60105</v>
          </cell>
          <cell r="E32">
            <v>67305</v>
          </cell>
          <cell r="F32">
            <v>64392</v>
          </cell>
          <cell r="G32">
            <v>66110</v>
          </cell>
          <cell r="H32">
            <v>65286</v>
          </cell>
          <cell r="I32">
            <v>70124</v>
          </cell>
          <cell r="J32">
            <v>74017</v>
          </cell>
          <cell r="K32">
            <v>84747</v>
          </cell>
          <cell r="L32">
            <v>74772</v>
          </cell>
          <cell r="M32">
            <v>73043</v>
          </cell>
          <cell r="N32">
            <v>66410</v>
          </cell>
          <cell r="O32">
            <v>73241</v>
          </cell>
          <cell r="P32">
            <v>76424</v>
          </cell>
          <cell r="Q32">
            <v>67926</v>
          </cell>
          <cell r="R32">
            <v>76350</v>
          </cell>
          <cell r="S32">
            <v>86911</v>
          </cell>
          <cell r="T32">
            <v>89030</v>
          </cell>
          <cell r="U32">
            <v>96800</v>
          </cell>
          <cell r="V32">
            <v>95352</v>
          </cell>
          <cell r="W32">
            <v>133400</v>
          </cell>
          <cell r="X32">
            <v>104480</v>
          </cell>
          <cell r="Y32">
            <v>107730</v>
          </cell>
          <cell r="Z32">
            <v>112900</v>
          </cell>
          <cell r="AA32">
            <v>107059</v>
          </cell>
        </row>
        <row r="33">
          <cell r="C33">
            <v>0</v>
          </cell>
          <cell r="D33">
            <v>0</v>
          </cell>
          <cell r="E33">
            <v>0</v>
          </cell>
          <cell r="F33">
            <v>0</v>
          </cell>
          <cell r="G33">
            <v>22306</v>
          </cell>
          <cell r="H33">
            <v>23439</v>
          </cell>
          <cell r="I33">
            <v>23516</v>
          </cell>
          <cell r="J33">
            <v>24148</v>
          </cell>
          <cell r="K33">
            <v>18236</v>
          </cell>
          <cell r="L33">
            <v>18199</v>
          </cell>
          <cell r="M33">
            <v>19048</v>
          </cell>
          <cell r="N33">
            <v>18894</v>
          </cell>
          <cell r="O33">
            <v>18476</v>
          </cell>
          <cell r="P33">
            <v>18039</v>
          </cell>
          <cell r="Q33">
            <v>18340</v>
          </cell>
          <cell r="R33">
            <v>18487</v>
          </cell>
          <cell r="S33">
            <v>19308</v>
          </cell>
          <cell r="T33">
            <v>18548</v>
          </cell>
          <cell r="U33">
            <v>16740</v>
          </cell>
          <cell r="V33">
            <v>14978</v>
          </cell>
          <cell r="W33">
            <v>14095</v>
          </cell>
          <cell r="X33">
            <v>14482</v>
          </cell>
          <cell r="Y33">
            <v>14008</v>
          </cell>
          <cell r="Z33">
            <v>12780</v>
          </cell>
          <cell r="AA33">
            <v>13486</v>
          </cell>
        </row>
        <row r="34">
          <cell r="C34">
            <v>0</v>
          </cell>
          <cell r="D34">
            <v>0</v>
          </cell>
          <cell r="E34">
            <v>0</v>
          </cell>
          <cell r="F34">
            <v>1012</v>
          </cell>
          <cell r="G34">
            <v>595</v>
          </cell>
          <cell r="H34">
            <v>604</v>
          </cell>
          <cell r="I34">
            <v>575</v>
          </cell>
          <cell r="J34">
            <v>1432</v>
          </cell>
          <cell r="K34">
            <v>1692</v>
          </cell>
          <cell r="L34">
            <v>2359</v>
          </cell>
          <cell r="M34">
            <v>5157</v>
          </cell>
          <cell r="N34">
            <v>3488</v>
          </cell>
          <cell r="O34">
            <v>14443</v>
          </cell>
          <cell r="P34">
            <v>11256</v>
          </cell>
          <cell r="Q34">
            <v>11080</v>
          </cell>
          <cell r="R34">
            <v>901</v>
          </cell>
          <cell r="S34">
            <v>1259</v>
          </cell>
          <cell r="T34">
            <v>21348</v>
          </cell>
          <cell r="U34">
            <v>23410</v>
          </cell>
          <cell r="V34">
            <v>2945</v>
          </cell>
          <cell r="W34">
            <v>18545</v>
          </cell>
          <cell r="X34">
            <v>4283</v>
          </cell>
          <cell r="Y34">
            <v>11948</v>
          </cell>
          <cell r="Z34">
            <v>1213</v>
          </cell>
          <cell r="AA34">
            <v>4894</v>
          </cell>
        </row>
        <row r="35">
          <cell r="C35">
            <v>104945</v>
          </cell>
          <cell r="D35">
            <v>119637</v>
          </cell>
          <cell r="E35">
            <v>138171</v>
          </cell>
          <cell r="F35">
            <v>155095</v>
          </cell>
          <cell r="G35">
            <v>157533</v>
          </cell>
          <cell r="H35">
            <v>168240</v>
          </cell>
          <cell r="I35">
            <v>187902</v>
          </cell>
          <cell r="J35">
            <v>229349</v>
          </cell>
          <cell r="K35">
            <v>258364</v>
          </cell>
          <cell r="L35">
            <v>184163</v>
          </cell>
          <cell r="M35">
            <v>184899</v>
          </cell>
          <cell r="N35">
            <v>221078</v>
          </cell>
          <cell r="O35">
            <v>197720</v>
          </cell>
          <cell r="P35">
            <v>207109</v>
          </cell>
          <cell r="Q35">
            <v>222926</v>
          </cell>
          <cell r="R35">
            <v>495686</v>
          </cell>
          <cell r="S35">
            <v>222121</v>
          </cell>
          <cell r="T35">
            <v>266014</v>
          </cell>
          <cell r="U35">
            <v>286968</v>
          </cell>
          <cell r="V35">
            <v>277946</v>
          </cell>
          <cell r="W35">
            <v>280904</v>
          </cell>
          <cell r="X35">
            <v>259063</v>
          </cell>
          <cell r="Y35">
            <v>306146</v>
          </cell>
          <cell r="Z35">
            <v>326403</v>
          </cell>
          <cell r="AA35">
            <v>261441</v>
          </cell>
        </row>
        <row r="37">
          <cell r="C37">
            <v>67355</v>
          </cell>
          <cell r="D37">
            <v>57326</v>
          </cell>
          <cell r="E37">
            <v>288309</v>
          </cell>
          <cell r="F37">
            <v>263241</v>
          </cell>
          <cell r="G37">
            <v>299765</v>
          </cell>
          <cell r="H37">
            <v>231409</v>
          </cell>
          <cell r="I37">
            <v>223916</v>
          </cell>
          <cell r="J37">
            <v>194131</v>
          </cell>
          <cell r="K37">
            <v>234820</v>
          </cell>
          <cell r="L37">
            <v>215527</v>
          </cell>
          <cell r="M37">
            <v>216235</v>
          </cell>
          <cell r="N37">
            <v>201961</v>
          </cell>
          <cell r="O37">
            <v>202687</v>
          </cell>
          <cell r="P37">
            <v>139432</v>
          </cell>
          <cell r="Q37">
            <v>170000</v>
          </cell>
          <cell r="R37">
            <v>0</v>
          </cell>
          <cell r="S37">
            <v>260000</v>
          </cell>
          <cell r="T37">
            <v>250000</v>
          </cell>
          <cell r="U37">
            <v>235000</v>
          </cell>
          <cell r="V37">
            <v>220000</v>
          </cell>
          <cell r="W37">
            <v>160000</v>
          </cell>
          <cell r="X37">
            <v>190000</v>
          </cell>
          <cell r="Y37">
            <v>160000</v>
          </cell>
          <cell r="Z37">
            <v>135000</v>
          </cell>
          <cell r="AA37">
            <v>280000</v>
          </cell>
        </row>
        <row r="38">
          <cell r="C38">
            <v>0</v>
          </cell>
          <cell r="D38">
            <v>0</v>
          </cell>
          <cell r="E38">
            <v>0</v>
          </cell>
          <cell r="F38">
            <v>0</v>
          </cell>
          <cell r="G38">
            <v>77060</v>
          </cell>
          <cell r="H38">
            <v>80531</v>
          </cell>
          <cell r="I38">
            <v>76080</v>
          </cell>
          <cell r="J38">
            <v>74709</v>
          </cell>
          <cell r="K38">
            <v>93707</v>
          </cell>
          <cell r="L38">
            <v>90934</v>
          </cell>
          <cell r="M38">
            <v>89412</v>
          </cell>
          <cell r="N38">
            <v>84874</v>
          </cell>
          <cell r="O38">
            <v>81948</v>
          </cell>
          <cell r="P38">
            <v>76518</v>
          </cell>
          <cell r="Q38">
            <v>73939</v>
          </cell>
          <cell r="R38">
            <v>68506</v>
          </cell>
          <cell r="S38">
            <v>66173</v>
          </cell>
          <cell r="T38">
            <v>59224</v>
          </cell>
          <cell r="U38">
            <v>54174</v>
          </cell>
          <cell r="V38">
            <v>48155</v>
          </cell>
          <cell r="W38">
            <v>45655</v>
          </cell>
          <cell r="X38">
            <v>50575</v>
          </cell>
          <cell r="Y38">
            <v>48445</v>
          </cell>
          <cell r="Z38">
            <v>58175</v>
          </cell>
          <cell r="AA38">
            <v>59876</v>
          </cell>
        </row>
        <row r="39">
          <cell r="C39">
            <v>0</v>
          </cell>
          <cell r="D39">
            <v>0</v>
          </cell>
          <cell r="E39">
            <v>13352</v>
          </cell>
          <cell r="F39">
            <v>8445</v>
          </cell>
          <cell r="G39">
            <v>10103</v>
          </cell>
          <cell r="H39">
            <v>6366</v>
          </cell>
          <cell r="I39">
            <v>720</v>
          </cell>
          <cell r="J39">
            <v>966</v>
          </cell>
          <cell r="K39">
            <v>773</v>
          </cell>
          <cell r="L39">
            <v>705</v>
          </cell>
          <cell r="M39">
            <v>841</v>
          </cell>
          <cell r="N39">
            <v>847</v>
          </cell>
          <cell r="O39">
            <v>877</v>
          </cell>
          <cell r="P39">
            <v>902</v>
          </cell>
          <cell r="Q39">
            <v>901</v>
          </cell>
          <cell r="R39">
            <v>965</v>
          </cell>
          <cell r="S39">
            <v>928</v>
          </cell>
          <cell r="T39">
            <v>841</v>
          </cell>
          <cell r="U39">
            <v>759</v>
          </cell>
          <cell r="V39">
            <v>547</v>
          </cell>
          <cell r="W39">
            <v>493</v>
          </cell>
          <cell r="X39">
            <v>507</v>
          </cell>
          <cell r="Y39">
            <v>461</v>
          </cell>
          <cell r="Z39">
            <v>1495</v>
          </cell>
          <cell r="AA39">
            <v>1435</v>
          </cell>
        </row>
        <row r="40">
          <cell r="C40">
            <v>24265</v>
          </cell>
          <cell r="D40">
            <v>27821</v>
          </cell>
          <cell r="E40">
            <v>30857</v>
          </cell>
          <cell r="F40">
            <v>16836</v>
          </cell>
          <cell r="G40">
            <v>7286</v>
          </cell>
          <cell r="H40">
            <v>9568</v>
          </cell>
          <cell r="I40">
            <v>9677</v>
          </cell>
          <cell r="J40">
            <v>13932</v>
          </cell>
          <cell r="K40">
            <v>23691</v>
          </cell>
          <cell r="L40">
            <v>21356</v>
          </cell>
          <cell r="M40">
            <v>18166</v>
          </cell>
          <cell r="N40">
            <v>19925</v>
          </cell>
          <cell r="O40">
            <v>16909</v>
          </cell>
          <cell r="P40">
            <v>17371</v>
          </cell>
          <cell r="Q40">
            <v>15319</v>
          </cell>
          <cell r="R40">
            <v>24591</v>
          </cell>
          <cell r="S40">
            <v>24986</v>
          </cell>
          <cell r="T40">
            <v>29202</v>
          </cell>
          <cell r="U40">
            <v>37243</v>
          </cell>
          <cell r="V40">
            <v>41292</v>
          </cell>
          <cell r="W40">
            <v>26297</v>
          </cell>
          <cell r="X40">
            <v>28343</v>
          </cell>
          <cell r="Y40">
            <v>31354</v>
          </cell>
          <cell r="Z40">
            <v>31462</v>
          </cell>
          <cell r="AA40">
            <v>33384</v>
          </cell>
        </row>
        <row r="41">
          <cell r="C41">
            <v>196565</v>
          </cell>
          <cell r="D41">
            <v>204784</v>
          </cell>
          <cell r="E41">
            <v>470689</v>
          </cell>
          <cell r="F41">
            <v>443617</v>
          </cell>
          <cell r="G41">
            <v>551747</v>
          </cell>
          <cell r="H41">
            <v>496114</v>
          </cell>
          <cell r="I41">
            <v>498295</v>
          </cell>
          <cell r="J41">
            <v>513087</v>
          </cell>
          <cell r="K41">
            <v>611355</v>
          </cell>
          <cell r="L41">
            <v>512685</v>
          </cell>
          <cell r="M41">
            <v>509553</v>
          </cell>
          <cell r="N41">
            <v>528685</v>
          </cell>
          <cell r="O41">
            <v>500141</v>
          </cell>
          <cell r="P41">
            <v>441332</v>
          </cell>
          <cell r="Q41">
            <v>483085</v>
          </cell>
          <cell r="R41">
            <v>589748</v>
          </cell>
          <cell r="S41">
            <v>574208</v>
          </cell>
          <cell r="T41">
            <v>605281</v>
          </cell>
          <cell r="U41">
            <v>614144</v>
          </cell>
          <cell r="V41">
            <v>587940</v>
          </cell>
          <cell r="W41">
            <v>513349</v>
          </cell>
          <cell r="X41">
            <v>528488</v>
          </cell>
          <cell r="Y41">
            <v>546406</v>
          </cell>
          <cell r="Z41">
            <v>552535</v>
          </cell>
          <cell r="AA41">
            <v>636136</v>
          </cell>
        </row>
        <row r="45">
          <cell r="C45">
            <v>38</v>
          </cell>
          <cell r="D45">
            <v>38</v>
          </cell>
          <cell r="E45">
            <v>38</v>
          </cell>
          <cell r="F45">
            <v>38</v>
          </cell>
          <cell r="G45">
            <v>38</v>
          </cell>
          <cell r="H45">
            <v>38</v>
          </cell>
          <cell r="I45">
            <v>38</v>
          </cell>
          <cell r="J45">
            <v>39</v>
          </cell>
          <cell r="K45">
            <v>39</v>
          </cell>
          <cell r="L45">
            <v>39</v>
          </cell>
          <cell r="M45">
            <v>39</v>
          </cell>
          <cell r="N45">
            <v>39</v>
          </cell>
          <cell r="O45">
            <v>39</v>
          </cell>
          <cell r="P45">
            <v>39</v>
          </cell>
          <cell r="Q45">
            <v>39</v>
          </cell>
          <cell r="R45">
            <v>40</v>
          </cell>
          <cell r="S45">
            <v>40</v>
          </cell>
          <cell r="T45">
            <v>40</v>
          </cell>
          <cell r="U45">
            <v>40</v>
          </cell>
          <cell r="V45">
            <v>40</v>
          </cell>
          <cell r="W45">
            <v>40</v>
          </cell>
          <cell r="X45">
            <v>40</v>
          </cell>
          <cell r="Y45">
            <v>202</v>
          </cell>
          <cell r="Z45">
            <v>203</v>
          </cell>
          <cell r="AA45">
            <v>204</v>
          </cell>
        </row>
        <row r="46">
          <cell r="C46">
            <v>327750</v>
          </cell>
          <cell r="D46">
            <v>334643</v>
          </cell>
          <cell r="E46">
            <v>344720</v>
          </cell>
          <cell r="F46">
            <v>364179</v>
          </cell>
          <cell r="G46">
            <v>371144</v>
          </cell>
          <cell r="H46">
            <v>378633</v>
          </cell>
          <cell r="I46">
            <v>386060</v>
          </cell>
          <cell r="J46">
            <v>391240</v>
          </cell>
          <cell r="K46">
            <v>396939</v>
          </cell>
          <cell r="L46">
            <v>404704</v>
          </cell>
          <cell r="M46">
            <v>413135</v>
          </cell>
          <cell r="N46">
            <v>420976</v>
          </cell>
          <cell r="O46">
            <v>428882</v>
          </cell>
          <cell r="P46">
            <v>439051</v>
          </cell>
          <cell r="Q46">
            <v>385917</v>
          </cell>
          <cell r="R46">
            <v>395742</v>
          </cell>
          <cell r="S46">
            <v>406966</v>
          </cell>
          <cell r="T46">
            <v>420306</v>
          </cell>
          <cell r="U46">
            <v>432492</v>
          </cell>
          <cell r="V46">
            <v>445108</v>
          </cell>
          <cell r="W46">
            <v>460527</v>
          </cell>
          <cell r="X46">
            <v>472124</v>
          </cell>
          <cell r="Y46">
            <v>492577</v>
          </cell>
          <cell r="Z46">
            <v>508028</v>
          </cell>
          <cell r="AA46">
            <v>502827</v>
          </cell>
        </row>
        <row r="47">
          <cell r="C47">
            <v>450676</v>
          </cell>
          <cell r="D47">
            <v>465138</v>
          </cell>
          <cell r="E47">
            <v>480387</v>
          </cell>
          <cell r="F47">
            <v>484244</v>
          </cell>
          <cell r="G47">
            <v>498939</v>
          </cell>
          <cell r="H47">
            <v>511503</v>
          </cell>
          <cell r="I47">
            <v>530547</v>
          </cell>
          <cell r="J47">
            <v>551903</v>
          </cell>
          <cell r="K47">
            <v>574314</v>
          </cell>
          <cell r="L47">
            <v>582743</v>
          </cell>
          <cell r="M47">
            <v>609161</v>
          </cell>
          <cell r="N47">
            <v>641379</v>
          </cell>
          <cell r="O47">
            <v>673310</v>
          </cell>
          <cell r="P47">
            <v>701331</v>
          </cell>
          <cell r="Q47">
            <v>727838</v>
          </cell>
          <cell r="R47">
            <v>756137</v>
          </cell>
          <cell r="S47">
            <v>792315</v>
          </cell>
          <cell r="T47">
            <v>828161</v>
          </cell>
          <cell r="U47">
            <v>867256</v>
          </cell>
          <cell r="V47">
            <v>899105</v>
          </cell>
          <cell r="W47">
            <v>950436</v>
          </cell>
          <cell r="X47">
            <v>999504</v>
          </cell>
          <cell r="Y47">
            <v>1043380</v>
          </cell>
          <cell r="Z47">
            <v>1083663</v>
          </cell>
          <cell r="AA47">
            <v>1132426</v>
          </cell>
        </row>
        <row r="48">
          <cell r="C48">
            <v>-59670</v>
          </cell>
          <cell r="D48">
            <v>-87621</v>
          </cell>
          <cell r="E48">
            <v>-114330</v>
          </cell>
          <cell r="F48">
            <v>-83467</v>
          </cell>
          <cell r="G48">
            <v>-77212</v>
          </cell>
          <cell r="H48">
            <v>-74358</v>
          </cell>
          <cell r="I48">
            <v>-86153</v>
          </cell>
          <cell r="J48">
            <v>-84892</v>
          </cell>
          <cell r="K48">
            <v>-113104</v>
          </cell>
          <cell r="L48">
            <v>-104274</v>
          </cell>
          <cell r="M48">
            <v>-85217</v>
          </cell>
          <cell r="N48">
            <v>-74984</v>
          </cell>
          <cell r="O48">
            <v>-78753</v>
          </cell>
          <cell r="P48">
            <v>-86745</v>
          </cell>
          <cell r="Q48">
            <v>-92257</v>
          </cell>
          <cell r="R48">
            <v>-89474</v>
          </cell>
          <cell r="S48">
            <v>-98306</v>
          </cell>
          <cell r="T48">
            <v>-133374</v>
          </cell>
          <cell r="U48">
            <v>-154203</v>
          </cell>
          <cell r="V48">
            <v>-144143</v>
          </cell>
          <cell r="W48">
            <v>-131487</v>
          </cell>
          <cell r="X48">
            <v>-124147</v>
          </cell>
          <cell r="Y48">
            <v>-136805</v>
          </cell>
          <cell r="Z48">
            <v>-127040</v>
          </cell>
          <cell r="AA48">
            <v>-130436</v>
          </cell>
        </row>
        <row r="49">
          <cell r="C49">
            <v>-117320</v>
          </cell>
          <cell r="D49">
            <v>-126952</v>
          </cell>
          <cell r="E49">
            <v>-136609</v>
          </cell>
          <cell r="F49">
            <v>-146925</v>
          </cell>
          <cell r="G49">
            <v>-162333</v>
          </cell>
          <cell r="H49">
            <v>-174463</v>
          </cell>
          <cell r="I49">
            <v>-182809</v>
          </cell>
          <cell r="J49">
            <v>-188289</v>
          </cell>
          <cell r="K49">
            <v>-202284</v>
          </cell>
          <cell r="L49">
            <v>-202284</v>
          </cell>
          <cell r="M49">
            <v>-227190</v>
          </cell>
          <cell r="N49">
            <v>-268238</v>
          </cell>
          <cell r="O49">
            <v>-297253</v>
          </cell>
          <cell r="P49">
            <v>-325662</v>
          </cell>
          <cell r="Q49">
            <v>-336552</v>
          </cell>
          <cell r="R49">
            <v>-369289</v>
          </cell>
          <cell r="S49">
            <v>-400674</v>
          </cell>
          <cell r="T49">
            <v>-429480</v>
          </cell>
          <cell r="U49">
            <v>-441001</v>
          </cell>
          <cell r="V49">
            <v>-441931</v>
          </cell>
          <cell r="W49">
            <v>-484294</v>
          </cell>
          <cell r="X49">
            <v>-513307</v>
          </cell>
          <cell r="Y49">
            <v>-543267</v>
          </cell>
          <cell r="Z49">
            <v>-575417</v>
          </cell>
          <cell r="AA49">
            <v>-701766</v>
          </cell>
        </row>
        <row r="50">
          <cell r="C50">
            <v>601474</v>
          </cell>
          <cell r="D50">
            <v>585246</v>
          </cell>
          <cell r="E50">
            <v>574206</v>
          </cell>
          <cell r="F50">
            <v>618069</v>
          </cell>
          <cell r="G50">
            <v>630576</v>
          </cell>
          <cell r="H50">
            <v>641353</v>
          </cell>
          <cell r="I50">
            <v>647683</v>
          </cell>
          <cell r="J50">
            <v>670001</v>
          </cell>
          <cell r="K50">
            <v>655904</v>
          </cell>
          <cell r="L50">
            <v>680928</v>
          </cell>
          <cell r="M50">
            <v>709928</v>
          </cell>
          <cell r="N50">
            <v>719172</v>
          </cell>
          <cell r="O50">
            <v>726225</v>
          </cell>
          <cell r="P50">
            <v>728014</v>
          </cell>
          <cell r="Q50">
            <v>684985</v>
          </cell>
          <cell r="R50">
            <v>693156</v>
          </cell>
          <cell r="S50">
            <v>700341</v>
          </cell>
          <cell r="T50">
            <v>685653</v>
          </cell>
          <cell r="U50">
            <v>704584</v>
          </cell>
          <cell r="V50">
            <v>758179</v>
          </cell>
          <cell r="W50">
            <v>795222</v>
          </cell>
          <cell r="X50">
            <v>834214</v>
          </cell>
          <cell r="Y50">
            <v>856087</v>
          </cell>
          <cell r="Z50">
            <v>889437</v>
          </cell>
          <cell r="AA50">
            <v>803255</v>
          </cell>
        </row>
        <row r="51">
          <cell r="C51">
            <v>231</v>
          </cell>
          <cell r="D51">
            <v>233</v>
          </cell>
          <cell r="E51">
            <v>242</v>
          </cell>
          <cell r="F51">
            <v>250</v>
          </cell>
          <cell r="G51">
            <v>259</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row>
        <row r="52">
          <cell r="C52">
            <v>601705</v>
          </cell>
          <cell r="D52">
            <v>585479</v>
          </cell>
          <cell r="E52">
            <v>574448</v>
          </cell>
          <cell r="F52">
            <v>618319</v>
          </cell>
          <cell r="G52">
            <v>630835</v>
          </cell>
          <cell r="H52">
            <v>641353</v>
          </cell>
          <cell r="I52">
            <v>647683</v>
          </cell>
          <cell r="J52">
            <v>670001</v>
          </cell>
          <cell r="K52">
            <v>655904</v>
          </cell>
          <cell r="L52">
            <v>680928</v>
          </cell>
          <cell r="M52">
            <v>709928</v>
          </cell>
          <cell r="N52">
            <v>719172</v>
          </cell>
          <cell r="O52">
            <v>726225</v>
          </cell>
          <cell r="P52">
            <v>728014</v>
          </cell>
          <cell r="Q52">
            <v>684985</v>
          </cell>
          <cell r="R52">
            <v>693156</v>
          </cell>
          <cell r="S52">
            <v>700341</v>
          </cell>
          <cell r="T52">
            <v>685653</v>
          </cell>
          <cell r="U52">
            <v>704584</v>
          </cell>
          <cell r="V52">
            <v>758179</v>
          </cell>
          <cell r="W52">
            <v>795222</v>
          </cell>
          <cell r="X52">
            <v>834214</v>
          </cell>
          <cell r="Y52">
            <v>856087</v>
          </cell>
          <cell r="Z52">
            <v>889437</v>
          </cell>
          <cell r="AA52">
            <v>803255</v>
          </cell>
        </row>
        <row r="54">
          <cell r="C54">
            <v>798270</v>
          </cell>
          <cell r="D54">
            <v>790263</v>
          </cell>
          <cell r="E54">
            <v>1045137</v>
          </cell>
          <cell r="F54">
            <v>1061936</v>
          </cell>
          <cell r="G54">
            <v>1182582</v>
          </cell>
          <cell r="H54">
            <v>1137467</v>
          </cell>
          <cell r="I54">
            <v>1145978</v>
          </cell>
          <cell r="J54">
            <v>1183088</v>
          </cell>
          <cell r="K54">
            <v>1267259</v>
          </cell>
          <cell r="L54">
            <v>1193613</v>
          </cell>
          <cell r="M54">
            <v>1219481</v>
          </cell>
          <cell r="N54">
            <v>1247857</v>
          </cell>
          <cell r="O54">
            <v>1226366</v>
          </cell>
          <cell r="P54">
            <v>1169346</v>
          </cell>
          <cell r="Q54">
            <v>1168070</v>
          </cell>
          <cell r="R54">
            <v>1282904</v>
          </cell>
          <cell r="S54">
            <v>1274549</v>
          </cell>
          <cell r="T54">
            <v>1290934</v>
          </cell>
          <cell r="U54">
            <v>1318728</v>
          </cell>
          <cell r="V54">
            <v>1346119</v>
          </cell>
          <cell r="W54">
            <v>1308571</v>
          </cell>
          <cell r="X54">
            <v>1362702</v>
          </cell>
          <cell r="Y54">
            <v>1402493</v>
          </cell>
          <cell r="Z54">
            <v>1441972</v>
          </cell>
          <cell r="AA54">
            <v>1439391</v>
          </cell>
        </row>
      </sheetData>
      <sheetData sheetId="3">
        <row r="8">
          <cell r="B8">
            <v>23158</v>
          </cell>
          <cell r="C8">
            <v>14462</v>
          </cell>
          <cell r="D8">
            <v>15249</v>
          </cell>
          <cell r="E8">
            <v>3857</v>
          </cell>
          <cell r="F8">
            <v>56726</v>
          </cell>
          <cell r="G8">
            <v>14695</v>
          </cell>
          <cell r="H8">
            <v>12564</v>
          </cell>
          <cell r="I8">
            <v>19044</v>
          </cell>
          <cell r="J8">
            <v>21356</v>
          </cell>
          <cell r="K8">
            <v>67659</v>
          </cell>
          <cell r="L8">
            <v>0</v>
          </cell>
          <cell r="M8">
            <v>22411</v>
          </cell>
          <cell r="N8">
            <v>8429</v>
          </cell>
          <cell r="O8">
            <v>26418</v>
          </cell>
          <cell r="P8">
            <v>32218</v>
          </cell>
          <cell r="Q8">
            <v>89476</v>
          </cell>
          <cell r="R8">
            <v>31931</v>
          </cell>
          <cell r="S8">
            <v>28021</v>
          </cell>
          <cell r="T8">
            <v>26507</v>
          </cell>
          <cell r="U8">
            <v>28299</v>
          </cell>
          <cell r="V8">
            <v>114758</v>
          </cell>
          <cell r="W8">
            <v>36178</v>
          </cell>
          <cell r="X8">
            <v>35846</v>
          </cell>
          <cell r="Y8">
            <v>39095</v>
          </cell>
          <cell r="Z8">
            <v>31849</v>
          </cell>
          <cell r="AA8">
            <v>142968</v>
          </cell>
          <cell r="AB8">
            <v>51331</v>
          </cell>
          <cell r="AC8">
            <v>49068</v>
          </cell>
          <cell r="AD8">
            <v>43876</v>
          </cell>
          <cell r="AE8">
            <v>40283</v>
          </cell>
          <cell r="AF8">
            <v>184558</v>
          </cell>
          <cell r="AG8">
            <v>48763</v>
          </cell>
        </row>
        <row r="10">
          <cell r="B10">
            <v>10655</v>
          </cell>
          <cell r="C10">
            <v>10625</v>
          </cell>
          <cell r="D10">
            <v>14065</v>
          </cell>
          <cell r="E10">
            <v>13374</v>
          </cell>
          <cell r="F10">
            <v>48719</v>
          </cell>
          <cell r="G10">
            <v>13724</v>
          </cell>
          <cell r="H10">
            <v>12808</v>
          </cell>
          <cell r="I10">
            <v>13101</v>
          </cell>
          <cell r="J10">
            <v>12560</v>
          </cell>
          <cell r="K10">
            <v>52193</v>
          </cell>
          <cell r="L10">
            <v>0</v>
          </cell>
          <cell r="M10">
            <v>12472</v>
          </cell>
          <cell r="N10">
            <v>12334</v>
          </cell>
          <cell r="O10">
            <v>12443</v>
          </cell>
          <cell r="P10">
            <v>13264</v>
          </cell>
          <cell r="Q10">
            <v>50513</v>
          </cell>
          <cell r="R10">
            <v>12266</v>
          </cell>
          <cell r="S10">
            <v>12468</v>
          </cell>
          <cell r="T10">
            <v>12425</v>
          </cell>
          <cell r="U10">
            <v>12497</v>
          </cell>
          <cell r="V10">
            <v>49656</v>
          </cell>
          <cell r="W10">
            <v>13669</v>
          </cell>
          <cell r="X10">
            <v>14070</v>
          </cell>
          <cell r="Y10">
            <v>14254</v>
          </cell>
          <cell r="Z10">
            <v>14109</v>
          </cell>
          <cell r="AA10">
            <v>56102</v>
          </cell>
          <cell r="AB10">
            <v>13408</v>
          </cell>
          <cell r="AC10">
            <v>13056</v>
          </cell>
          <cell r="AD10">
            <v>11546</v>
          </cell>
          <cell r="AE10">
            <v>12270</v>
          </cell>
          <cell r="AF10">
            <v>50280</v>
          </cell>
          <cell r="AG10">
            <v>12337</v>
          </cell>
        </row>
        <row r="12">
          <cell r="B12">
            <v>0</v>
          </cell>
          <cell r="C12">
            <v>0</v>
          </cell>
          <cell r="D12">
            <v>0</v>
          </cell>
          <cell r="E12">
            <v>600.47593517868052</v>
          </cell>
          <cell r="F12">
            <v>600.47593517868052</v>
          </cell>
          <cell r="G12">
            <v>600.47593517868052</v>
          </cell>
          <cell r="H12">
            <v>617.52406482131948</v>
          </cell>
          <cell r="I12">
            <v>618</v>
          </cell>
          <cell r="J12">
            <v>636</v>
          </cell>
          <cell r="K12">
            <v>2472</v>
          </cell>
          <cell r="L12">
            <v>0</v>
          </cell>
          <cell r="M12">
            <v>635</v>
          </cell>
          <cell r="N12">
            <v>654</v>
          </cell>
          <cell r="O12">
            <v>654</v>
          </cell>
          <cell r="P12">
            <v>673</v>
          </cell>
          <cell r="Q12">
            <v>2616</v>
          </cell>
          <cell r="R12">
            <v>673</v>
          </cell>
          <cell r="S12">
            <v>691</v>
          </cell>
          <cell r="T12">
            <v>431</v>
          </cell>
          <cell r="U12">
            <v>0</v>
          </cell>
          <cell r="V12">
            <v>1795</v>
          </cell>
          <cell r="W12">
            <v>0</v>
          </cell>
          <cell r="X12">
            <v>0</v>
          </cell>
          <cell r="Y12">
            <v>0</v>
          </cell>
          <cell r="Z12">
            <v>0</v>
          </cell>
          <cell r="AA12">
            <v>0</v>
          </cell>
          <cell r="AB12">
            <v>0</v>
          </cell>
          <cell r="AC12">
            <v>0</v>
          </cell>
          <cell r="AD12">
            <v>0</v>
          </cell>
          <cell r="AE12">
            <v>0</v>
          </cell>
          <cell r="AF12">
            <v>0</v>
          </cell>
          <cell r="AG12">
            <v>0</v>
          </cell>
        </row>
        <row r="13">
          <cell r="B13">
            <v>5074</v>
          </cell>
          <cell r="C13">
            <v>6892</v>
          </cell>
          <cell r="D13">
            <v>5345</v>
          </cell>
          <cell r="E13">
            <v>6590</v>
          </cell>
          <cell r="F13">
            <v>23901</v>
          </cell>
          <cell r="G13">
            <v>6956</v>
          </cell>
          <cell r="H13">
            <v>7155</v>
          </cell>
          <cell r="I13">
            <v>7427</v>
          </cell>
          <cell r="J13">
            <v>4532</v>
          </cell>
          <cell r="K13">
            <v>26070</v>
          </cell>
          <cell r="L13">
            <v>0</v>
          </cell>
          <cell r="M13">
            <v>4778</v>
          </cell>
          <cell r="N13">
            <v>7726</v>
          </cell>
          <cell r="O13">
            <v>8346</v>
          </cell>
          <cell r="P13">
            <v>7385</v>
          </cell>
          <cell r="Q13">
            <v>28235</v>
          </cell>
          <cell r="R13">
            <v>7832</v>
          </cell>
          <cell r="S13">
            <v>10070</v>
          </cell>
          <cell r="T13">
            <v>10894</v>
          </cell>
          <cell r="U13">
            <v>9825</v>
          </cell>
          <cell r="V13">
            <v>38621</v>
          </cell>
          <cell r="W13">
            <v>11224</v>
          </cell>
          <cell r="X13">
            <v>13340</v>
          </cell>
          <cell r="Y13">
            <v>12186</v>
          </cell>
          <cell r="Z13">
            <v>12616</v>
          </cell>
          <cell r="AA13">
            <v>49366</v>
          </cell>
          <cell r="AB13">
            <v>14407</v>
          </cell>
          <cell r="AC13">
            <v>11511</v>
          </cell>
          <cell r="AD13">
            <v>17067</v>
          </cell>
          <cell r="AE13">
            <v>15452</v>
          </cell>
          <cell r="AF13">
            <v>58437</v>
          </cell>
          <cell r="AG13">
            <v>17852</v>
          </cell>
        </row>
        <row r="14">
          <cell r="F14">
            <v>0</v>
          </cell>
          <cell r="G14">
            <v>0</v>
          </cell>
          <cell r="H14">
            <v>0</v>
          </cell>
          <cell r="I14">
            <v>0</v>
          </cell>
          <cell r="J14">
            <v>0</v>
          </cell>
          <cell r="K14">
            <v>0</v>
          </cell>
          <cell r="L14">
            <v>0</v>
          </cell>
          <cell r="M14">
            <v>0</v>
          </cell>
          <cell r="N14">
            <v>0</v>
          </cell>
          <cell r="O14">
            <v>0</v>
          </cell>
          <cell r="P14">
            <v>0</v>
          </cell>
          <cell r="Q14">
            <v>0</v>
          </cell>
          <cell r="R14">
            <v>0</v>
          </cell>
          <cell r="S14">
            <v>0</v>
          </cell>
          <cell r="T14">
            <v>12845</v>
          </cell>
          <cell r="U14">
            <v>0</v>
          </cell>
          <cell r="V14">
            <v>12845</v>
          </cell>
          <cell r="W14">
            <v>0</v>
          </cell>
          <cell r="X14">
            <v>0</v>
          </cell>
          <cell r="Y14">
            <v>0</v>
          </cell>
          <cell r="Z14">
            <v>0</v>
          </cell>
          <cell r="AA14">
            <v>0</v>
          </cell>
          <cell r="AB14">
            <v>0</v>
          </cell>
          <cell r="AC14">
            <v>0</v>
          </cell>
          <cell r="AD14">
            <v>0</v>
          </cell>
          <cell r="AE14">
            <v>0</v>
          </cell>
          <cell r="AF14">
            <v>0</v>
          </cell>
          <cell r="AG14">
            <v>0</v>
          </cell>
        </row>
        <row r="15">
          <cell r="B15">
            <v>56</v>
          </cell>
          <cell r="C15">
            <v>58</v>
          </cell>
          <cell r="D15">
            <v>62</v>
          </cell>
          <cell r="E15">
            <v>71</v>
          </cell>
          <cell r="F15">
            <v>247</v>
          </cell>
          <cell r="G15">
            <v>67</v>
          </cell>
          <cell r="H15">
            <v>62</v>
          </cell>
          <cell r="I15">
            <v>69</v>
          </cell>
          <cell r="J15">
            <v>71</v>
          </cell>
          <cell r="K15">
            <v>269</v>
          </cell>
          <cell r="L15">
            <v>0</v>
          </cell>
          <cell r="M15">
            <v>55</v>
          </cell>
          <cell r="N15">
            <v>66</v>
          </cell>
          <cell r="O15">
            <v>72</v>
          </cell>
          <cell r="P15">
            <v>34</v>
          </cell>
          <cell r="Q15">
            <v>227</v>
          </cell>
          <cell r="R15">
            <v>36</v>
          </cell>
          <cell r="S15">
            <v>-8</v>
          </cell>
          <cell r="T15">
            <v>-28</v>
          </cell>
          <cell r="U15">
            <v>-47</v>
          </cell>
          <cell r="V15">
            <v>-47</v>
          </cell>
          <cell r="W15">
            <v>-114</v>
          </cell>
          <cell r="X15">
            <v>-143</v>
          </cell>
          <cell r="Y15">
            <v>-109</v>
          </cell>
          <cell r="Z15">
            <v>-68</v>
          </cell>
          <cell r="AA15">
            <v>-434</v>
          </cell>
          <cell r="AB15">
            <v>-66</v>
          </cell>
          <cell r="AC15">
            <v>-66</v>
          </cell>
          <cell r="AD15">
            <v>-25</v>
          </cell>
          <cell r="AE15">
            <v>4</v>
          </cell>
          <cell r="AF15">
            <v>-153</v>
          </cell>
          <cell r="AG15">
            <v>28</v>
          </cell>
        </row>
        <row r="19">
          <cell r="B19">
            <v>-3319</v>
          </cell>
          <cell r="C19">
            <v>-4463</v>
          </cell>
          <cell r="D19">
            <v>-6593</v>
          </cell>
          <cell r="E19">
            <v>5755</v>
          </cell>
          <cell r="F19">
            <v>-8620</v>
          </cell>
          <cell r="G19">
            <v>127</v>
          </cell>
          <cell r="H19">
            <v>1840</v>
          </cell>
          <cell r="I19">
            <v>-1948</v>
          </cell>
          <cell r="J19">
            <v>-340</v>
          </cell>
          <cell r="K19">
            <v>-321</v>
          </cell>
          <cell r="L19">
            <v>0</v>
          </cell>
          <cell r="M19">
            <v>-6490</v>
          </cell>
          <cell r="N19">
            <v>3112</v>
          </cell>
          <cell r="O19">
            <v>2894</v>
          </cell>
          <cell r="P19">
            <v>886</v>
          </cell>
          <cell r="Q19">
            <v>402</v>
          </cell>
          <cell r="R19">
            <v>-1139</v>
          </cell>
          <cell r="S19">
            <v>-1495</v>
          </cell>
          <cell r="T19">
            <v>-1165</v>
          </cell>
          <cell r="U19">
            <v>-22</v>
          </cell>
          <cell r="V19">
            <v>-3821</v>
          </cell>
          <cell r="W19">
            <v>-3165</v>
          </cell>
          <cell r="X19">
            <v>-7115</v>
          </cell>
          <cell r="Y19">
            <v>-6533</v>
          </cell>
          <cell r="Z19">
            <v>170</v>
          </cell>
          <cell r="AA19">
            <v>-16643</v>
          </cell>
          <cell r="AB19">
            <v>2814</v>
          </cell>
          <cell r="AC19">
            <v>-1526</v>
          </cell>
          <cell r="AD19">
            <v>-2150</v>
          </cell>
          <cell r="AE19">
            <v>-501</v>
          </cell>
          <cell r="AF19">
            <v>-1363</v>
          </cell>
          <cell r="AG19">
            <v>-274</v>
          </cell>
        </row>
        <row r="20">
          <cell r="B20">
            <v>-2842</v>
          </cell>
          <cell r="C20">
            <v>-1098</v>
          </cell>
          <cell r="D20">
            <v>-1483</v>
          </cell>
          <cell r="E20">
            <v>-2273</v>
          </cell>
          <cell r="F20">
            <v>-7696</v>
          </cell>
          <cell r="G20">
            <v>-3185</v>
          </cell>
          <cell r="H20">
            <v>-1177</v>
          </cell>
          <cell r="I20">
            <v>-3081</v>
          </cell>
          <cell r="J20">
            <v>-2673</v>
          </cell>
          <cell r="K20">
            <v>-10116</v>
          </cell>
          <cell r="L20">
            <v>0</v>
          </cell>
          <cell r="M20">
            <v>267</v>
          </cell>
          <cell r="N20">
            <v>-3109</v>
          </cell>
          <cell r="O20">
            <v>-1965</v>
          </cell>
          <cell r="P20">
            <v>-2367</v>
          </cell>
          <cell r="Q20">
            <v>-7174</v>
          </cell>
          <cell r="R20">
            <v>-1103</v>
          </cell>
          <cell r="S20">
            <v>7880</v>
          </cell>
          <cell r="T20">
            <v>-790</v>
          </cell>
          <cell r="U20">
            <v>-848</v>
          </cell>
          <cell r="V20">
            <v>5139</v>
          </cell>
          <cell r="W20">
            <v>-384</v>
          </cell>
          <cell r="X20">
            <v>109</v>
          </cell>
          <cell r="Y20">
            <v>-200</v>
          </cell>
          <cell r="Z20">
            <v>-734</v>
          </cell>
          <cell r="AA20">
            <v>-1209</v>
          </cell>
          <cell r="AB20">
            <v>8186</v>
          </cell>
          <cell r="AC20">
            <v>-964</v>
          </cell>
          <cell r="AD20">
            <v>-1219</v>
          </cell>
          <cell r="AE20">
            <v>11041</v>
          </cell>
          <cell r="AF20">
            <v>17044</v>
          </cell>
          <cell r="AG20">
            <v>353</v>
          </cell>
        </row>
        <row r="21">
          <cell r="B21">
            <v>3433</v>
          </cell>
          <cell r="C21">
            <v>-2890</v>
          </cell>
          <cell r="D21">
            <v>-1529</v>
          </cell>
          <cell r="E21">
            <v>361</v>
          </cell>
          <cell r="F21">
            <v>-625</v>
          </cell>
          <cell r="G21">
            <v>1049</v>
          </cell>
          <cell r="H21">
            <v>-3680</v>
          </cell>
          <cell r="I21">
            <v>-4228</v>
          </cell>
          <cell r="J21">
            <v>-5486</v>
          </cell>
          <cell r="K21">
            <v>-12345</v>
          </cell>
          <cell r="L21">
            <v>0</v>
          </cell>
          <cell r="M21">
            <v>3539</v>
          </cell>
          <cell r="N21">
            <v>-4202</v>
          </cell>
          <cell r="O21">
            <v>-909</v>
          </cell>
          <cell r="P21">
            <v>4269</v>
          </cell>
          <cell r="Q21">
            <v>2697</v>
          </cell>
          <cell r="R21">
            <v>-2695</v>
          </cell>
          <cell r="S21">
            <v>-12042</v>
          </cell>
          <cell r="T21">
            <v>-2637</v>
          </cell>
          <cell r="U21">
            <v>-2953</v>
          </cell>
          <cell r="V21">
            <v>-20327</v>
          </cell>
          <cell r="W21">
            <v>-193</v>
          </cell>
          <cell r="X21">
            <v>-1269</v>
          </cell>
          <cell r="Y21">
            <v>-4159</v>
          </cell>
          <cell r="Z21">
            <v>-13931</v>
          </cell>
          <cell r="AA21">
            <v>-19552</v>
          </cell>
          <cell r="AB21">
            <v>-9444</v>
          </cell>
          <cell r="AC21">
            <v>-8839</v>
          </cell>
          <cell r="AD21">
            <v>-8272</v>
          </cell>
          <cell r="AE21">
            <v>-5187</v>
          </cell>
          <cell r="AF21">
            <v>-31742</v>
          </cell>
          <cell r="AG21">
            <v>-8680</v>
          </cell>
        </row>
        <row r="22">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row>
        <row r="23">
          <cell r="B23">
            <v>0</v>
          </cell>
          <cell r="C23">
            <v>0</v>
          </cell>
          <cell r="D23">
            <v>0</v>
          </cell>
          <cell r="E23">
            <v>20056</v>
          </cell>
          <cell r="F23">
            <v>20056</v>
          </cell>
          <cell r="G23">
            <v>1227</v>
          </cell>
          <cell r="H23">
            <v>1940</v>
          </cell>
          <cell r="I23">
            <v>0</v>
          </cell>
          <cell r="J23">
            <v>460</v>
          </cell>
          <cell r="K23">
            <v>3627</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row>
        <row r="24">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row>
        <row r="25">
          <cell r="B25">
            <v>-612</v>
          </cell>
          <cell r="C25">
            <v>22</v>
          </cell>
          <cell r="D25">
            <v>-30</v>
          </cell>
          <cell r="E25">
            <v>47</v>
          </cell>
          <cell r="F25">
            <v>-573</v>
          </cell>
          <cell r="G25">
            <v>298</v>
          </cell>
          <cell r="H25">
            <v>-17</v>
          </cell>
          <cell r="I25">
            <v>152</v>
          </cell>
          <cell r="J25">
            <v>181</v>
          </cell>
          <cell r="K25">
            <v>614</v>
          </cell>
          <cell r="L25">
            <v>0</v>
          </cell>
          <cell r="M25">
            <v>195</v>
          </cell>
          <cell r="N25">
            <v>194</v>
          </cell>
          <cell r="O25">
            <v>-36</v>
          </cell>
          <cell r="P25">
            <v>-56</v>
          </cell>
          <cell r="Q25">
            <v>297</v>
          </cell>
          <cell r="R25">
            <v>48</v>
          </cell>
          <cell r="S25">
            <v>-438</v>
          </cell>
          <cell r="T25">
            <v>-15</v>
          </cell>
          <cell r="U25">
            <v>-59</v>
          </cell>
          <cell r="V25">
            <v>-464</v>
          </cell>
          <cell r="W25">
            <v>34</v>
          </cell>
          <cell r="X25">
            <v>136</v>
          </cell>
          <cell r="Y25">
            <v>7</v>
          </cell>
          <cell r="Z25">
            <v>506</v>
          </cell>
          <cell r="AA25">
            <v>683</v>
          </cell>
          <cell r="AB25">
            <v>342</v>
          </cell>
          <cell r="AC25">
            <v>137</v>
          </cell>
          <cell r="AD25">
            <v>1965</v>
          </cell>
          <cell r="AE25">
            <v>9</v>
          </cell>
          <cell r="AF25">
            <v>2453</v>
          </cell>
          <cell r="AG25">
            <v>-240</v>
          </cell>
        </row>
        <row r="26">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1000</v>
          </cell>
          <cell r="Y26">
            <v>0</v>
          </cell>
          <cell r="Z26">
            <v>7250</v>
          </cell>
          <cell r="AA26">
            <v>8250</v>
          </cell>
          <cell r="AB26">
            <v>0</v>
          </cell>
          <cell r="AC26">
            <v>0</v>
          </cell>
          <cell r="AD26">
            <v>2500</v>
          </cell>
          <cell r="AE26">
            <v>-600</v>
          </cell>
          <cell r="AF26">
            <v>1900</v>
          </cell>
          <cell r="AG26">
            <v>-589</v>
          </cell>
        </row>
        <row r="27">
          <cell r="B27">
            <v>0</v>
          </cell>
          <cell r="C27">
            <v>0</v>
          </cell>
          <cell r="D27">
            <v>0</v>
          </cell>
          <cell r="E27">
            <v>0</v>
          </cell>
          <cell r="F27">
            <v>0</v>
          </cell>
          <cell r="G27">
            <v>0</v>
          </cell>
          <cell r="H27">
            <v>13701</v>
          </cell>
          <cell r="I27">
            <v>6843</v>
          </cell>
          <cell r="J27">
            <v>6791</v>
          </cell>
          <cell r="K27">
            <v>27335</v>
          </cell>
          <cell r="L27">
            <v>0</v>
          </cell>
          <cell r="M27">
            <v>6853</v>
          </cell>
          <cell r="N27">
            <v>6850</v>
          </cell>
          <cell r="O27">
            <v>6781</v>
          </cell>
          <cell r="P27">
            <v>6662</v>
          </cell>
          <cell r="Q27">
            <v>27146</v>
          </cell>
          <cell r="R27">
            <v>6761</v>
          </cell>
          <cell r="S27">
            <v>6871</v>
          </cell>
          <cell r="T27">
            <v>6380</v>
          </cell>
          <cell r="U27">
            <v>6314</v>
          </cell>
          <cell r="V27">
            <v>26326</v>
          </cell>
          <cell r="W27">
            <v>6043</v>
          </cell>
          <cell r="X27">
            <v>5962</v>
          </cell>
          <cell r="Y27">
            <v>5360</v>
          </cell>
          <cell r="Z27">
            <v>4418</v>
          </cell>
          <cell r="AA27">
            <v>21783</v>
          </cell>
          <cell r="AB27">
            <v>4883</v>
          </cell>
          <cell r="AC27">
            <v>5449</v>
          </cell>
          <cell r="AD27">
            <v>4839</v>
          </cell>
          <cell r="AE27">
            <v>5017</v>
          </cell>
          <cell r="AF27">
            <v>20188</v>
          </cell>
          <cell r="AG27">
            <v>4995</v>
          </cell>
        </row>
        <row r="28">
          <cell r="B28">
            <v>28</v>
          </cell>
          <cell r="C28">
            <v>95</v>
          </cell>
          <cell r="D28">
            <v>70</v>
          </cell>
          <cell r="E28">
            <v>110</v>
          </cell>
          <cell r="F28">
            <v>303</v>
          </cell>
          <cell r="G28">
            <v>416</v>
          </cell>
          <cell r="H28">
            <v>544.57432654008653</v>
          </cell>
          <cell r="I28">
            <v>-1109.1716799999977</v>
          </cell>
          <cell r="J28">
            <v>-1056.4026465400889</v>
          </cell>
          <cell r="K28">
            <v>-1205</v>
          </cell>
          <cell r="L28">
            <v>0</v>
          </cell>
          <cell r="M28">
            <v>-26</v>
          </cell>
          <cell r="N28">
            <v>-1178</v>
          </cell>
          <cell r="O28">
            <v>269</v>
          </cell>
          <cell r="P28">
            <v>393</v>
          </cell>
          <cell r="Q28">
            <v>-542</v>
          </cell>
          <cell r="R28">
            <v>216</v>
          </cell>
          <cell r="S28">
            <v>-72</v>
          </cell>
          <cell r="T28">
            <v>446</v>
          </cell>
          <cell r="U28">
            <v>-374</v>
          </cell>
          <cell r="V28">
            <v>216</v>
          </cell>
          <cell r="W28">
            <v>819</v>
          </cell>
          <cell r="X28">
            <v>-36</v>
          </cell>
          <cell r="Y28">
            <v>823</v>
          </cell>
          <cell r="Z28">
            <v>-662</v>
          </cell>
          <cell r="AA28">
            <v>944</v>
          </cell>
          <cell r="AB28">
            <v>1226</v>
          </cell>
          <cell r="AC28">
            <v>108</v>
          </cell>
          <cell r="AD28">
            <v>207</v>
          </cell>
          <cell r="AE28">
            <v>-440</v>
          </cell>
          <cell r="AF28">
            <v>1101</v>
          </cell>
          <cell r="AG28">
            <v>348</v>
          </cell>
        </row>
        <row r="30">
          <cell r="B30">
            <v>0</v>
          </cell>
          <cell r="C30">
            <v>0</v>
          </cell>
          <cell r="D30">
            <v>0</v>
          </cell>
          <cell r="E30">
            <v>0</v>
          </cell>
          <cell r="F30">
            <v>0</v>
          </cell>
          <cell r="G30">
            <v>0</v>
          </cell>
          <cell r="H30">
            <v>0</v>
          </cell>
          <cell r="I30">
            <v>0</v>
          </cell>
          <cell r="J30">
            <v>0</v>
          </cell>
          <cell r="K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B30">
            <v>0</v>
          </cell>
          <cell r="AC30">
            <v>0</v>
          </cell>
          <cell r="AD30">
            <v>0</v>
          </cell>
          <cell r="AE30">
            <v>0</v>
          </cell>
        </row>
        <row r="31">
          <cell r="B31">
            <v>-590</v>
          </cell>
          <cell r="C31">
            <v>-11129</v>
          </cell>
          <cell r="D31">
            <v>2365</v>
          </cell>
          <cell r="E31">
            <v>-692</v>
          </cell>
          <cell r="F31">
            <v>-10046</v>
          </cell>
          <cell r="G31">
            <v>-12016</v>
          </cell>
          <cell r="H31">
            <v>-4462</v>
          </cell>
          <cell r="I31">
            <v>3</v>
          </cell>
          <cell r="J31">
            <v>9382</v>
          </cell>
          <cell r="K31">
            <v>-7093</v>
          </cell>
          <cell r="L31">
            <v>0</v>
          </cell>
          <cell r="M31">
            <v>-17518</v>
          </cell>
          <cell r="N31">
            <v>29898</v>
          </cell>
          <cell r="O31">
            <v>3698</v>
          </cell>
          <cell r="P31">
            <v>8618</v>
          </cell>
          <cell r="Q31">
            <v>24696</v>
          </cell>
          <cell r="R31">
            <v>-11818</v>
          </cell>
          <cell r="S31">
            <v>-22334</v>
          </cell>
          <cell r="T31">
            <v>-10719</v>
          </cell>
          <cell r="U31">
            <v>7187</v>
          </cell>
          <cell r="V31">
            <v>-37684</v>
          </cell>
          <cell r="W31">
            <v>-45659</v>
          </cell>
          <cell r="X31">
            <v>-726</v>
          </cell>
          <cell r="Y31">
            <v>-21681</v>
          </cell>
          <cell r="Z31">
            <v>-55</v>
          </cell>
          <cell r="AA31">
            <v>-68121</v>
          </cell>
          <cell r="AB31">
            <v>-30896</v>
          </cell>
          <cell r="AC31">
            <v>2521</v>
          </cell>
          <cell r="AD31">
            <v>-18113</v>
          </cell>
          <cell r="AE31">
            <v>-2754</v>
          </cell>
          <cell r="AF31">
            <v>-49242</v>
          </cell>
          <cell r="AG31">
            <v>-27578</v>
          </cell>
        </row>
        <row r="32">
          <cell r="B32">
            <v>-2164</v>
          </cell>
          <cell r="C32">
            <v>-266</v>
          </cell>
          <cell r="D32">
            <v>-914</v>
          </cell>
          <cell r="E32">
            <v>-1165</v>
          </cell>
          <cell r="F32">
            <v>-4509</v>
          </cell>
          <cell r="G32">
            <v>591</v>
          </cell>
          <cell r="H32">
            <v>-2624</v>
          </cell>
          <cell r="I32">
            <v>2785</v>
          </cell>
          <cell r="J32">
            <v>463</v>
          </cell>
          <cell r="K32">
            <v>1215</v>
          </cell>
          <cell r="L32">
            <v>0</v>
          </cell>
          <cell r="M32">
            <v>-1871</v>
          </cell>
          <cell r="N32">
            <v>965</v>
          </cell>
          <cell r="O32">
            <v>2703</v>
          </cell>
          <cell r="P32">
            <v>-6930</v>
          </cell>
          <cell r="Q32">
            <v>-5133</v>
          </cell>
          <cell r="R32">
            <v>-21</v>
          </cell>
          <cell r="S32">
            <v>210</v>
          </cell>
          <cell r="T32">
            <v>2844</v>
          </cell>
          <cell r="U32">
            <v>-4212</v>
          </cell>
          <cell r="V32">
            <v>-1179</v>
          </cell>
          <cell r="W32">
            <v>-1116</v>
          </cell>
          <cell r="X32">
            <v>3977</v>
          </cell>
          <cell r="Y32">
            <v>-308</v>
          </cell>
          <cell r="Z32">
            <v>-10262</v>
          </cell>
          <cell r="AA32">
            <v>-7709</v>
          </cell>
          <cell r="AB32">
            <v>-6046</v>
          </cell>
          <cell r="AC32">
            <v>1659</v>
          </cell>
          <cell r="AD32">
            <v>3975</v>
          </cell>
          <cell r="AE32">
            <v>-9094</v>
          </cell>
          <cell r="AF32">
            <v>-9506</v>
          </cell>
          <cell r="AG32">
            <v>-11394</v>
          </cell>
        </row>
        <row r="33">
          <cell r="B33">
            <v>-1726</v>
          </cell>
          <cell r="C33">
            <v>383</v>
          </cell>
          <cell r="D33">
            <v>-71</v>
          </cell>
          <cell r="E33">
            <v>1054</v>
          </cell>
          <cell r="F33">
            <v>-360</v>
          </cell>
          <cell r="G33">
            <v>-1159</v>
          </cell>
          <cell r="H33">
            <v>-955</v>
          </cell>
          <cell r="I33">
            <v>267</v>
          </cell>
          <cell r="J33">
            <v>1981</v>
          </cell>
          <cell r="K33">
            <v>134</v>
          </cell>
          <cell r="L33">
            <v>0</v>
          </cell>
          <cell r="M33">
            <v>1400</v>
          </cell>
          <cell r="N33">
            <v>543</v>
          </cell>
          <cell r="O33">
            <v>-2433</v>
          </cell>
          <cell r="P33">
            <v>733</v>
          </cell>
          <cell r="Q33">
            <v>243</v>
          </cell>
          <cell r="R33">
            <v>1902</v>
          </cell>
          <cell r="S33">
            <v>-4360</v>
          </cell>
          <cell r="T33">
            <v>125</v>
          </cell>
          <cell r="U33">
            <v>1719</v>
          </cell>
          <cell r="V33">
            <v>-614</v>
          </cell>
          <cell r="W33">
            <v>-808</v>
          </cell>
          <cell r="X33">
            <v>-299</v>
          </cell>
          <cell r="Y33">
            <v>-820</v>
          </cell>
          <cell r="Z33">
            <v>4312</v>
          </cell>
          <cell r="AA33">
            <v>2385</v>
          </cell>
          <cell r="AB33">
            <v>-4445</v>
          </cell>
          <cell r="AC33">
            <v>-351</v>
          </cell>
          <cell r="AD33">
            <v>172</v>
          </cell>
          <cell r="AE33">
            <v>1867</v>
          </cell>
          <cell r="AF33">
            <v>-2757</v>
          </cell>
          <cell r="AG33">
            <v>-1936</v>
          </cell>
        </row>
        <row r="34">
          <cell r="B34">
            <v>877</v>
          </cell>
          <cell r="C34">
            <v>-1076</v>
          </cell>
          <cell r="D34">
            <v>-5000</v>
          </cell>
          <cell r="E34">
            <v>270</v>
          </cell>
          <cell r="F34">
            <v>-4929</v>
          </cell>
          <cell r="G34">
            <v>3262</v>
          </cell>
          <cell r="H34">
            <v>2392</v>
          </cell>
          <cell r="I34">
            <v>-2407</v>
          </cell>
          <cell r="J34">
            <v>3432</v>
          </cell>
          <cell r="K34">
            <v>6679</v>
          </cell>
          <cell r="L34">
            <v>0</v>
          </cell>
          <cell r="M34">
            <v>2579</v>
          </cell>
          <cell r="N34">
            <v>487</v>
          </cell>
          <cell r="O34">
            <v>-2771</v>
          </cell>
          <cell r="P34">
            <v>17927</v>
          </cell>
          <cell r="Q34">
            <v>18222</v>
          </cell>
          <cell r="R34">
            <v>-17986</v>
          </cell>
          <cell r="S34">
            <v>-2846</v>
          </cell>
          <cell r="T34">
            <v>-364</v>
          </cell>
          <cell r="U34">
            <v>8463</v>
          </cell>
          <cell r="V34">
            <v>-12733</v>
          </cell>
          <cell r="W34">
            <v>3707</v>
          </cell>
          <cell r="X34">
            <v>569</v>
          </cell>
          <cell r="Y34">
            <v>-2173</v>
          </cell>
          <cell r="Z34">
            <v>370</v>
          </cell>
          <cell r="AA34">
            <v>2473</v>
          </cell>
          <cell r="AB34">
            <v>2451</v>
          </cell>
          <cell r="AC34">
            <v>2929</v>
          </cell>
          <cell r="AD34">
            <v>-3061</v>
          </cell>
          <cell r="AE34">
            <v>-3196</v>
          </cell>
          <cell r="AF34">
            <v>-877</v>
          </cell>
          <cell r="AG34">
            <v>5829</v>
          </cell>
        </row>
        <row r="35">
          <cell r="B35">
            <v>-24338</v>
          </cell>
          <cell r="C35">
            <v>6380</v>
          </cell>
          <cell r="D35">
            <v>9842</v>
          </cell>
          <cell r="E35">
            <v>8304</v>
          </cell>
          <cell r="F35">
            <v>188</v>
          </cell>
          <cell r="G35">
            <v>-16599</v>
          </cell>
          <cell r="H35">
            <v>9232</v>
          </cell>
          <cell r="I35">
            <v>22947</v>
          </cell>
          <cell r="J35">
            <v>15476</v>
          </cell>
          <cell r="K35">
            <v>31056</v>
          </cell>
          <cell r="L35">
            <v>0</v>
          </cell>
          <cell r="M35">
            <v>-36074</v>
          </cell>
          <cell r="N35">
            <v>8272</v>
          </cell>
          <cell r="O35">
            <v>15587</v>
          </cell>
          <cell r="P35">
            <v>2655</v>
          </cell>
          <cell r="Q35">
            <v>-9560</v>
          </cell>
          <cell r="R35">
            <v>-15155</v>
          </cell>
          <cell r="S35">
            <v>31278</v>
          </cell>
          <cell r="T35">
            <v>13795</v>
          </cell>
          <cell r="U35">
            <v>19491</v>
          </cell>
          <cell r="V35">
            <v>49409</v>
          </cell>
          <cell r="W35">
            <v>-44361</v>
          </cell>
          <cell r="X35">
            <v>21535</v>
          </cell>
          <cell r="Y35">
            <v>24733</v>
          </cell>
          <cell r="Z35">
            <v>18119</v>
          </cell>
          <cell r="AA35">
            <v>20026</v>
          </cell>
          <cell r="AB35">
            <v>-30384</v>
          </cell>
          <cell r="AC35">
            <v>5311</v>
          </cell>
          <cell r="AD35">
            <v>27519</v>
          </cell>
          <cell r="AE35">
            <v>21727</v>
          </cell>
          <cell r="AF35">
            <v>24173</v>
          </cell>
          <cell r="AG35">
            <v>-53939</v>
          </cell>
        </row>
        <row r="36">
          <cell r="B36">
            <v>-13906</v>
          </cell>
          <cell r="C36">
            <v>6301</v>
          </cell>
          <cell r="D36">
            <v>3377</v>
          </cell>
          <cell r="E36">
            <v>-9919</v>
          </cell>
          <cell r="F36">
            <v>-14147</v>
          </cell>
          <cell r="G36">
            <v>-2099</v>
          </cell>
          <cell r="H36">
            <v>3444</v>
          </cell>
          <cell r="I36">
            <v>4867</v>
          </cell>
          <cell r="J36">
            <v>982</v>
          </cell>
          <cell r="K36">
            <v>7194</v>
          </cell>
          <cell r="L36">
            <v>0</v>
          </cell>
          <cell r="M36">
            <v>-1109</v>
          </cell>
          <cell r="N36">
            <v>5555</v>
          </cell>
          <cell r="O36">
            <v>2555</v>
          </cell>
          <cell r="P36">
            <v>-6305</v>
          </cell>
          <cell r="Q36">
            <v>696</v>
          </cell>
          <cell r="R36">
            <v>9057</v>
          </cell>
          <cell r="S36">
            <v>-9018</v>
          </cell>
          <cell r="T36">
            <v>-5724</v>
          </cell>
          <cell r="U36">
            <v>-6377</v>
          </cell>
          <cell r="V36">
            <v>-12062</v>
          </cell>
          <cell r="W36">
            <v>6185</v>
          </cell>
          <cell r="X36">
            <v>2499</v>
          </cell>
          <cell r="Y36">
            <v>-4641</v>
          </cell>
          <cell r="Z36">
            <v>4736</v>
          </cell>
          <cell r="AA36">
            <v>8779</v>
          </cell>
          <cell r="AB36">
            <v>7883</v>
          </cell>
          <cell r="AC36">
            <v>-18493</v>
          </cell>
          <cell r="AD36">
            <v>-1412</v>
          </cell>
          <cell r="AE36">
            <v>-6260</v>
          </cell>
          <cell r="AF36">
            <v>-18282</v>
          </cell>
          <cell r="AG36">
            <v>11443</v>
          </cell>
        </row>
        <row r="37">
          <cell r="B37">
            <v>-1789</v>
          </cell>
          <cell r="C37">
            <v>-2498</v>
          </cell>
          <cell r="D37">
            <v>-1697</v>
          </cell>
          <cell r="E37">
            <v>-816</v>
          </cell>
          <cell r="F37">
            <v>-6800</v>
          </cell>
          <cell r="G37">
            <v>388</v>
          </cell>
          <cell r="H37">
            <v>-262</v>
          </cell>
          <cell r="I37">
            <v>-1433</v>
          </cell>
          <cell r="J37">
            <v>-897</v>
          </cell>
          <cell r="K37">
            <v>-2204</v>
          </cell>
          <cell r="L37">
            <v>0</v>
          </cell>
          <cell r="M37">
            <v>925</v>
          </cell>
          <cell r="N37">
            <v>2121</v>
          </cell>
          <cell r="O37">
            <v>50</v>
          </cell>
          <cell r="P37">
            <v>3409</v>
          </cell>
          <cell r="Q37">
            <v>6505</v>
          </cell>
          <cell r="R37">
            <v>1268</v>
          </cell>
          <cell r="S37">
            <v>321</v>
          </cell>
          <cell r="T37">
            <v>896</v>
          </cell>
          <cell r="U37">
            <v>-2258</v>
          </cell>
          <cell r="V37">
            <v>227</v>
          </cell>
          <cell r="W37">
            <v>-2924</v>
          </cell>
          <cell r="X37">
            <v>-3660</v>
          </cell>
          <cell r="Y37">
            <v>-1844</v>
          </cell>
          <cell r="Z37">
            <v>-2295</v>
          </cell>
          <cell r="AA37">
            <v>-10723</v>
          </cell>
          <cell r="AB37">
            <v>-4172</v>
          </cell>
          <cell r="AC37">
            <v>-8600</v>
          </cell>
          <cell r="AD37">
            <v>-6020</v>
          </cell>
          <cell r="AE37">
            <v>3959</v>
          </cell>
          <cell r="AF37">
            <v>-14833</v>
          </cell>
          <cell r="AG37">
            <v>-3575</v>
          </cell>
        </row>
        <row r="38">
          <cell r="B38">
            <v>0</v>
          </cell>
          <cell r="C38">
            <v>0</v>
          </cell>
          <cell r="D38">
            <v>0</v>
          </cell>
          <cell r="E38">
            <v>0</v>
          </cell>
          <cell r="F38">
            <v>0</v>
          </cell>
          <cell r="G38">
            <v>0</v>
          </cell>
          <cell r="H38">
            <v>-13749</v>
          </cell>
          <cell r="I38">
            <v>-5679</v>
          </cell>
          <cell r="J38">
            <v>-5385</v>
          </cell>
          <cell r="K38">
            <v>-24813</v>
          </cell>
          <cell r="L38">
            <v>0</v>
          </cell>
          <cell r="M38">
            <v>-6576</v>
          </cell>
          <cell r="N38">
            <v>-6255</v>
          </cell>
          <cell r="O38">
            <v>-6949</v>
          </cell>
          <cell r="P38">
            <v>-6809</v>
          </cell>
          <cell r="Q38">
            <v>-26589</v>
          </cell>
          <cell r="R38">
            <v>-6868</v>
          </cell>
          <cell r="S38">
            <v>-6459</v>
          </cell>
          <cell r="T38">
            <v>-6327</v>
          </cell>
          <cell r="U38">
            <v>-6020</v>
          </cell>
          <cell r="V38">
            <v>-25674</v>
          </cell>
          <cell r="W38">
            <v>-6005</v>
          </cell>
          <cell r="X38">
            <v>-5917</v>
          </cell>
          <cell r="Y38">
            <v>-5909</v>
          </cell>
          <cell r="Z38">
            <v>-5396</v>
          </cell>
          <cell r="AA38">
            <v>-23227</v>
          </cell>
          <cell r="AB38">
            <v>-5453</v>
          </cell>
          <cell r="AC38">
            <v>-5376</v>
          </cell>
          <cell r="AD38">
            <v>-4793</v>
          </cell>
          <cell r="AE38">
            <v>-4559</v>
          </cell>
          <cell r="AF38">
            <v>-20181</v>
          </cell>
          <cell r="AG38">
            <v>-4616</v>
          </cell>
        </row>
        <row r="40">
          <cell r="B40">
            <v>-8005</v>
          </cell>
          <cell r="C40">
            <v>21798</v>
          </cell>
          <cell r="D40">
            <v>33058</v>
          </cell>
          <cell r="E40">
            <v>45584.475935178678</v>
          </cell>
          <cell r="F40">
            <v>92435.475935178692</v>
          </cell>
          <cell r="G40">
            <v>8342.4759351786779</v>
          </cell>
          <cell r="H40">
            <v>39374.098391361411</v>
          </cell>
          <cell r="I40">
            <v>58237.828320000001</v>
          </cell>
          <cell r="J40">
            <v>62465.597353459918</v>
          </cell>
          <cell r="K40">
            <v>168420</v>
          </cell>
          <cell r="L40">
            <v>0</v>
          </cell>
          <cell r="M40">
            <v>-13555</v>
          </cell>
          <cell r="N40">
            <v>72462</v>
          </cell>
          <cell r="O40">
            <v>67407</v>
          </cell>
          <cell r="P40">
            <v>76659</v>
          </cell>
          <cell r="Q40">
            <v>202973</v>
          </cell>
          <cell r="R40">
            <v>15205</v>
          </cell>
          <cell r="S40">
            <v>38738</v>
          </cell>
          <cell r="T40">
            <v>59819</v>
          </cell>
          <cell r="U40">
            <v>70625</v>
          </cell>
          <cell r="V40">
            <v>184387</v>
          </cell>
          <cell r="W40">
            <v>-26870</v>
          </cell>
          <cell r="X40">
            <v>79878</v>
          </cell>
          <cell r="Y40">
            <v>48081</v>
          </cell>
          <cell r="Z40">
            <v>65052</v>
          </cell>
          <cell r="AA40">
            <v>166141</v>
          </cell>
          <cell r="AB40">
            <v>16025</v>
          </cell>
          <cell r="AC40">
            <v>47534</v>
          </cell>
          <cell r="AD40">
            <v>68601</v>
          </cell>
          <cell r="AE40">
            <v>79038</v>
          </cell>
          <cell r="AF40">
            <v>211198</v>
          </cell>
          <cell r="AG40">
            <v>-21873</v>
          </cell>
        </row>
        <row r="43">
          <cell r="B43">
            <v>-12680</v>
          </cell>
          <cell r="C43">
            <v>-6616</v>
          </cell>
          <cell r="D43">
            <v>-10774</v>
          </cell>
          <cell r="E43">
            <v>-10719</v>
          </cell>
          <cell r="F43">
            <v>-40789</v>
          </cell>
          <cell r="G43">
            <v>-10878</v>
          </cell>
          <cell r="H43">
            <v>-11409</v>
          </cell>
          <cell r="I43">
            <v>-10021</v>
          </cell>
          <cell r="J43">
            <v>-8237</v>
          </cell>
          <cell r="K43">
            <v>-40545</v>
          </cell>
          <cell r="L43">
            <v>0</v>
          </cell>
          <cell r="M43">
            <v>-12347</v>
          </cell>
          <cell r="N43">
            <v>-10004</v>
          </cell>
          <cell r="O43">
            <v>-12263</v>
          </cell>
          <cell r="P43">
            <v>-7610</v>
          </cell>
          <cell r="Q43">
            <v>-42224</v>
          </cell>
          <cell r="R43">
            <v>-12680</v>
          </cell>
          <cell r="S43">
            <v>-7223</v>
          </cell>
          <cell r="T43">
            <v>-9123</v>
          </cell>
          <cell r="U43">
            <v>-8222</v>
          </cell>
          <cell r="V43">
            <v>-37248</v>
          </cell>
          <cell r="W43">
            <v>-16101</v>
          </cell>
          <cell r="X43">
            <v>-8953</v>
          </cell>
          <cell r="Y43">
            <v>-7045</v>
          </cell>
          <cell r="Z43">
            <v>-12737</v>
          </cell>
          <cell r="AA43">
            <v>-44836</v>
          </cell>
          <cell r="AB43">
            <v>-12479</v>
          </cell>
          <cell r="AC43">
            <v>-13634</v>
          </cell>
          <cell r="AD43">
            <v>-14993</v>
          </cell>
          <cell r="AE43">
            <v>-11697</v>
          </cell>
          <cell r="AF43">
            <v>-52803</v>
          </cell>
          <cell r="AG43">
            <v>-11266</v>
          </cell>
        </row>
        <row r="44">
          <cell r="E44">
            <v>352</v>
          </cell>
          <cell r="F44">
            <v>352</v>
          </cell>
          <cell r="G44">
            <v>0</v>
          </cell>
          <cell r="H44">
            <v>0</v>
          </cell>
          <cell r="I44">
            <v>0</v>
          </cell>
          <cell r="J44">
            <v>407</v>
          </cell>
          <cell r="K44">
            <v>407</v>
          </cell>
          <cell r="M44">
            <v>73</v>
          </cell>
          <cell r="N44">
            <v>227</v>
          </cell>
          <cell r="O44">
            <v>324</v>
          </cell>
          <cell r="P44">
            <v>292</v>
          </cell>
          <cell r="Q44">
            <v>916</v>
          </cell>
          <cell r="R44">
            <v>129</v>
          </cell>
          <cell r="S44">
            <v>398</v>
          </cell>
          <cell r="T44">
            <v>298</v>
          </cell>
          <cell r="U44">
            <v>475</v>
          </cell>
          <cell r="V44">
            <v>1300</v>
          </cell>
          <cell r="W44">
            <v>63</v>
          </cell>
          <cell r="X44">
            <v>91</v>
          </cell>
          <cell r="Y44">
            <v>43</v>
          </cell>
          <cell r="Z44">
            <v>69</v>
          </cell>
          <cell r="AA44">
            <v>266</v>
          </cell>
          <cell r="AB44">
            <v>565</v>
          </cell>
          <cell r="AC44">
            <v>-18</v>
          </cell>
          <cell r="AD44">
            <v>93</v>
          </cell>
          <cell r="AE44">
            <v>99</v>
          </cell>
          <cell r="AF44">
            <v>739</v>
          </cell>
          <cell r="AG44">
            <v>62</v>
          </cell>
        </row>
        <row r="45">
          <cell r="B45">
            <v>0</v>
          </cell>
          <cell r="C45">
            <v>0</v>
          </cell>
          <cell r="D45">
            <v>0</v>
          </cell>
          <cell r="E45">
            <v>0</v>
          </cell>
          <cell r="F45">
            <v>0</v>
          </cell>
          <cell r="G45">
            <v>0</v>
          </cell>
          <cell r="H45">
            <v>0</v>
          </cell>
          <cell r="I45">
            <v>0</v>
          </cell>
          <cell r="J45">
            <v>0</v>
          </cell>
          <cell r="K45">
            <v>0</v>
          </cell>
          <cell r="L45">
            <v>0</v>
          </cell>
          <cell r="M45">
            <v>-700</v>
          </cell>
          <cell r="N45">
            <v>0</v>
          </cell>
          <cell r="O45">
            <v>0</v>
          </cell>
          <cell r="P45">
            <v>0</v>
          </cell>
          <cell r="Q45">
            <v>-700</v>
          </cell>
          <cell r="R45">
            <v>0</v>
          </cell>
          <cell r="S45">
            <v>0</v>
          </cell>
          <cell r="T45">
            <v>0</v>
          </cell>
          <cell r="U45">
            <v>0</v>
          </cell>
          <cell r="V45">
            <v>0</v>
          </cell>
          <cell r="W45">
            <v>0</v>
          </cell>
          <cell r="X45">
            <v>0</v>
          </cell>
          <cell r="Y45">
            <v>0</v>
          </cell>
          <cell r="Z45">
            <v>0</v>
          </cell>
          <cell r="AA45">
            <v>0</v>
          </cell>
          <cell r="AB45">
            <v>0</v>
          </cell>
          <cell r="AC45">
            <v>0</v>
          </cell>
          <cell r="AD45">
            <v>-600</v>
          </cell>
          <cell r="AE45">
            <v>0</v>
          </cell>
          <cell r="AF45">
            <v>-600</v>
          </cell>
          <cell r="AG45">
            <v>0</v>
          </cell>
        </row>
        <row r="46">
          <cell r="B46">
            <v>-380</v>
          </cell>
          <cell r="C46">
            <v>-115</v>
          </cell>
          <cell r="D46">
            <v>-231423</v>
          </cell>
          <cell r="E46">
            <v>89</v>
          </cell>
          <cell r="F46">
            <v>-231829</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-76831</v>
          </cell>
          <cell r="V46">
            <v>-76831</v>
          </cell>
          <cell r="W46">
            <v>-1367</v>
          </cell>
          <cell r="X46">
            <v>-1205</v>
          </cell>
          <cell r="Y46">
            <v>-750</v>
          </cell>
          <cell r="Z46">
            <v>-550</v>
          </cell>
          <cell r="AA46">
            <v>-3872</v>
          </cell>
          <cell r="AB46">
            <v>0</v>
          </cell>
          <cell r="AC46">
            <v>0</v>
          </cell>
          <cell r="AD46">
            <v>0</v>
          </cell>
          <cell r="AE46">
            <v>0</v>
          </cell>
          <cell r="AF46">
            <v>0</v>
          </cell>
          <cell r="AG46">
            <v>0</v>
          </cell>
        </row>
        <row r="47">
          <cell r="B47">
            <v>0</v>
          </cell>
          <cell r="C47">
            <v>0</v>
          </cell>
          <cell r="D47">
            <v>0</v>
          </cell>
          <cell r="E47">
            <v>0</v>
          </cell>
          <cell r="F47">
            <v>0</v>
          </cell>
          <cell r="G47">
            <v>0</v>
          </cell>
          <cell r="H47">
            <v>-241</v>
          </cell>
          <cell r="I47">
            <v>0</v>
          </cell>
          <cell r="J47">
            <v>0</v>
          </cell>
          <cell r="K47">
            <v>-241</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row>
        <row r="48">
          <cell r="B48">
            <v>-20310</v>
          </cell>
          <cell r="C48">
            <v>-20353</v>
          </cell>
          <cell r="D48">
            <v>-17294</v>
          </cell>
          <cell r="E48">
            <v>-75477</v>
          </cell>
          <cell r="F48">
            <v>-133434</v>
          </cell>
          <cell r="G48">
            <v>-47683</v>
          </cell>
          <cell r="H48">
            <v>-20505</v>
          </cell>
          <cell r="I48">
            <v>-49746</v>
          </cell>
          <cell r="J48">
            <v>-70040</v>
          </cell>
          <cell r="K48">
            <v>-187974</v>
          </cell>
          <cell r="L48">
            <v>0</v>
          </cell>
          <cell r="M48">
            <v>-23830</v>
          </cell>
          <cell r="N48">
            <v>-25197</v>
          </cell>
          <cell r="O48">
            <v>-8938</v>
          </cell>
          <cell r="P48">
            <v>-44497</v>
          </cell>
          <cell r="Q48">
            <v>-102462</v>
          </cell>
          <cell r="R48">
            <v>-18835</v>
          </cell>
          <cell r="S48">
            <v>-14152</v>
          </cell>
          <cell r="T48">
            <v>-43513</v>
          </cell>
          <cell r="U48">
            <v>-19511</v>
          </cell>
          <cell r="V48">
            <v>-96011</v>
          </cell>
          <cell r="W48">
            <v>-36804</v>
          </cell>
          <cell r="X48">
            <v>-59278</v>
          </cell>
          <cell r="Y48">
            <v>-68231</v>
          </cell>
          <cell r="Z48">
            <v>-48294</v>
          </cell>
          <cell r="AA48">
            <v>-212607</v>
          </cell>
          <cell r="AB48">
            <v>-51495</v>
          </cell>
          <cell r="AC48">
            <v>-62328</v>
          </cell>
          <cell r="AD48">
            <v>-51198</v>
          </cell>
          <cell r="AE48">
            <v>-70348</v>
          </cell>
          <cell r="AF48">
            <v>-235369</v>
          </cell>
          <cell r="AG48">
            <v>-64932</v>
          </cell>
        </row>
        <row r="49">
          <cell r="B49">
            <v>30358</v>
          </cell>
          <cell r="C49">
            <v>30453</v>
          </cell>
          <cell r="D49">
            <v>18725</v>
          </cell>
          <cell r="E49">
            <v>48672</v>
          </cell>
          <cell r="F49">
            <v>128208</v>
          </cell>
          <cell r="G49">
            <v>21361</v>
          </cell>
          <cell r="H49">
            <v>70308</v>
          </cell>
          <cell r="I49">
            <v>37474</v>
          </cell>
          <cell r="J49">
            <v>47825</v>
          </cell>
          <cell r="K49">
            <v>176968</v>
          </cell>
          <cell r="L49">
            <v>0</v>
          </cell>
          <cell r="M49">
            <v>72844</v>
          </cell>
          <cell r="N49">
            <v>0</v>
          </cell>
          <cell r="O49">
            <v>30874</v>
          </cell>
          <cell r="P49">
            <v>22436</v>
          </cell>
          <cell r="Q49">
            <v>126154</v>
          </cell>
          <cell r="R49">
            <v>5357</v>
          </cell>
          <cell r="S49">
            <v>58674</v>
          </cell>
          <cell r="T49">
            <v>19152</v>
          </cell>
          <cell r="U49">
            <v>11337</v>
          </cell>
          <cell r="V49">
            <v>94520</v>
          </cell>
          <cell r="W49">
            <v>49515</v>
          </cell>
          <cell r="X49">
            <v>33052</v>
          </cell>
          <cell r="Y49">
            <v>41788</v>
          </cell>
          <cell r="Z49">
            <v>40148</v>
          </cell>
          <cell r="AA49">
            <v>164503</v>
          </cell>
          <cell r="AB49">
            <v>106750</v>
          </cell>
          <cell r="AC49">
            <v>44428</v>
          </cell>
          <cell r="AD49">
            <v>66347</v>
          </cell>
          <cell r="AE49">
            <v>58511</v>
          </cell>
          <cell r="AF49">
            <v>276036</v>
          </cell>
          <cell r="AG49">
            <v>80825</v>
          </cell>
        </row>
        <row r="50">
          <cell r="B50">
            <v>-3012</v>
          </cell>
          <cell r="C50">
            <v>3369</v>
          </cell>
          <cell r="D50">
            <v>-240766</v>
          </cell>
          <cell r="E50">
            <v>-37083</v>
          </cell>
          <cell r="F50">
            <v>-277492</v>
          </cell>
          <cell r="G50">
            <v>-37200</v>
          </cell>
          <cell r="H50">
            <v>38153</v>
          </cell>
          <cell r="I50">
            <v>-22293</v>
          </cell>
          <cell r="J50">
            <v>-30045</v>
          </cell>
          <cell r="K50">
            <v>-51385</v>
          </cell>
          <cell r="L50">
            <v>0</v>
          </cell>
          <cell r="M50">
            <v>36040</v>
          </cell>
          <cell r="N50">
            <v>-34974</v>
          </cell>
          <cell r="O50">
            <v>9997</v>
          </cell>
          <cell r="P50">
            <v>-29379</v>
          </cell>
          <cell r="Q50">
            <v>-18316</v>
          </cell>
          <cell r="R50">
            <v>-26029</v>
          </cell>
          <cell r="S50">
            <v>37697</v>
          </cell>
          <cell r="T50">
            <v>-33186</v>
          </cell>
          <cell r="U50">
            <v>-92752</v>
          </cell>
          <cell r="V50">
            <v>-114270</v>
          </cell>
          <cell r="W50">
            <v>-4694</v>
          </cell>
          <cell r="X50">
            <v>-36293</v>
          </cell>
          <cell r="Y50">
            <v>-34195</v>
          </cell>
          <cell r="Z50">
            <v>-21364</v>
          </cell>
          <cell r="AA50">
            <v>-96546</v>
          </cell>
          <cell r="AB50">
            <v>43341</v>
          </cell>
          <cell r="AC50">
            <v>-31552</v>
          </cell>
          <cell r="AD50">
            <v>-351</v>
          </cell>
          <cell r="AE50">
            <v>-23435</v>
          </cell>
          <cell r="AF50">
            <v>-11997</v>
          </cell>
          <cell r="AG50">
            <v>4689</v>
          </cell>
        </row>
        <row r="53">
          <cell r="B53">
            <v>12000</v>
          </cell>
          <cell r="C53">
            <v>0</v>
          </cell>
          <cell r="D53">
            <v>233000</v>
          </cell>
          <cell r="E53">
            <v>1614</v>
          </cell>
          <cell r="F53">
            <v>246614</v>
          </cell>
          <cell r="G53">
            <v>46000</v>
          </cell>
          <cell r="H53">
            <v>0</v>
          </cell>
          <cell r="I53">
            <v>0</v>
          </cell>
          <cell r="J53">
            <v>0</v>
          </cell>
          <cell r="K53">
            <v>46000</v>
          </cell>
          <cell r="L53">
            <v>0</v>
          </cell>
          <cell r="M53">
            <v>110000</v>
          </cell>
          <cell r="N53">
            <v>0</v>
          </cell>
          <cell r="O53">
            <v>0</v>
          </cell>
          <cell r="P53">
            <v>0</v>
          </cell>
          <cell r="Q53">
            <v>110000</v>
          </cell>
          <cell r="R53">
            <v>25000</v>
          </cell>
          <cell r="S53">
            <v>0</v>
          </cell>
          <cell r="T53">
            <v>200000</v>
          </cell>
          <cell r="U53">
            <v>75000</v>
          </cell>
          <cell r="V53">
            <v>300000</v>
          </cell>
          <cell r="W53">
            <v>35000</v>
          </cell>
          <cell r="X53">
            <v>0</v>
          </cell>
          <cell r="Y53">
            <v>0</v>
          </cell>
          <cell r="Z53">
            <v>0</v>
          </cell>
          <cell r="AA53">
            <v>35000</v>
          </cell>
          <cell r="AB53">
            <v>50000</v>
          </cell>
          <cell r="AC53">
            <v>20000</v>
          </cell>
          <cell r="AD53">
            <v>0</v>
          </cell>
          <cell r="AE53">
            <v>10000</v>
          </cell>
          <cell r="AF53">
            <v>80000</v>
          </cell>
          <cell r="AG53">
            <v>180000</v>
          </cell>
        </row>
        <row r="54">
          <cell r="B54">
            <v>-5036</v>
          </cell>
          <cell r="C54">
            <v>-29</v>
          </cell>
          <cell r="D54">
            <v>-18</v>
          </cell>
          <cell r="E54">
            <v>-150126</v>
          </cell>
          <cell r="F54">
            <v>-155209</v>
          </cell>
          <cell r="G54">
            <v>-10572</v>
          </cell>
          <cell r="H54">
            <v>-69018</v>
          </cell>
          <cell r="I54">
            <v>-8173</v>
          </cell>
          <cell r="J54">
            <v>-10484</v>
          </cell>
          <cell r="K54">
            <v>-98247</v>
          </cell>
          <cell r="L54">
            <v>0</v>
          </cell>
          <cell r="M54">
            <v>-10201</v>
          </cell>
          <cell r="N54">
            <v>-100009</v>
          </cell>
          <cell r="O54">
            <v>-10183</v>
          </cell>
          <cell r="P54">
            <v>-474</v>
          </cell>
          <cell r="Q54">
            <v>-120867</v>
          </cell>
          <cell r="R54">
            <v>-25000</v>
          </cell>
          <cell r="S54">
            <v>-74000</v>
          </cell>
          <cell r="T54">
            <v>-230000</v>
          </cell>
          <cell r="U54">
            <v>-31</v>
          </cell>
          <cell r="V54">
            <v>-329031</v>
          </cell>
          <cell r="W54">
            <v>0</v>
          </cell>
          <cell r="X54">
            <v>-10000</v>
          </cell>
          <cell r="Y54">
            <v>-15000</v>
          </cell>
          <cell r="Z54">
            <v>-20000</v>
          </cell>
          <cell r="AA54">
            <v>-45000</v>
          </cell>
          <cell r="AB54">
            <v>-100000</v>
          </cell>
          <cell r="AC54">
            <v>0</v>
          </cell>
          <cell r="AD54">
            <v>-10000</v>
          </cell>
          <cell r="AE54">
            <v>-20000</v>
          </cell>
          <cell r="AF54">
            <v>-130000</v>
          </cell>
          <cell r="AG54">
            <v>-35000</v>
          </cell>
        </row>
        <row r="55">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-5000</v>
          </cell>
          <cell r="AD55">
            <v>0</v>
          </cell>
          <cell r="AE55">
            <v>0</v>
          </cell>
          <cell r="AF55">
            <v>-5000</v>
          </cell>
          <cell r="AG55">
            <v>-4000</v>
          </cell>
        </row>
        <row r="56">
          <cell r="E56">
            <v>149000</v>
          </cell>
          <cell r="F56">
            <v>149000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row>
        <row r="57">
          <cell r="B57">
            <v>0</v>
          </cell>
          <cell r="C57">
            <v>0</v>
          </cell>
          <cell r="D57">
            <v>0</v>
          </cell>
          <cell r="E57">
            <v>-762</v>
          </cell>
          <cell r="F57">
            <v>-762</v>
          </cell>
          <cell r="G57">
            <v>-97</v>
          </cell>
          <cell r="H57">
            <v>-20</v>
          </cell>
          <cell r="I57">
            <v>0</v>
          </cell>
          <cell r="J57">
            <v>0</v>
          </cell>
          <cell r="K57">
            <v>-117</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row>
        <row r="58">
          <cell r="B58">
            <v>-42</v>
          </cell>
          <cell r="C58">
            <v>-41</v>
          </cell>
          <cell r="D58">
            <v>-22</v>
          </cell>
          <cell r="E58">
            <v>-47</v>
          </cell>
          <cell r="F58">
            <v>-152</v>
          </cell>
          <cell r="G58">
            <v>-137</v>
          </cell>
          <cell r="H58">
            <v>-70</v>
          </cell>
          <cell r="I58">
            <v>-67</v>
          </cell>
          <cell r="J58">
            <v>-62</v>
          </cell>
          <cell r="K58">
            <v>-336</v>
          </cell>
          <cell r="L58">
            <v>0</v>
          </cell>
          <cell r="M58">
            <v>-67</v>
          </cell>
          <cell r="N58">
            <v>-57</v>
          </cell>
          <cell r="O58">
            <v>-56</v>
          </cell>
          <cell r="P58">
            <v>-69</v>
          </cell>
          <cell r="Q58">
            <v>-249</v>
          </cell>
          <cell r="R58">
            <v>-57</v>
          </cell>
          <cell r="S58">
            <v>-50</v>
          </cell>
          <cell r="T58">
            <v>-50</v>
          </cell>
          <cell r="U58">
            <v>-44</v>
          </cell>
          <cell r="V58">
            <v>-201</v>
          </cell>
          <cell r="W58">
            <v>-39</v>
          </cell>
          <cell r="X58">
            <v>-36</v>
          </cell>
          <cell r="Y58">
            <v>-33</v>
          </cell>
          <cell r="Z58">
            <v>-34</v>
          </cell>
          <cell r="AA58">
            <v>-142</v>
          </cell>
          <cell r="AB58">
            <v>-43</v>
          </cell>
          <cell r="AC58">
            <v>-37</v>
          </cell>
          <cell r="AD58">
            <v>-40</v>
          </cell>
          <cell r="AE58">
            <v>-49</v>
          </cell>
          <cell r="AF58">
            <v>-169</v>
          </cell>
          <cell r="AG58">
            <v>-60</v>
          </cell>
        </row>
        <row r="59">
          <cell r="B59">
            <v>431</v>
          </cell>
          <cell r="C59">
            <v>0</v>
          </cell>
          <cell r="D59">
            <v>653</v>
          </cell>
          <cell r="E59">
            <v>313</v>
          </cell>
          <cell r="F59">
            <v>1397</v>
          </cell>
          <cell r="G59">
            <v>22</v>
          </cell>
          <cell r="H59">
            <v>316</v>
          </cell>
          <cell r="I59">
            <v>0</v>
          </cell>
          <cell r="J59">
            <v>649</v>
          </cell>
          <cell r="K59">
            <v>987</v>
          </cell>
          <cell r="L59">
            <v>0</v>
          </cell>
          <cell r="M59">
            <v>921</v>
          </cell>
          <cell r="N59">
            <v>39</v>
          </cell>
          <cell r="O59">
            <v>85</v>
          </cell>
          <cell r="P59">
            <v>456</v>
          </cell>
          <cell r="Q59">
            <v>1501</v>
          </cell>
          <cell r="R59">
            <v>75</v>
          </cell>
          <cell r="S59">
            <v>99</v>
          </cell>
          <cell r="T59">
            <v>536</v>
          </cell>
          <cell r="U59">
            <v>0</v>
          </cell>
          <cell r="V59">
            <v>710</v>
          </cell>
          <cell r="W59">
            <v>0</v>
          </cell>
          <cell r="X59">
            <v>0</v>
          </cell>
          <cell r="Y59">
            <v>0</v>
          </cell>
          <cell r="Z59">
            <v>0</v>
          </cell>
          <cell r="AA59">
            <v>0</v>
          </cell>
          <cell r="AB59">
            <v>0</v>
          </cell>
          <cell r="AC59">
            <v>85</v>
          </cell>
          <cell r="AD59">
            <v>0</v>
          </cell>
          <cell r="AE59">
            <v>0</v>
          </cell>
          <cell r="AF59">
            <v>85</v>
          </cell>
          <cell r="AG59">
            <v>0</v>
          </cell>
        </row>
        <row r="60">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1060</v>
          </cell>
          <cell r="AA60">
            <v>1060</v>
          </cell>
          <cell r="AB60">
            <v>1102</v>
          </cell>
          <cell r="AC60">
            <v>2698</v>
          </cell>
          <cell r="AD60">
            <v>805</v>
          </cell>
          <cell r="AE60">
            <v>876</v>
          </cell>
          <cell r="AF60">
            <v>5481</v>
          </cell>
          <cell r="AG60">
            <v>1514</v>
          </cell>
        </row>
        <row r="61">
          <cell r="B61">
            <v>-13504</v>
          </cell>
          <cell r="C61">
            <v>-9632</v>
          </cell>
          <cell r="D61">
            <v>-9657</v>
          </cell>
          <cell r="E61">
            <v>-10316</v>
          </cell>
          <cell r="F61">
            <v>-43109</v>
          </cell>
          <cell r="G61">
            <v>-15408</v>
          </cell>
          <cell r="H61">
            <v>-12130</v>
          </cell>
          <cell r="I61">
            <v>-8346</v>
          </cell>
          <cell r="J61">
            <v>-5480</v>
          </cell>
          <cell r="K61">
            <v>-41364</v>
          </cell>
          <cell r="L61">
            <v>0</v>
          </cell>
          <cell r="M61">
            <v>-13995</v>
          </cell>
          <cell r="N61">
            <v>0</v>
          </cell>
          <cell r="O61">
            <v>-24906</v>
          </cell>
          <cell r="P61">
            <v>-41048</v>
          </cell>
          <cell r="Q61">
            <v>-79949</v>
          </cell>
          <cell r="R61">
            <v>-29015</v>
          </cell>
          <cell r="S61">
            <v>-28409</v>
          </cell>
          <cell r="T61">
            <v>-28196</v>
          </cell>
          <cell r="U61">
            <v>-32737</v>
          </cell>
          <cell r="V61">
            <v>-118357</v>
          </cell>
          <cell r="W61">
            <v>-31385</v>
          </cell>
          <cell r="X61">
            <v>-28806</v>
          </cell>
          <cell r="Y61">
            <v>-11521</v>
          </cell>
          <cell r="Z61">
            <v>-930</v>
          </cell>
          <cell r="AA61">
            <v>-72642</v>
          </cell>
          <cell r="AB61">
            <v>-42363</v>
          </cell>
          <cell r="AC61">
            <v>-28275</v>
          </cell>
          <cell r="AD61">
            <v>-29904</v>
          </cell>
          <cell r="AE61">
            <v>-31305</v>
          </cell>
          <cell r="AF61">
            <v>-131847</v>
          </cell>
          <cell r="AG61">
            <v>-152227</v>
          </cell>
        </row>
        <row r="62">
          <cell r="B62">
            <v>-6151</v>
          </cell>
          <cell r="C62">
            <v>-9702</v>
          </cell>
          <cell r="D62">
            <v>223956</v>
          </cell>
          <cell r="E62">
            <v>-10324</v>
          </cell>
          <cell r="F62">
            <v>197779</v>
          </cell>
          <cell r="G62">
            <v>19808</v>
          </cell>
          <cell r="H62">
            <v>-80922</v>
          </cell>
          <cell r="I62">
            <v>-16586</v>
          </cell>
          <cell r="J62">
            <v>-15377</v>
          </cell>
          <cell r="K62">
            <v>-93077</v>
          </cell>
          <cell r="L62">
            <v>0</v>
          </cell>
          <cell r="M62">
            <v>86658</v>
          </cell>
          <cell r="N62">
            <v>-100027</v>
          </cell>
          <cell r="O62">
            <v>-35060</v>
          </cell>
          <cell r="P62">
            <v>-41135</v>
          </cell>
          <cell r="Q62">
            <v>-89564</v>
          </cell>
          <cell r="R62">
            <v>-28997</v>
          </cell>
          <cell r="S62">
            <v>-102360</v>
          </cell>
          <cell r="T62">
            <v>-57710</v>
          </cell>
          <cell r="U62">
            <v>42188</v>
          </cell>
          <cell r="V62">
            <v>-146879</v>
          </cell>
          <cell r="W62">
            <v>3576</v>
          </cell>
          <cell r="X62">
            <v>-38842</v>
          </cell>
          <cell r="Y62">
            <v>-26554</v>
          </cell>
          <cell r="Z62">
            <v>-19904</v>
          </cell>
          <cell r="AA62">
            <v>-81724</v>
          </cell>
          <cell r="AB62">
            <v>-91304</v>
          </cell>
          <cell r="AC62">
            <v>-10529</v>
          </cell>
          <cell r="AD62">
            <v>-39139</v>
          </cell>
          <cell r="AE62">
            <v>-40478</v>
          </cell>
          <cell r="AF62">
            <v>-181450</v>
          </cell>
          <cell r="AG62">
            <v>-9773</v>
          </cell>
        </row>
        <row r="64">
          <cell r="B64">
            <v>-644</v>
          </cell>
          <cell r="C64">
            <v>-1938</v>
          </cell>
          <cell r="D64">
            <v>-426</v>
          </cell>
          <cell r="E64">
            <v>140</v>
          </cell>
          <cell r="F64">
            <v>-2868</v>
          </cell>
          <cell r="G64">
            <v>-455</v>
          </cell>
          <cell r="H64">
            <v>215</v>
          </cell>
          <cell r="I64">
            <v>-1521</v>
          </cell>
          <cell r="J64">
            <v>716</v>
          </cell>
          <cell r="K64">
            <v>-1045</v>
          </cell>
          <cell r="L64">
            <v>0</v>
          </cell>
          <cell r="M64">
            <v>-2653</v>
          </cell>
          <cell r="N64">
            <v>-220</v>
          </cell>
          <cell r="O64">
            <v>2893</v>
          </cell>
          <cell r="P64">
            <v>3362</v>
          </cell>
          <cell r="Q64">
            <v>3382</v>
          </cell>
          <cell r="R64">
            <v>-984</v>
          </cell>
          <cell r="S64">
            <v>-1253</v>
          </cell>
          <cell r="T64">
            <v>-2766</v>
          </cell>
          <cell r="U64">
            <v>56</v>
          </cell>
          <cell r="V64">
            <v>-4947</v>
          </cell>
          <cell r="W64">
            <v>-753</v>
          </cell>
          <cell r="X64">
            <v>-4612</v>
          </cell>
          <cell r="Y64">
            <v>-4261</v>
          </cell>
          <cell r="Z64">
            <v>3566</v>
          </cell>
          <cell r="AA64">
            <v>-6060</v>
          </cell>
          <cell r="AB64">
            <v>1282</v>
          </cell>
          <cell r="AC64">
            <v>242</v>
          </cell>
          <cell r="AD64">
            <v>-1812</v>
          </cell>
          <cell r="AE64">
            <v>2317</v>
          </cell>
          <cell r="AF64">
            <v>2029</v>
          </cell>
          <cell r="AG64">
            <v>-1212</v>
          </cell>
        </row>
        <row r="66">
          <cell r="B66">
            <v>-17812</v>
          </cell>
          <cell r="C66">
            <v>13527</v>
          </cell>
          <cell r="D66">
            <v>15822</v>
          </cell>
          <cell r="E66">
            <v>-1682.5240648213221</v>
          </cell>
          <cell r="F66">
            <v>9854.4759351786925</v>
          </cell>
          <cell r="G66">
            <v>-9504.5240648213221</v>
          </cell>
          <cell r="H66">
            <v>-3179.9016086385891</v>
          </cell>
          <cell r="I66">
            <v>17837.828320000001</v>
          </cell>
          <cell r="J66">
            <v>17759.597353459918</v>
          </cell>
          <cell r="K66">
            <v>22913</v>
          </cell>
          <cell r="M66">
            <v>106490</v>
          </cell>
          <cell r="N66">
            <v>-62759</v>
          </cell>
          <cell r="O66">
            <v>45237</v>
          </cell>
          <cell r="P66">
            <v>9507</v>
          </cell>
          <cell r="Q66">
            <v>98475</v>
          </cell>
          <cell r="R66">
            <v>-40805</v>
          </cell>
          <cell r="S66">
            <v>-27178</v>
          </cell>
          <cell r="T66">
            <v>-33843</v>
          </cell>
          <cell r="U66">
            <v>20117</v>
          </cell>
          <cell r="V66">
            <v>-81709</v>
          </cell>
          <cell r="W66">
            <v>-28741</v>
          </cell>
          <cell r="X66">
            <v>131</v>
          </cell>
          <cell r="Y66">
            <v>-16929</v>
          </cell>
          <cell r="Z66">
            <v>27350</v>
          </cell>
          <cell r="AA66">
            <v>-18189</v>
          </cell>
          <cell r="AB66">
            <v>-30656</v>
          </cell>
          <cell r="AC66">
            <v>5695</v>
          </cell>
          <cell r="AD66">
            <v>27299</v>
          </cell>
          <cell r="AE66">
            <v>17442</v>
          </cell>
          <cell r="AF66">
            <v>19780</v>
          </cell>
          <cell r="AG66">
            <v>-28169</v>
          </cell>
        </row>
        <row r="67">
          <cell r="B67">
            <v>94277</v>
          </cell>
          <cell r="C67">
            <v>76465</v>
          </cell>
          <cell r="D67">
            <v>89992</v>
          </cell>
          <cell r="E67">
            <v>105814</v>
          </cell>
          <cell r="F67">
            <v>94277</v>
          </cell>
          <cell r="G67">
            <v>104131.47593517868</v>
          </cell>
          <cell r="H67">
            <v>94626.951870357356</v>
          </cell>
          <cell r="I67">
            <v>91447.050261718774</v>
          </cell>
          <cell r="J67">
            <v>109284.87858171877</v>
          </cell>
          <cell r="K67">
            <v>104131.47593517869</v>
          </cell>
          <cell r="L67">
            <v>127044.47593517869</v>
          </cell>
          <cell r="M67">
            <v>127044.47593517869</v>
          </cell>
          <cell r="N67">
            <v>233534.47593517869</v>
          </cell>
          <cell r="O67">
            <v>170775.47593517869</v>
          </cell>
          <cell r="P67">
            <v>216012.47593517869</v>
          </cell>
          <cell r="Q67">
            <v>127044.47593517869</v>
          </cell>
          <cell r="R67">
            <v>225519.47593517869</v>
          </cell>
          <cell r="S67">
            <v>184714.47593517869</v>
          </cell>
          <cell r="T67">
            <v>157536.47593517869</v>
          </cell>
          <cell r="U67">
            <v>123693.47593517869</v>
          </cell>
          <cell r="V67">
            <v>225519.47593517869</v>
          </cell>
          <cell r="W67">
            <v>143810.47593517869</v>
          </cell>
          <cell r="X67">
            <v>115069.47593517869</v>
          </cell>
          <cell r="Y67">
            <v>115200.47593517869</v>
          </cell>
          <cell r="Z67">
            <v>98271.475935178692</v>
          </cell>
          <cell r="AA67">
            <v>143810.47593517869</v>
          </cell>
          <cell r="AB67">
            <v>125621.47593517869</v>
          </cell>
          <cell r="AC67">
            <v>94965.475935178692</v>
          </cell>
          <cell r="AD67">
            <v>100660.47593517869</v>
          </cell>
          <cell r="AE67">
            <v>127959.47593517869</v>
          </cell>
          <cell r="AF67">
            <v>125621.47593517869</v>
          </cell>
          <cell r="AG67">
            <v>145401.47593517869</v>
          </cell>
        </row>
        <row r="68">
          <cell r="B68">
            <v>76465</v>
          </cell>
          <cell r="C68">
            <v>89992</v>
          </cell>
          <cell r="D68">
            <v>105814</v>
          </cell>
          <cell r="E68">
            <v>104131.47593517868</v>
          </cell>
          <cell r="F68">
            <v>104131.47593517869</v>
          </cell>
          <cell r="G68">
            <v>94626.951870357356</v>
          </cell>
          <cell r="H68">
            <v>91447.050261718774</v>
          </cell>
          <cell r="I68">
            <v>109284.87858171877</v>
          </cell>
          <cell r="J68">
            <v>127044.47593517869</v>
          </cell>
          <cell r="K68">
            <v>127044.47593517869</v>
          </cell>
          <cell r="L68">
            <v>127044.47593517869</v>
          </cell>
          <cell r="M68">
            <v>233534.47593517869</v>
          </cell>
          <cell r="N68">
            <v>170775.47593517869</v>
          </cell>
          <cell r="O68">
            <v>216012.47593517869</v>
          </cell>
          <cell r="P68">
            <v>225519.47593517869</v>
          </cell>
          <cell r="Q68">
            <v>225519.47593517869</v>
          </cell>
          <cell r="R68">
            <v>184714.47593517869</v>
          </cell>
          <cell r="S68">
            <v>157536.47593517869</v>
          </cell>
          <cell r="T68">
            <v>123693.47593517869</v>
          </cell>
          <cell r="U68">
            <v>143810.47593517869</v>
          </cell>
          <cell r="V68">
            <v>143810.47593517869</v>
          </cell>
          <cell r="W68">
            <v>115069.47593517869</v>
          </cell>
          <cell r="X68">
            <v>115200.47593517869</v>
          </cell>
          <cell r="Y68">
            <v>98271.475935178692</v>
          </cell>
          <cell r="Z68">
            <v>125621.47593517869</v>
          </cell>
          <cell r="AA68">
            <v>125621.47593517869</v>
          </cell>
          <cell r="AB68">
            <v>94965.475935178692</v>
          </cell>
          <cell r="AC68">
            <v>100660.47593517869</v>
          </cell>
          <cell r="AD68">
            <v>127959.47593517869</v>
          </cell>
          <cell r="AE68">
            <v>145401.47593517869</v>
          </cell>
          <cell r="AF68">
            <v>145401.47593517869</v>
          </cell>
          <cell r="AG68">
            <v>117232.47593517869</v>
          </cell>
        </row>
      </sheetData>
      <sheetData sheetId="4">
        <row r="17">
          <cell r="C17">
            <v>149870.96685598622</v>
          </cell>
          <cell r="D17">
            <v>150494.46117321268</v>
          </cell>
          <cell r="E17">
            <v>148416.88236976153</v>
          </cell>
          <cell r="F17">
            <v>149040.3301324464</v>
          </cell>
          <cell r="G17">
            <v>597821.64053140674</v>
          </cell>
          <cell r="H17">
            <v>152612</v>
          </cell>
          <cell r="I17">
            <v>155638</v>
          </cell>
          <cell r="J17">
            <v>162639</v>
          </cell>
          <cell r="K17">
            <v>163128</v>
          </cell>
          <cell r="L17">
            <v>634017</v>
          </cell>
          <cell r="M17">
            <v>153559</v>
          </cell>
          <cell r="N17">
            <v>140794</v>
          </cell>
          <cell r="O17">
            <v>150519.13785266777</v>
          </cell>
          <cell r="P17">
            <v>150882.86214733223</v>
          </cell>
          <cell r="Q17">
            <v>595755</v>
          </cell>
          <cell r="R17">
            <v>159093</v>
          </cell>
          <cell r="S17">
            <v>163659</v>
          </cell>
          <cell r="T17">
            <v>169862</v>
          </cell>
          <cell r="U17">
            <v>169007</v>
          </cell>
          <cell r="V17">
            <v>661621</v>
          </cell>
          <cell r="W17">
            <v>180169</v>
          </cell>
          <cell r="X17">
            <v>185481</v>
          </cell>
          <cell r="Y17">
            <v>195053</v>
          </cell>
          <cell r="Z17">
            <v>203990</v>
          </cell>
          <cell r="AA17">
            <v>764693</v>
          </cell>
          <cell r="AB17">
            <v>218801</v>
          </cell>
          <cell r="AC17">
            <v>222813</v>
          </cell>
          <cell r="AD17">
            <v>227862</v>
          </cell>
          <cell r="AE17">
            <v>232065</v>
          </cell>
          <cell r="AF17">
            <v>901541</v>
          </cell>
          <cell r="AG17">
            <v>245781</v>
          </cell>
        </row>
        <row r="18">
          <cell r="C18">
            <v>0.11822412187019271</v>
          </cell>
          <cell r="D18">
            <v>9.4516632636036713E-2</v>
          </cell>
          <cell r="E18">
            <v>7.0822240426617E-2</v>
          </cell>
          <cell r="F18">
            <v>4.7790611168654351E-2</v>
          </cell>
          <cell r="G18">
            <v>8.2287332816930681E-2</v>
          </cell>
          <cell r="H18">
            <v>1.8289287121552311E-2</v>
          </cell>
          <cell r="I18">
            <v>3.4177595551954099E-2</v>
          </cell>
          <cell r="J18">
            <v>9.5825470816762515E-2</v>
          </cell>
          <cell r="K18">
            <v>9.4522535309969014E-2</v>
          </cell>
          <cell r="L18">
            <v>6.0547189264690049E-2</v>
          </cell>
          <cell r="M18">
            <v>6.2052787461013281E-3</v>
          </cell>
          <cell r="N18">
            <v>-9.5375165448026822E-2</v>
          </cell>
          <cell r="O18">
            <v>-7.4520023778627653E-2</v>
          </cell>
          <cell r="P18">
            <v>-7.5064598675075866E-2</v>
          </cell>
          <cell r="Q18">
            <v>-6.0348539550201363E-2</v>
          </cell>
          <cell r="R18">
            <v>3.6038265422410953E-2</v>
          </cell>
          <cell r="S18">
            <v>0.16240038638010135</v>
          </cell>
          <cell r="T18">
            <v>0.12850765971211953</v>
          </cell>
          <cell r="U18">
            <v>0.12012058622648691</v>
          </cell>
          <cell r="V18">
            <v>0.11055887067670445</v>
          </cell>
          <cell r="W18">
            <v>0.13247597317292392</v>
          </cell>
          <cell r="X18">
            <v>0.13333822154601949</v>
          </cell>
          <cell r="Y18">
            <v>0.14830273987118958</v>
          </cell>
          <cell r="Z18">
            <v>0.20699142639062296</v>
          </cell>
          <cell r="AA18">
            <v>0.15578707447314999</v>
          </cell>
          <cell r="AB18">
            <v>0.21442090481714393</v>
          </cell>
          <cell r="AC18">
            <v>0.20127128924256388</v>
          </cell>
          <cell r="AD18">
            <v>0.16820556464140513</v>
          </cell>
          <cell r="AE18">
            <v>0.13762929555370351</v>
          </cell>
          <cell r="AF18">
            <v>0.17895809167862131</v>
          </cell>
          <cell r="AG18">
            <v>0.12330839438576602</v>
          </cell>
        </row>
        <row r="19">
          <cell r="C19">
            <v>0.104152477303735</v>
          </cell>
          <cell r="D19">
            <v>9.7943653485765836E-2</v>
          </cell>
          <cell r="E19">
            <v>8.7427961273436328E-2</v>
          </cell>
          <cell r="F19">
            <v>6.7816377226745272E-2</v>
          </cell>
          <cell r="G19">
            <v>8.905334615962901E-2</v>
          </cell>
          <cell r="H19">
            <v>3.9E-2</v>
          </cell>
          <cell r="I19">
            <v>4.3999999999999997E-2</v>
          </cell>
          <cell r="J19">
            <v>0.10100000000000001</v>
          </cell>
          <cell r="K19">
            <v>9.5000000000000001E-2</v>
          </cell>
          <cell r="L19">
            <v>7.0000000000000007E-2</v>
          </cell>
          <cell r="M19">
            <v>1.5189806188657951E-2</v>
          </cell>
          <cell r="N19">
            <v>-8.5113869530994424E-2</v>
          </cell>
          <cell r="O19">
            <v>-7.3818017746927533E-2</v>
          </cell>
          <cell r="P19">
            <v>-7.4335344491529121E-2</v>
          </cell>
          <cell r="Q19">
            <v>-5.5299191968245509E-2</v>
          </cell>
          <cell r="R19">
            <v>2.7551097699270555E-2</v>
          </cell>
          <cell r="S19">
            <v>0.14889159851110234</v>
          </cell>
          <cell r="T19">
            <v>0.12610127163995721</v>
          </cell>
          <cell r="U19">
            <v>0.12222951818446059</v>
          </cell>
          <cell r="V19">
            <v>0.10510489414269042</v>
          </cell>
          <cell r="W19">
            <v>0.13961567030821898</v>
          </cell>
          <cell r="X19">
            <v>0.15033269885470735</v>
          </cell>
          <cell r="Y19">
            <v>0.17187436580971149</v>
          </cell>
          <cell r="Z19">
            <v>0.22975035140904332</v>
          </cell>
          <cell r="AA19">
            <v>0.17357299666141079</v>
          </cell>
          <cell r="AB19">
            <v>0.2324777889138252</v>
          </cell>
          <cell r="AC19">
            <v>0.20843819543719944</v>
          </cell>
          <cell r="AD19">
            <v>0.16420739184312994</v>
          </cell>
          <cell r="AE19">
            <v>0.13404308666251508</v>
          </cell>
          <cell r="AF19">
            <v>0.18297434587289607</v>
          </cell>
          <cell r="AG19">
            <v>0.12345030546140801</v>
          </cell>
        </row>
        <row r="20">
          <cell r="C20">
            <v>49845</v>
          </cell>
          <cell r="D20">
            <v>49501</v>
          </cell>
          <cell r="E20">
            <v>49898</v>
          </cell>
          <cell r="F20">
            <v>48327</v>
          </cell>
          <cell r="G20">
            <v>197571</v>
          </cell>
          <cell r="H20">
            <v>52274</v>
          </cell>
          <cell r="I20">
            <v>50623</v>
          </cell>
          <cell r="J20">
            <v>52930</v>
          </cell>
          <cell r="K20">
            <v>53945</v>
          </cell>
          <cell r="L20">
            <v>209772</v>
          </cell>
          <cell r="M20">
            <v>49519</v>
          </cell>
          <cell r="N20">
            <v>39625</v>
          </cell>
          <cell r="O20">
            <v>54903</v>
          </cell>
          <cell r="P20">
            <v>57222</v>
          </cell>
          <cell r="Q20">
            <v>201269</v>
          </cell>
          <cell r="R20">
            <v>64765</v>
          </cell>
          <cell r="S20">
            <v>64269</v>
          </cell>
          <cell r="T20">
            <v>67655</v>
          </cell>
          <cell r="U20">
            <v>63906</v>
          </cell>
          <cell r="V20">
            <v>260595</v>
          </cell>
          <cell r="W20">
            <v>68223</v>
          </cell>
          <cell r="X20">
            <v>65928</v>
          </cell>
          <cell r="Y20">
            <v>70530</v>
          </cell>
          <cell r="Z20">
            <v>73310</v>
          </cell>
          <cell r="AA20">
            <v>277991</v>
          </cell>
          <cell r="AB20">
            <v>81698</v>
          </cell>
          <cell r="AC20">
            <v>83106</v>
          </cell>
          <cell r="AD20">
            <v>87295</v>
          </cell>
          <cell r="AE20">
            <v>87441</v>
          </cell>
          <cell r="AF20">
            <v>339540</v>
          </cell>
          <cell r="AG20">
            <v>95193</v>
          </cell>
        </row>
        <row r="21">
          <cell r="C21">
            <v>0.33258609753213231</v>
          </cell>
          <cell r="D21">
            <v>0.32892240428055669</v>
          </cell>
          <cell r="E21">
            <v>0.33620164501020555</v>
          </cell>
          <cell r="F21">
            <v>0.32425451525136623</v>
          </cell>
          <cell r="G21">
            <v>0.33048485803287103</v>
          </cell>
          <cell r="H21">
            <v>0.34252876575891805</v>
          </cell>
          <cell r="I21">
            <v>0.32526118300158058</v>
          </cell>
          <cell r="J21">
            <v>0.3254446965365011</v>
          </cell>
          <cell r="K21">
            <v>0.33069123632975334</v>
          </cell>
          <cell r="L21">
            <v>0.3308617907721717</v>
          </cell>
          <cell r="M21">
            <v>0.32247540033472477</v>
          </cell>
          <cell r="N21">
            <v>0.28143954998082304</v>
          </cell>
          <cell r="O21">
            <v>0.36475760347325764</v>
          </cell>
          <cell r="P21">
            <v>0.37924784290030611</v>
          </cell>
          <cell r="Q21">
            <v>0.33783854101098604</v>
          </cell>
          <cell r="R21">
            <v>0.4070889354025633</v>
          </cell>
          <cell r="S21">
            <v>0.39270067640643047</v>
          </cell>
          <cell r="T21">
            <v>0.39829390917332896</v>
          </cell>
          <cell r="U21">
            <v>0.37812634979616228</v>
          </cell>
          <cell r="V21">
            <v>0.39387353182562224</v>
          </cell>
          <cell r="W21">
            <v>0.3786611459241046</v>
          </cell>
          <cell r="X21">
            <v>0.35544341468937518</v>
          </cell>
          <cell r="Y21">
            <v>0.3615940282897469</v>
          </cell>
          <cell r="Z21">
            <v>0.35938036178244032</v>
          </cell>
          <cell r="AA21">
            <v>0.36353281643744612</v>
          </cell>
          <cell r="AB21">
            <v>0.37338951832944089</v>
          </cell>
          <cell r="AC21">
            <v>0.37298541826554105</v>
          </cell>
          <cell r="AD21">
            <v>0.38310468616969923</v>
          </cell>
          <cell r="AE21">
            <v>0.37679529442182147</v>
          </cell>
          <cell r="AF21">
            <v>0.37662180644030607</v>
          </cell>
          <cell r="AG21">
            <v>0.38730821340949872</v>
          </cell>
        </row>
        <row r="23">
          <cell r="C23">
            <v>76148.167060416323</v>
          </cell>
          <cell r="D23">
            <v>78614.312935322407</v>
          </cell>
          <cell r="E23">
            <v>77757.039113754727</v>
          </cell>
          <cell r="F23">
            <v>78632.585690686348</v>
          </cell>
          <cell r="G23">
            <v>311152.10480017978</v>
          </cell>
          <cell r="H23">
            <v>81286</v>
          </cell>
          <cell r="I23">
            <v>85581</v>
          </cell>
          <cell r="J23">
            <v>91096</v>
          </cell>
          <cell r="K23">
            <v>88471</v>
          </cell>
          <cell r="L23">
            <v>346434</v>
          </cell>
          <cell r="M23">
            <v>83739</v>
          </cell>
          <cell r="N23">
            <v>81281</v>
          </cell>
          <cell r="O23">
            <v>87830.240012667782</v>
          </cell>
          <cell r="P23">
            <v>88919.759987332218</v>
          </cell>
          <cell r="Q23">
            <v>341770</v>
          </cell>
          <cell r="R23">
            <v>91160</v>
          </cell>
          <cell r="S23">
            <v>94719</v>
          </cell>
          <cell r="T23">
            <v>98008</v>
          </cell>
          <cell r="U23">
            <v>98112</v>
          </cell>
          <cell r="V23">
            <v>381999</v>
          </cell>
          <cell r="W23">
            <v>103266</v>
          </cell>
          <cell r="X23">
            <v>108557</v>
          </cell>
          <cell r="Y23">
            <v>116198</v>
          </cell>
          <cell r="Z23">
            <v>120683</v>
          </cell>
          <cell r="AA23">
            <v>448704</v>
          </cell>
          <cell r="AB23">
            <v>125937</v>
          </cell>
          <cell r="AC23">
            <v>128457</v>
          </cell>
          <cell r="AD23">
            <v>136369</v>
          </cell>
          <cell r="AE23">
            <v>139092</v>
          </cell>
          <cell r="AF23">
            <v>529855</v>
          </cell>
          <cell r="AG23">
            <v>145139</v>
          </cell>
        </row>
        <row r="24">
          <cell r="C24">
            <v>0.2121233488330192</v>
          </cell>
          <cell r="D24">
            <v>0.18933606925635882</v>
          </cell>
          <cell r="E24">
            <v>0.14559720208257043</v>
          </cell>
          <cell r="F24">
            <v>9.3570729091322358E-2</v>
          </cell>
          <cell r="G24">
            <v>0.15798827964705398</v>
          </cell>
          <cell r="H24">
            <v>6.7471524764441071E-2</v>
          </cell>
          <cell r="I24">
            <v>8.8618558180483253E-2</v>
          </cell>
          <cell r="J24">
            <v>0.17154666687772191</v>
          </cell>
          <cell r="K24">
            <v>0.12511879423645822</v>
          </cell>
          <cell r="L24">
            <v>0.11339115068007688</v>
          </cell>
          <cell r="M24">
            <v>3.0177398321974191E-2</v>
          </cell>
          <cell r="N24">
            <v>-5.0244797326509438E-2</v>
          </cell>
          <cell r="O24">
            <v>-3.5849652974139556E-2</v>
          </cell>
          <cell r="P24">
            <v>5.0723964613512695E-3</v>
          </cell>
          <cell r="Q24">
            <v>-1.3462881818759098E-2</v>
          </cell>
          <cell r="R24">
            <v>8.8620594943813469E-2</v>
          </cell>
          <cell r="S24">
            <v>0.16532769035814021</v>
          </cell>
          <cell r="T24">
            <v>0.11587990634961587</v>
          </cell>
          <cell r="U24">
            <v>0.10337679739550953</v>
          </cell>
          <cell r="V24">
            <v>0.11770781519735496</v>
          </cell>
          <cell r="W24">
            <v>0.13279947345326892</v>
          </cell>
          <cell r="X24">
            <v>0.14609529239117802</v>
          </cell>
          <cell r="Y24">
            <v>0.18559709411476621</v>
          </cell>
          <cell r="Z24">
            <v>0.23005340834964128</v>
          </cell>
          <cell r="AA24">
            <v>0.17462087597087961</v>
          </cell>
          <cell r="AB24">
            <v>0.21953982917901338</v>
          </cell>
          <cell r="AC24">
            <v>0.18331383512808941</v>
          </cell>
          <cell r="AD24">
            <v>0.17359162808309958</v>
          </cell>
          <cell r="AE24">
            <v>0.15254012578407905</v>
          </cell>
          <cell r="AF24">
            <v>0.18085642205106267</v>
          </cell>
          <cell r="AG24">
            <v>0.1524730619277892</v>
          </cell>
        </row>
        <row r="25">
          <cell r="C25">
            <v>0.19238882504405108</v>
          </cell>
          <cell r="D25">
            <v>0.18952045791185457</v>
          </cell>
          <cell r="E25">
            <v>0.15739406888615903</v>
          </cell>
          <cell r="F25">
            <v>0.10894136492313544</v>
          </cell>
          <cell r="G25">
            <v>0.1605128318680098</v>
          </cell>
          <cell r="H25">
            <v>8.76506851370491E-2</v>
          </cell>
          <cell r="I25">
            <v>0.10010589674361836</v>
          </cell>
          <cell r="J25">
            <v>0.18068313647309786</v>
          </cell>
          <cell r="K25">
            <v>0.12654231897760515</v>
          </cell>
          <cell r="L25">
            <v>0.12386732726735761</v>
          </cell>
          <cell r="M25">
            <v>4.1131479135403604E-2</v>
          </cell>
          <cell r="N25">
            <v>-4.1522462219852341E-2</v>
          </cell>
          <cell r="O25">
            <v>-3.891677633948698E-2</v>
          </cell>
          <cell r="P25">
            <v>4.1265779604706676E-3</v>
          </cell>
          <cell r="Q25">
            <v>-9.7858675320537936E-3</v>
          </cell>
          <cell r="R25">
            <v>7.5681343266865264E-2</v>
          </cell>
          <cell r="S25">
            <v>0.14878169746846748</v>
          </cell>
          <cell r="T25">
            <v>0.11282360503880762</v>
          </cell>
          <cell r="U25">
            <v>0.10481465490671593</v>
          </cell>
          <cell r="V25">
            <v>0.11019217286842697</v>
          </cell>
          <cell r="W25">
            <v>0.13914165971010073</v>
          </cell>
          <cell r="X25">
            <v>0.15940735033532616</v>
          </cell>
          <cell r="Y25">
            <v>0.20256649564599694</v>
          </cell>
          <cell r="Z25">
            <v>0.24575108489288588</v>
          </cell>
          <cell r="AA25">
            <v>0.18782068621210746</v>
          </cell>
          <cell r="AB25">
            <v>0.23277185001861889</v>
          </cell>
          <cell r="AC25">
            <v>0.19209484764736695</v>
          </cell>
          <cell r="AD25">
            <v>0.17591072034844712</v>
          </cell>
          <cell r="AE25">
            <v>0.15347102861842088</v>
          </cell>
          <cell r="AF25">
            <v>0.1868770373276698</v>
          </cell>
          <cell r="AG25">
            <v>0.15568992839069518</v>
          </cell>
        </row>
        <row r="26">
          <cell r="C26">
            <v>24247.168207756244</v>
          </cell>
          <cell r="D26">
            <v>25806.112536955741</v>
          </cell>
          <cell r="E26">
            <v>24717.498250572389</v>
          </cell>
          <cell r="F26">
            <v>24563.072901162224</v>
          </cell>
          <cell r="G26">
            <v>99333.851896446577</v>
          </cell>
          <cell r="H26">
            <v>26043</v>
          </cell>
          <cell r="I26">
            <v>26167</v>
          </cell>
          <cell r="J26">
            <v>28863</v>
          </cell>
          <cell r="K26">
            <v>26781</v>
          </cell>
          <cell r="L26">
            <v>107854</v>
          </cell>
          <cell r="M26">
            <v>24774</v>
          </cell>
          <cell r="N26">
            <v>22168</v>
          </cell>
          <cell r="O26">
            <v>30999</v>
          </cell>
          <cell r="P26">
            <v>31945</v>
          </cell>
          <cell r="Q26">
            <v>109886</v>
          </cell>
          <cell r="R26">
            <v>35067</v>
          </cell>
          <cell r="S26">
            <v>35360</v>
          </cell>
          <cell r="T26">
            <v>36518</v>
          </cell>
          <cell r="U26">
            <v>35525</v>
          </cell>
          <cell r="V26">
            <v>142470</v>
          </cell>
          <cell r="W26">
            <v>38184</v>
          </cell>
          <cell r="X26">
            <v>37912</v>
          </cell>
          <cell r="Y26">
            <v>41157</v>
          </cell>
          <cell r="Z26">
            <v>43717</v>
          </cell>
          <cell r="AA26">
            <v>160970</v>
          </cell>
          <cell r="AB26">
            <v>43613</v>
          </cell>
          <cell r="AC26">
            <v>44135</v>
          </cell>
          <cell r="AD26">
            <v>49934</v>
          </cell>
          <cell r="AE26">
            <v>50388</v>
          </cell>
          <cell r="AF26">
            <v>188070</v>
          </cell>
          <cell r="AG26">
            <v>52847</v>
          </cell>
        </row>
        <row r="27">
          <cell r="C27">
            <v>0.31842090418957064</v>
          </cell>
          <cell r="D27">
            <v>0.32826226641689221</v>
          </cell>
          <cell r="E27">
            <v>0.31788116590205939</v>
          </cell>
          <cell r="F27">
            <v>0.31237778441859887</v>
          </cell>
          <cell r="G27">
            <v>0.31924531559970726</v>
          </cell>
          <cell r="H27">
            <v>0.32038727456142507</v>
          </cell>
          <cell r="I27">
            <v>0.30575711898669095</v>
          </cell>
          <cell r="J27">
            <v>0.31684157372442256</v>
          </cell>
          <cell r="K27">
            <v>0.30270936238993568</v>
          </cell>
          <cell r="L27">
            <v>0.31132625550609927</v>
          </cell>
          <cell r="M27">
            <v>0.29584781284706052</v>
          </cell>
          <cell r="N27">
            <v>0.2727328649992003</v>
          </cell>
          <cell r="O27">
            <v>0.35294222121593888</v>
          </cell>
          <cell r="P27">
            <v>0.35925648027559887</v>
          </cell>
          <cell r="Q27">
            <v>0.32152032068350062</v>
          </cell>
          <cell r="R27">
            <v>0.38467529618253621</v>
          </cell>
          <cell r="S27">
            <v>0.37331475205608167</v>
          </cell>
          <cell r="T27">
            <v>0.37260223655211822</v>
          </cell>
          <cell r="U27">
            <v>0.36208618721461189</v>
          </cell>
          <cell r="V27">
            <v>0.37295909151594636</v>
          </cell>
          <cell r="W27">
            <v>0.36976352332810414</v>
          </cell>
          <cell r="X27">
            <v>0.34923588529528266</v>
          </cell>
          <cell r="Y27">
            <v>0.35419714625036575</v>
          </cell>
          <cell r="Z27">
            <v>0.36224654673814871</v>
          </cell>
          <cell r="AA27">
            <v>0.35874429467978891</v>
          </cell>
          <cell r="AB27">
            <v>0.34630807467225677</v>
          </cell>
          <cell r="AC27">
            <v>0.34357800664813909</v>
          </cell>
          <cell r="AD27">
            <v>0.36616826404828079</v>
          </cell>
          <cell r="AE27">
            <v>0.36226382538176172</v>
          </cell>
          <cell r="AF27">
            <v>0.35494616451670741</v>
          </cell>
          <cell r="AG27">
            <v>0.36411302268859508</v>
          </cell>
        </row>
        <row r="30">
          <cell r="C30">
            <v>24140.716187444454</v>
          </cell>
          <cell r="D30">
            <v>21172.537169999996</v>
          </cell>
          <cell r="E30">
            <v>21666.227190000001</v>
          </cell>
          <cell r="F30">
            <v>22865.514659999993</v>
          </cell>
          <cell r="G30">
            <v>89844.995207444445</v>
          </cell>
          <cell r="H30">
            <v>22248</v>
          </cell>
          <cell r="I30">
            <v>21730</v>
          </cell>
          <cell r="J30">
            <v>25631</v>
          </cell>
          <cell r="K30">
            <v>27856</v>
          </cell>
          <cell r="L30">
            <v>97465</v>
          </cell>
          <cell r="M30">
            <v>27029</v>
          </cell>
          <cell r="N30">
            <v>24978</v>
          </cell>
          <cell r="O30">
            <v>25111.897839999998</v>
          </cell>
          <cell r="P30">
            <v>24196.102160000009</v>
          </cell>
          <cell r="Q30">
            <v>101315</v>
          </cell>
          <cell r="R30">
            <v>30265</v>
          </cell>
          <cell r="S30">
            <v>28250</v>
          </cell>
          <cell r="T30">
            <v>27341</v>
          </cell>
          <cell r="U30">
            <v>26530</v>
          </cell>
          <cell r="V30">
            <v>112386</v>
          </cell>
          <cell r="W30">
            <v>26156</v>
          </cell>
          <cell r="X30">
            <v>23051</v>
          </cell>
          <cell r="Y30">
            <v>22820</v>
          </cell>
          <cell r="Z30">
            <v>25324</v>
          </cell>
          <cell r="AA30">
            <v>97351</v>
          </cell>
          <cell r="AB30">
            <v>26703</v>
          </cell>
          <cell r="AC30">
            <v>27156</v>
          </cell>
          <cell r="AD30">
            <v>26177</v>
          </cell>
          <cell r="AE30">
            <v>25958</v>
          </cell>
          <cell r="AF30">
            <v>105994</v>
          </cell>
          <cell r="AG30">
            <v>26250</v>
          </cell>
        </row>
        <row r="31">
          <cell r="C31">
            <v>0.13532522794008672</v>
          </cell>
          <cell r="D31">
            <v>3.8818963441629162E-3</v>
          </cell>
          <cell r="E31">
            <v>3.9368385784354087E-2</v>
          </cell>
          <cell r="F31">
            <v>3.6832266521939383E-2</v>
          </cell>
          <cell r="G31">
            <v>5.3866943787367783E-2</v>
          </cell>
          <cell r="H31">
            <v>-7.8403481187059865E-2</v>
          </cell>
          <cell r="I31">
            <v>2.6329524209780963E-2</v>
          </cell>
          <cell r="J31">
            <v>0.18299322605783108</v>
          </cell>
          <cell r="K31">
            <v>0.21825379459882255</v>
          </cell>
          <cell r="L31">
            <v>8.4812790906845903E-2</v>
          </cell>
          <cell r="M31">
            <v>0.21489572096368215</v>
          </cell>
          <cell r="N31">
            <v>0.1494707777266453</v>
          </cell>
          <cell r="O31">
            <v>-2.0252903125121957E-2</v>
          </cell>
          <cell r="P31">
            <v>-0.13138633831131497</v>
          </cell>
          <cell r="Q31">
            <v>3.9501359462371211E-2</v>
          </cell>
          <cell r="R31">
            <v>0.1197232602020053</v>
          </cell>
          <cell r="S31">
            <v>0.13099527584274151</v>
          </cell>
          <cell r="T31">
            <v>8.8766773989074288E-2</v>
          </cell>
          <cell r="U31">
            <v>9.6457595713837385E-2</v>
          </cell>
          <cell r="V31">
            <v>0.10927305927059172</v>
          </cell>
          <cell r="W31">
            <v>-0.13576738807203037</v>
          </cell>
          <cell r="X31">
            <v>-0.18403539823008852</v>
          </cell>
          <cell r="Y31">
            <v>-0.16535605866647163</v>
          </cell>
          <cell r="Z31">
            <v>-4.5457972107048605E-2</v>
          </cell>
          <cell r="AA31">
            <v>-0.13378000818607305</v>
          </cell>
          <cell r="AB31">
            <v>2.0912983636641735E-2</v>
          </cell>
          <cell r="AC31">
            <v>0.17808338033057125</v>
          </cell>
          <cell r="AD31">
            <v>0.1471078001752848</v>
          </cell>
          <cell r="AE31">
            <v>2.5035539409256069E-2</v>
          </cell>
          <cell r="AF31">
            <v>8.8781830695113584E-2</v>
          </cell>
          <cell r="AG31">
            <v>-1.6964386024042266E-2</v>
          </cell>
        </row>
        <row r="32">
          <cell r="C32">
            <v>0.13502306072919135</v>
          </cell>
          <cell r="D32">
            <v>4.5258241443262293E-3</v>
          </cell>
          <cell r="E32">
            <v>4.0815849427945139E-2</v>
          </cell>
          <cell r="F32">
            <v>3.8181547156444173E-2</v>
          </cell>
          <cell r="G32">
            <v>5.465384128904871E-2</v>
          </cell>
          <cell r="H32">
            <v>-7.6661845867398548E-2</v>
          </cell>
          <cell r="I32">
            <v>2.6975149432786338E-2</v>
          </cell>
          <cell r="J32">
            <v>0.18286178794395647</v>
          </cell>
          <cell r="K32">
            <v>0.21831034469248523</v>
          </cell>
          <cell r="L32">
            <v>8.5416247648292698E-2</v>
          </cell>
          <cell r="M32">
            <v>0.21561497984223843</v>
          </cell>
          <cell r="N32">
            <v>0.15089951509570332</v>
          </cell>
          <cell r="O32">
            <v>-1.9461249231818911E-2</v>
          </cell>
          <cell r="P32">
            <v>-0.1308056428564105</v>
          </cell>
          <cell r="Q32">
            <v>4.0358540083005323E-2</v>
          </cell>
          <cell r="R32">
            <v>0.11964786617880518</v>
          </cell>
          <cell r="S32">
            <v>0.13081910310668454</v>
          </cell>
          <cell r="T32">
            <v>8.8771489417104776E-2</v>
          </cell>
          <cell r="U32">
            <v>9.6635385618634384E-2</v>
          </cell>
          <cell r="V32">
            <v>0.10925327271755325</v>
          </cell>
          <cell r="W32">
            <v>-0.13528861994991015</v>
          </cell>
          <cell r="X32">
            <v>-0.18351476682907242</v>
          </cell>
          <cell r="Y32">
            <v>-0.16443188457151503</v>
          </cell>
          <cell r="Z32">
            <v>-4.441811054714051E-2</v>
          </cell>
          <cell r="AA32">
            <v>-0.1330496353975803</v>
          </cell>
          <cell r="AB32">
            <v>2.1960152872428251E-2</v>
          </cell>
          <cell r="AC32">
            <v>0.17893810898925566</v>
          </cell>
          <cell r="AD32">
            <v>0.1475514413969059</v>
          </cell>
          <cell r="AE32">
            <v>2.5272453156314212E-2</v>
          </cell>
          <cell r="AF32">
            <v>8.9431347937867667E-2</v>
          </cell>
          <cell r="AG32">
            <v>-1.6967091702651205E-2</v>
          </cell>
        </row>
        <row r="33">
          <cell r="C33">
            <v>5511.3214201459086</v>
          </cell>
          <cell r="D33">
            <v>3496.5549440261566</v>
          </cell>
          <cell r="E33">
            <v>5257.7920387148552</v>
          </cell>
          <cell r="F33">
            <v>5132.9121908205634</v>
          </cell>
          <cell r="G33">
            <v>19398.580593707491</v>
          </cell>
          <cell r="H33">
            <v>4446</v>
          </cell>
          <cell r="I33">
            <v>3981</v>
          </cell>
          <cell r="J33">
            <v>5222</v>
          </cell>
          <cell r="K33">
            <v>6768</v>
          </cell>
          <cell r="L33">
            <v>20417</v>
          </cell>
          <cell r="M33">
            <v>7436</v>
          </cell>
          <cell r="N33">
            <v>5338</v>
          </cell>
          <cell r="O33">
            <v>7119.2778883515457</v>
          </cell>
          <cell r="P33">
            <v>8278.7221116484543</v>
          </cell>
          <cell r="Q33">
            <v>28172</v>
          </cell>
          <cell r="R33">
            <v>12874</v>
          </cell>
          <cell r="S33">
            <v>10565</v>
          </cell>
          <cell r="T33">
            <v>10284</v>
          </cell>
          <cell r="U33">
            <v>8903</v>
          </cell>
          <cell r="V33">
            <v>42626</v>
          </cell>
          <cell r="W33">
            <v>8505</v>
          </cell>
          <cell r="X33">
            <v>5357</v>
          </cell>
          <cell r="Y33">
            <v>5701</v>
          </cell>
          <cell r="Z33">
            <v>6837</v>
          </cell>
          <cell r="AA33">
            <v>26400</v>
          </cell>
          <cell r="AB33">
            <v>7894</v>
          </cell>
          <cell r="AC33">
            <v>9616</v>
          </cell>
          <cell r="AD33">
            <v>9644</v>
          </cell>
          <cell r="AE33">
            <v>9567</v>
          </cell>
          <cell r="AF33">
            <v>36721</v>
          </cell>
          <cell r="AG33">
            <v>8933</v>
          </cell>
        </row>
        <row r="34">
          <cell r="C34">
            <v>0.22829983076526691</v>
          </cell>
          <cell r="D34">
            <v>0.16514576953868951</v>
          </cell>
          <cell r="E34">
            <v>0.24267224711562044</v>
          </cell>
          <cell r="F34">
            <v>0.2244826878880567</v>
          </cell>
          <cell r="G34">
            <v>0.21591164370277743</v>
          </cell>
          <cell r="H34">
            <v>0.19983818770226539</v>
          </cell>
          <cell r="I34">
            <v>0.18320294523699954</v>
          </cell>
          <cell r="J34">
            <v>0.20373766142561742</v>
          </cell>
          <cell r="K34">
            <v>0.24296381390005745</v>
          </cell>
          <cell r="L34">
            <v>0.20948032627096907</v>
          </cell>
          <cell r="M34">
            <v>0.27511191683007141</v>
          </cell>
          <cell r="N34">
            <v>0.21370806309552406</v>
          </cell>
          <cell r="O34">
            <v>0.2835021842519389</v>
          </cell>
          <cell r="P34">
            <v>0.3421510645352826</v>
          </cell>
          <cell r="Q34">
            <v>0.27806346542960075</v>
          </cell>
          <cell r="R34">
            <v>0.42537584668759293</v>
          </cell>
          <cell r="S34">
            <v>0.37398230088495577</v>
          </cell>
          <cell r="T34">
            <v>0.37613840020482059</v>
          </cell>
          <cell r="U34">
            <v>0.33558235959291366</v>
          </cell>
          <cell r="V34">
            <v>0.37928211698966063</v>
          </cell>
          <cell r="W34">
            <v>0.32516439822602844</v>
          </cell>
          <cell r="X34">
            <v>0.23239772677974926</v>
          </cell>
          <cell r="Y34">
            <v>0.24982471516213847</v>
          </cell>
          <cell r="Z34">
            <v>0.26998104564839676</v>
          </cell>
          <cell r="AA34">
            <v>0.27118365502152009</v>
          </cell>
          <cell r="AB34">
            <v>0.29562221473242706</v>
          </cell>
          <cell r="AC34">
            <v>0.35410222418618353</v>
          </cell>
          <cell r="AD34">
            <v>0.36841502081980365</v>
          </cell>
          <cell r="AE34">
            <v>0.36855689960705756</v>
          </cell>
          <cell r="AF34">
            <v>0.34644413834745363</v>
          </cell>
          <cell r="AG34">
            <v>0.34030476190476189</v>
          </cell>
        </row>
        <row r="36">
          <cell r="C36">
            <v>49582.083608125431</v>
          </cell>
          <cell r="D36">
            <v>50707.611067890277</v>
          </cell>
          <cell r="E36">
            <v>48993.616066006805</v>
          </cell>
          <cell r="F36">
            <v>47542.229781760056</v>
          </cell>
          <cell r="G36">
            <v>196824.54052378255</v>
          </cell>
          <cell r="H36">
            <v>49078</v>
          </cell>
          <cell r="I36">
            <v>48327</v>
          </cell>
          <cell r="J36">
            <v>45912</v>
          </cell>
          <cell r="K36">
            <v>46801</v>
          </cell>
          <cell r="L36">
            <v>190118</v>
          </cell>
          <cell r="M36">
            <v>42791</v>
          </cell>
          <cell r="N36">
            <v>34535</v>
          </cell>
          <cell r="O36">
            <v>37577</v>
          </cell>
          <cell r="P36">
            <v>37767</v>
          </cell>
          <cell r="Q36">
            <v>152670</v>
          </cell>
          <cell r="R36">
            <v>37668</v>
          </cell>
          <cell r="S36">
            <v>40690</v>
          </cell>
          <cell r="T36">
            <v>44513</v>
          </cell>
          <cell r="U36">
            <v>44365</v>
          </cell>
          <cell r="V36">
            <v>167236</v>
          </cell>
          <cell r="W36">
            <v>50747</v>
          </cell>
          <cell r="X36">
            <v>53873</v>
          </cell>
          <cell r="Y36">
            <v>56035</v>
          </cell>
          <cell r="Z36">
            <v>57983</v>
          </cell>
          <cell r="AA36">
            <v>218638</v>
          </cell>
          <cell r="AB36">
            <v>66161</v>
          </cell>
          <cell r="AC36">
            <v>67200</v>
          </cell>
          <cell r="AD36">
            <v>65316</v>
          </cell>
          <cell r="AE36">
            <v>67015</v>
          </cell>
          <cell r="AF36">
            <v>265692</v>
          </cell>
          <cell r="AG36">
            <v>74392</v>
          </cell>
        </row>
        <row r="37">
          <cell r="C37">
            <v>-7.1766246416520296E-3</v>
          </cell>
          <cell r="D37">
            <v>7.3355111803201645E-3</v>
          </cell>
          <cell r="E37">
            <v>-1.7200992854702113E-2</v>
          </cell>
          <cell r="F37">
            <v>-1.5358179166956365E-2</v>
          </cell>
          <cell r="G37">
            <v>-8.0080471518180207E-3</v>
          </cell>
          <cell r="H37">
            <v>-1.0166648342362583E-2</v>
          </cell>
          <cell r="I37">
            <v>-4.694780562040235E-2</v>
          </cell>
          <cell r="J37">
            <v>-6.2898318463676772E-2</v>
          </cell>
          <cell r="K37">
            <v>-1.5590976383788258E-2</v>
          </cell>
          <cell r="L37">
            <v>-3.4068793325929936E-2</v>
          </cell>
          <cell r="M37">
            <v>-0.12810220465381639</v>
          </cell>
          <cell r="N37">
            <v>-0.28538911995364913</v>
          </cell>
          <cell r="O37">
            <v>-0.18154295173375157</v>
          </cell>
          <cell r="P37">
            <v>-0.19303006346018248</v>
          </cell>
          <cell r="Q37">
            <v>-0.19697240661063131</v>
          </cell>
          <cell r="R37">
            <v>-0.11972143675071856</v>
          </cell>
          <cell r="S37">
            <v>0.17822498914145068</v>
          </cell>
          <cell r="T37">
            <v>0.18458099369295056</v>
          </cell>
          <cell r="U37">
            <v>0.17470278285275498</v>
          </cell>
          <cell r="V37">
            <v>9.5408397196567796E-2</v>
          </cell>
          <cell r="W37">
            <v>0.34721779760008498</v>
          </cell>
          <cell r="X37">
            <v>0.32398623740476773</v>
          </cell>
          <cell r="Y37">
            <v>0.25884573046076431</v>
          </cell>
          <cell r="Z37">
            <v>0.30695367970246812</v>
          </cell>
          <cell r="AA37">
            <v>0.30736205123298821</v>
          </cell>
          <cell r="AB37">
            <v>0.30374209312865785</v>
          </cell>
          <cell r="AC37">
            <v>0.24737809292224311</v>
          </cell>
          <cell r="AD37">
            <v>0.16562862496653885</v>
          </cell>
          <cell r="AE37">
            <v>0.15576979459496743</v>
          </cell>
          <cell r="AF37">
            <v>0.21521418966510852</v>
          </cell>
          <cell r="AG37">
            <v>0.12440863953084147</v>
          </cell>
        </row>
        <row r="38">
          <cell r="C38">
            <v>-1.9987302814858054E-2</v>
          </cell>
          <cell r="D38">
            <v>1.6785846230720658E-2</v>
          </cell>
          <cell r="E38">
            <v>1.1701728919066845E-2</v>
          </cell>
          <cell r="F38">
            <v>2.0109333595353496E-2</v>
          </cell>
          <cell r="G38">
            <v>7.0608280109063504E-3</v>
          </cell>
          <cell r="H38">
            <v>1.6162810467584166E-2</v>
          </cell>
          <cell r="I38">
            <v>-3.5680958427906306E-2</v>
          </cell>
          <cell r="J38">
            <v>-6.2191215513976217E-2</v>
          </cell>
          <cell r="K38">
            <v>-1.671263092743791E-2</v>
          </cell>
          <cell r="L38">
            <v>-2.4642124558533207E-2</v>
          </cell>
          <cell r="M38">
            <v>-0.11863677605004952</v>
          </cell>
          <cell r="N38">
            <v>-0.26842847954829785</v>
          </cell>
          <cell r="O38">
            <v>-0.17341488098325408</v>
          </cell>
          <cell r="P38">
            <v>-0.18904768662088101</v>
          </cell>
          <cell r="Q38">
            <v>-0.1872749158062964</v>
          </cell>
          <cell r="R38">
            <v>-0.1247819651204235</v>
          </cell>
          <cell r="S38">
            <v>0.16222161892348419</v>
          </cell>
          <cell r="T38">
            <v>0.18208213385117511</v>
          </cell>
          <cell r="U38">
            <v>0.179630377826143</v>
          </cell>
          <cell r="V38">
            <v>9.096420394757998E-2</v>
          </cell>
          <cell r="W38">
            <v>0.36164443510882993</v>
          </cell>
          <cell r="X38">
            <v>0.36098382483424607</v>
          </cell>
          <cell r="Y38">
            <v>0.31086442959089888</v>
          </cell>
          <cell r="Z38">
            <v>0.3583152470456985</v>
          </cell>
          <cell r="AA38">
            <v>0.34708458121964569</v>
          </cell>
          <cell r="AB38">
            <v>0.34038310088315971</v>
          </cell>
          <cell r="AC38">
            <v>0.25399313670169343</v>
          </cell>
          <cell r="AD38">
            <v>0.14672165384513214</v>
          </cell>
          <cell r="AE38">
            <v>0.14111137679013397</v>
          </cell>
          <cell r="AF38">
            <v>0.21661558209284659</v>
          </cell>
          <cell r="AG38">
            <v>0.11875525609073234</v>
          </cell>
        </row>
        <row r="39">
          <cell r="C39">
            <v>20086.983382073111</v>
          </cell>
          <cell r="D39">
            <v>20199.203012760525</v>
          </cell>
          <cell r="E39">
            <v>19922.494664906415</v>
          </cell>
          <cell r="F39">
            <v>18631.327774917048</v>
          </cell>
          <cell r="G39">
            <v>78839.00883465707</v>
          </cell>
          <cell r="H39">
            <v>21785</v>
          </cell>
          <cell r="I39">
            <v>20475</v>
          </cell>
          <cell r="J39">
            <v>18845</v>
          </cell>
          <cell r="K39">
            <v>20396</v>
          </cell>
          <cell r="L39">
            <v>81501</v>
          </cell>
          <cell r="M39">
            <v>17309</v>
          </cell>
          <cell r="N39">
            <v>12119</v>
          </cell>
          <cell r="O39">
            <v>16785</v>
          </cell>
          <cell r="P39">
            <v>16998</v>
          </cell>
          <cell r="Q39">
            <v>63211</v>
          </cell>
          <cell r="R39">
            <v>16824</v>
          </cell>
          <cell r="S39">
            <v>18344</v>
          </cell>
          <cell r="T39">
            <v>20853</v>
          </cell>
          <cell r="U39">
            <v>19478</v>
          </cell>
          <cell r="V39">
            <v>75499</v>
          </cell>
          <cell r="W39">
            <v>21534</v>
          </cell>
          <cell r="X39">
            <v>22659</v>
          </cell>
          <cell r="Y39">
            <v>23672</v>
          </cell>
          <cell r="Z39">
            <v>22756</v>
          </cell>
          <cell r="AA39">
            <v>90621</v>
          </cell>
          <cell r="AB39">
            <v>30191</v>
          </cell>
          <cell r="AC39">
            <v>29355</v>
          </cell>
          <cell r="AD39">
            <v>27717</v>
          </cell>
          <cell r="AE39">
            <v>27486</v>
          </cell>
          <cell r="AF39">
            <v>114749</v>
          </cell>
          <cell r="AG39">
            <v>33413</v>
          </cell>
        </row>
        <row r="40">
          <cell r="C40">
            <v>0.40512584224639742</v>
          </cell>
          <cell r="D40">
            <v>0.39834657139963991</v>
          </cell>
          <cell r="E40">
            <v>0.40663450189236433</v>
          </cell>
          <cell r="F40">
            <v>0.39189007037413087</v>
          </cell>
          <cell r="G40">
            <v>0.40055477139615553</v>
          </cell>
          <cell r="H40">
            <v>0.44388524389746936</v>
          </cell>
          <cell r="I40">
            <v>0.4236762058476628</v>
          </cell>
          <cell r="J40">
            <v>0.41045913922286115</v>
          </cell>
          <cell r="K40">
            <v>0.43580265378944893</v>
          </cell>
          <cell r="L40">
            <v>0.42868639476535625</v>
          </cell>
          <cell r="M40">
            <v>0.40450094646070434</v>
          </cell>
          <cell r="N40">
            <v>0.35091935717388156</v>
          </cell>
          <cell r="O40">
            <v>0.44668281129414267</v>
          </cell>
          <cell r="P40">
            <v>0.45007546270553656</v>
          </cell>
          <cell r="Q40">
            <v>0.41403681142333137</v>
          </cell>
          <cell r="R40">
            <v>0.44663905702453011</v>
          </cell>
          <cell r="S40">
            <v>0.45082329810764316</v>
          </cell>
          <cell r="T40">
            <v>0.46846988520207578</v>
          </cell>
          <cell r="U40">
            <v>0.43903978361320861</v>
          </cell>
          <cell r="V40">
            <v>0.45145184051280823</v>
          </cell>
          <cell r="W40">
            <v>0.42434035509488244</v>
          </cell>
          <cell r="X40">
            <v>0.42060030070721882</v>
          </cell>
          <cell r="Y40">
            <v>0.42245025430534489</v>
          </cell>
          <cell r="Z40">
            <v>0.3924598589241674</v>
          </cell>
          <cell r="AA40">
            <v>0.41447964214820843</v>
          </cell>
          <cell r="AB40">
            <v>0.45632623448859599</v>
          </cell>
          <cell r="AC40">
            <v>0.43683035714285712</v>
          </cell>
          <cell r="AD40">
            <v>0.42435237920264562</v>
          </cell>
          <cell r="AE40">
            <v>0.410146982018951</v>
          </cell>
          <cell r="AF40">
            <v>0.43188729807446213</v>
          </cell>
          <cell r="AG40">
            <v>0.44914775782342187</v>
          </cell>
        </row>
        <row r="61">
          <cell r="C61">
            <v>57102</v>
          </cell>
          <cell r="D61">
            <v>59618</v>
          </cell>
          <cell r="E61">
            <v>82707</v>
          </cell>
          <cell r="F61">
            <v>85863</v>
          </cell>
          <cell r="G61">
            <v>285290</v>
          </cell>
          <cell r="H61">
            <v>86961</v>
          </cell>
          <cell r="I61">
            <v>87871</v>
          </cell>
          <cell r="J61">
            <v>88753</v>
          </cell>
          <cell r="K61">
            <v>93744</v>
          </cell>
          <cell r="L61">
            <v>357329</v>
          </cell>
          <cell r="M61">
            <v>92431</v>
          </cell>
          <cell r="N61">
            <v>81679</v>
          </cell>
          <cell r="O61">
            <v>90498.952496695405</v>
          </cell>
          <cell r="P61">
            <v>98069.995171134913</v>
          </cell>
          <cell r="Q61">
            <v>362679</v>
          </cell>
          <cell r="R61">
            <v>102322</v>
          </cell>
          <cell r="S61">
            <v>111405</v>
          </cell>
          <cell r="T61">
            <v>120463</v>
          </cell>
          <cell r="U61">
            <v>126482</v>
          </cell>
          <cell r="V61">
            <v>460672</v>
          </cell>
          <cell r="W61">
            <v>149039</v>
          </cell>
          <cell r="X61">
            <v>161301</v>
          </cell>
          <cell r="Y61">
            <v>166298</v>
          </cell>
          <cell r="Z61">
            <v>170713</v>
          </cell>
          <cell r="AA61">
            <v>647351</v>
          </cell>
          <cell r="AB61">
            <v>181842</v>
          </cell>
          <cell r="AC61">
            <v>182183</v>
          </cell>
          <cell r="AD61">
            <v>183109</v>
          </cell>
          <cell r="AE61">
            <v>181993</v>
          </cell>
          <cell r="AF61">
            <v>729127</v>
          </cell>
          <cell r="AG61">
            <v>190726</v>
          </cell>
        </row>
        <row r="62">
          <cell r="C62">
            <v>0.16518048442059308</v>
          </cell>
          <cell r="D62">
            <v>0.15630636746251869</v>
          </cell>
          <cell r="E62">
            <v>0.53890666865138437</v>
          </cell>
          <cell r="F62">
            <v>0.54338252476048399</v>
          </cell>
          <cell r="G62">
            <v>0.35889265181501639</v>
          </cell>
          <cell r="H62">
            <v>0.52290637806031315</v>
          </cell>
          <cell r="I62">
            <v>0.47390049984903881</v>
          </cell>
          <cell r="J62">
            <v>7.3101430350514418E-2</v>
          </cell>
          <cell r="K62">
            <v>9.178575172076453E-2</v>
          </cell>
          <cell r="L62">
            <v>0.25251147954712749</v>
          </cell>
          <cell r="M62">
            <v>6.2901760559331166E-2</v>
          </cell>
          <cell r="N62">
            <v>-7.0466934483504273E-2</v>
          </cell>
          <cell r="O62">
            <v>1.9672039217777382E-2</v>
          </cell>
          <cell r="P62">
            <v>4.6146901893826975E-2</v>
          </cell>
          <cell r="Q62">
            <v>1.4972196491188861E-2</v>
          </cell>
          <cell r="R62">
            <v>0.1070095530720212</v>
          </cell>
          <cell r="S62">
            <v>0.36393687483930992</v>
          </cell>
          <cell r="T62">
            <v>0.33109827988781126</v>
          </cell>
          <cell r="U62">
            <v>0.28971149411484465</v>
          </cell>
          <cell r="V62">
            <v>0.2701920982466588</v>
          </cell>
          <cell r="W62">
            <v>0.45656847989679639</v>
          </cell>
          <cell r="X62">
            <v>0.44787935909519327</v>
          </cell>
          <cell r="Y62">
            <v>0.38049027502220589</v>
          </cell>
          <cell r="Z62">
            <v>0.34970193387201332</v>
          </cell>
          <cell r="AA62">
            <v>0.40523192206168379</v>
          </cell>
          <cell r="AB62">
            <v>0.22009675319882716</v>
          </cell>
          <cell r="AC62">
            <v>0.12945982975926995</v>
          </cell>
          <cell r="AD62">
            <v>0.10108961021780183</v>
          </cell>
          <cell r="AE62">
            <v>6.6075811449626043E-2</v>
          </cell>
          <cell r="AF62">
            <v>0.12632404985857759</v>
          </cell>
          <cell r="AG62">
            <v>4.8855599916410863E-2</v>
          </cell>
        </row>
        <row r="63">
          <cell r="C63">
            <v>0.15791931376504653</v>
          </cell>
          <cell r="D63">
            <v>0.1540402023110381</v>
          </cell>
          <cell r="E63">
            <v>0.5407405328511683</v>
          </cell>
          <cell r="F63">
            <v>0.54969054598859524</v>
          </cell>
          <cell r="G63">
            <v>0.35878167493354329</v>
          </cell>
          <cell r="H63">
            <v>0.53100000000000003</v>
          </cell>
          <cell r="I63">
            <v>0.47899999999999998</v>
          </cell>
          <cell r="J63">
            <v>7.8E-2</v>
          </cell>
          <cell r="K63">
            <v>0.09</v>
          </cell>
          <cell r="L63">
            <v>0.25600000000000001</v>
          </cell>
          <cell r="M63">
            <v>6.6205178752887672E-2</v>
          </cell>
          <cell r="N63">
            <v>-6.8137737405081777E-2</v>
          </cell>
          <cell r="O63">
            <v>1.6102449288212473E-2</v>
          </cell>
          <cell r="P63">
            <v>4.4702534273172612E-2</v>
          </cell>
          <cell r="Q63">
            <v>1.5083119496305475E-2</v>
          </cell>
          <cell r="R63">
            <v>0.10005088587135669</v>
          </cell>
          <cell r="S63">
            <v>0.35135000790399151</v>
          </cell>
          <cell r="T63">
            <v>0.32679047851373277</v>
          </cell>
          <cell r="U63">
            <v>0.28887038058699699</v>
          </cell>
          <cell r="V63">
            <v>0.2642814773706359</v>
          </cell>
          <cell r="W63">
            <v>0.46000319655332511</v>
          </cell>
          <cell r="X63">
            <v>0.45982518231785119</v>
          </cell>
          <cell r="Y63">
            <v>0.39445060262651221</v>
          </cell>
          <cell r="Z63">
            <v>0.36177775208904817</v>
          </cell>
          <cell r="AA63">
            <v>0.41584967954091967</v>
          </cell>
          <cell r="AB63">
            <v>0.22708642115163968</v>
          </cell>
          <cell r="AC63">
            <v>0.12810372930601188</v>
          </cell>
          <cell r="AD63">
            <v>9.4307364295294516E-2</v>
          </cell>
          <cell r="AE63">
            <v>6.2180304598040692E-2</v>
          </cell>
          <cell r="AF63">
            <v>0.12482576852105742</v>
          </cell>
          <cell r="AG63">
            <v>4.6032380477481594E-2</v>
          </cell>
        </row>
        <row r="64">
          <cell r="C64">
            <v>19027</v>
          </cell>
          <cell r="D64">
            <v>20962</v>
          </cell>
          <cell r="E64">
            <v>29069</v>
          </cell>
          <cell r="F64">
            <v>31628</v>
          </cell>
          <cell r="G64">
            <v>100686</v>
          </cell>
          <cell r="H64">
            <v>30059</v>
          </cell>
          <cell r="I64">
            <v>30440</v>
          </cell>
          <cell r="J64">
            <v>30920</v>
          </cell>
          <cell r="K64">
            <v>34665</v>
          </cell>
          <cell r="L64">
            <v>126084</v>
          </cell>
          <cell r="M64">
            <v>33815</v>
          </cell>
          <cell r="N64">
            <v>24447</v>
          </cell>
          <cell r="O64">
            <v>34027.680296218474</v>
          </cell>
          <cell r="P64">
            <v>40939.319703781526</v>
          </cell>
          <cell r="Q64">
            <v>133229</v>
          </cell>
          <cell r="R64">
            <v>37829</v>
          </cell>
          <cell r="S64">
            <v>40094</v>
          </cell>
          <cell r="T64">
            <v>44927</v>
          </cell>
          <cell r="U64">
            <v>47914</v>
          </cell>
          <cell r="V64">
            <v>170764</v>
          </cell>
          <cell r="W64">
            <v>53469</v>
          </cell>
          <cell r="X64">
            <v>59647</v>
          </cell>
          <cell r="Y64">
            <v>60359</v>
          </cell>
          <cell r="Z64">
            <v>63983</v>
          </cell>
          <cell r="AA64">
            <v>237458</v>
          </cell>
          <cell r="AB64">
            <v>67476</v>
          </cell>
          <cell r="AC64">
            <v>68670</v>
          </cell>
          <cell r="AD64">
            <v>67674</v>
          </cell>
          <cell r="AE64">
            <v>64406</v>
          </cell>
          <cell r="AF64">
            <v>268226</v>
          </cell>
          <cell r="AG64">
            <v>67890</v>
          </cell>
        </row>
        <row r="65">
          <cell r="C65">
            <v>0.33321074568316345</v>
          </cell>
          <cell r="D65">
            <v>0.35160521990003019</v>
          </cell>
          <cell r="E65">
            <v>0.35146964585827078</v>
          </cell>
          <cell r="F65">
            <v>0.36835423872913831</v>
          </cell>
          <cell r="G65">
            <v>0.35292509376423992</v>
          </cell>
          <cell r="H65">
            <v>0.34566069847402858</v>
          </cell>
          <cell r="I65">
            <v>0.34641690660172297</v>
          </cell>
          <cell r="J65">
            <v>0.34838258988428561</v>
          </cell>
          <cell r="K65">
            <v>0.36978366615463387</v>
          </cell>
          <cell r="L65">
            <v>0.35285129390561637</v>
          </cell>
          <cell r="M65">
            <v>0.36584046477913257</v>
          </cell>
          <cell r="N65">
            <v>0.29930581912119392</v>
          </cell>
          <cell r="O65">
            <v>0.37600081942894314</v>
          </cell>
          <cell r="P65">
            <v>0.41745000223912782</v>
          </cell>
          <cell r="Q65">
            <v>0.36734688250491482</v>
          </cell>
          <cell r="R65">
            <v>0.36970543969038916</v>
          </cell>
          <cell r="S65">
            <v>0.35989408015798213</v>
          </cell>
          <cell r="T65">
            <v>0.3729526908677353</v>
          </cell>
          <cell r="U65">
            <v>0.37882070175993421</v>
          </cell>
          <cell r="V65">
            <v>0.37068456515698806</v>
          </cell>
          <cell r="W65">
            <v>0.35875844577593785</v>
          </cell>
          <cell r="X65">
            <v>0.36978692010588898</v>
          </cell>
          <cell r="Y65">
            <v>0.36295686057559323</v>
          </cell>
          <cell r="Z65">
            <v>0.37479863865083501</v>
          </cell>
          <cell r="AA65">
            <v>0.36681491184844078</v>
          </cell>
          <cell r="AB65">
            <v>0.37106938990992178</v>
          </cell>
          <cell r="AC65">
            <v>0.37692869257834155</v>
          </cell>
          <cell r="AD65">
            <v>0.3695831444658646</v>
          </cell>
          <cell r="AE65">
            <v>0.35389273213804928</v>
          </cell>
          <cell r="AF65">
            <v>0.36787281228098806</v>
          </cell>
          <cell r="AG65">
            <v>0.3559556641464719</v>
          </cell>
        </row>
        <row r="67">
          <cell r="C67">
            <v>206972.96685598622</v>
          </cell>
          <cell r="D67">
            <v>210112.46117321268</v>
          </cell>
          <cell r="E67">
            <v>231123.88236976153</v>
          </cell>
          <cell r="F67">
            <v>234903.3301324464</v>
          </cell>
          <cell r="G67">
            <v>883111.64053140674</v>
          </cell>
          <cell r="H67">
            <v>239573</v>
          </cell>
          <cell r="I67">
            <v>243509</v>
          </cell>
          <cell r="J67">
            <v>251392</v>
          </cell>
          <cell r="K67">
            <v>256872</v>
          </cell>
          <cell r="L67">
            <v>991346</v>
          </cell>
          <cell r="M67">
            <v>245990</v>
          </cell>
          <cell r="N67">
            <v>222473</v>
          </cell>
          <cell r="O67">
            <v>241018.09034936316</v>
          </cell>
          <cell r="P67">
            <v>248952.85731846714</v>
          </cell>
          <cell r="Q67">
            <v>958434</v>
          </cell>
          <cell r="R67">
            <v>261415</v>
          </cell>
          <cell r="S67">
            <v>275064</v>
          </cell>
          <cell r="T67">
            <v>290325</v>
          </cell>
          <cell r="U67">
            <v>295489</v>
          </cell>
          <cell r="V67">
            <v>1122293</v>
          </cell>
          <cell r="W67">
            <v>329208</v>
          </cell>
          <cell r="X67">
            <v>346782</v>
          </cell>
          <cell r="Y67">
            <v>361351</v>
          </cell>
          <cell r="Z67">
            <v>374703</v>
          </cell>
          <cell r="AA67">
            <v>1412044</v>
          </cell>
          <cell r="AB67">
            <v>400643</v>
          </cell>
          <cell r="AC67">
            <v>404996</v>
          </cell>
          <cell r="AD67">
            <v>410971</v>
          </cell>
          <cell r="AE67">
            <v>414058</v>
          </cell>
          <cell r="AF67">
            <v>1630668</v>
          </cell>
          <cell r="AG67">
            <v>436507</v>
          </cell>
        </row>
        <row r="77">
          <cell r="C77">
            <v>90659.480287046856</v>
          </cell>
          <cell r="D77">
            <v>93663.40367665753</v>
          </cell>
          <cell r="E77">
            <v>96028.058361202435</v>
          </cell>
          <cell r="F77">
            <v>95227.546474638701</v>
          </cell>
          <cell r="G77">
            <v>375578.48879954551</v>
          </cell>
          <cell r="H77">
            <v>100958.7534962692</v>
          </cell>
          <cell r="I77">
            <v>103525.8957768306</v>
          </cell>
          <cell r="J77">
            <v>109286.83625354461</v>
          </cell>
          <cell r="K77">
            <v>107198.73751952131</v>
          </cell>
          <cell r="L77">
            <v>420970.22304616572</v>
          </cell>
          <cell r="M77">
            <v>107827.65817521796</v>
          </cell>
          <cell r="N77">
            <v>100706.54271371941</v>
          </cell>
          <cell r="O77">
            <v>109678.25203491189</v>
          </cell>
          <cell r="P77">
            <v>111185.3843587006</v>
          </cell>
          <cell r="Q77">
            <v>429397.83728254982</v>
          </cell>
          <cell r="R77">
            <v>118368.74818935194</v>
          </cell>
          <cell r="S77">
            <v>122992.8981440388</v>
          </cell>
          <cell r="T77">
            <v>128642.32559993613</v>
          </cell>
          <cell r="U77">
            <v>127736.86740445091</v>
          </cell>
          <cell r="V77">
            <v>497740.83933777775</v>
          </cell>
          <cell r="W77">
            <v>135664.43661664976</v>
          </cell>
          <cell r="X77">
            <v>141898.90936728878</v>
          </cell>
          <cell r="Y77">
            <v>149334.60774529996</v>
          </cell>
          <cell r="Z77">
            <v>155864.80542770005</v>
          </cell>
          <cell r="AA77">
            <v>582762.75915693864</v>
          </cell>
          <cell r="AB77">
            <v>163576.43557199984</v>
          </cell>
          <cell r="AC77">
            <v>164400.45304820029</v>
          </cell>
          <cell r="AD77">
            <v>170789.64382329999</v>
          </cell>
          <cell r="AE77">
            <v>174131.52984049957</v>
          </cell>
          <cell r="AF77">
            <v>672898.06228399975</v>
          </cell>
          <cell r="AG77">
            <v>183059.98170439992</v>
          </cell>
        </row>
        <row r="78">
          <cell r="C78">
            <v>0.43802570772505084</v>
          </cell>
          <cell r="D78">
            <v>0.44577748103880055</v>
          </cell>
          <cell r="E78">
            <v>0.41548306205575408</v>
          </cell>
          <cell r="F78">
            <v>0.40539036386136468</v>
          </cell>
          <cell r="G78">
            <v>0.4252899311502038</v>
          </cell>
          <cell r="H78">
            <v>0.42141123372111716</v>
          </cell>
          <cell r="I78">
            <v>0.42514196919551472</v>
          </cell>
          <cell r="J78">
            <v>0.43472678626823691</v>
          </cell>
          <cell r="K78">
            <v>0.41732356005917853</v>
          </cell>
          <cell r="L78">
            <v>0.42464510175676878</v>
          </cell>
          <cell r="M78">
            <v>0.43834163248594643</v>
          </cell>
          <cell r="N78">
            <v>0.45266860569021594</v>
          </cell>
          <cell r="O78">
            <v>0.45506232281539477</v>
          </cell>
          <cell r="P78">
            <v>0.44661220423941261</v>
          </cell>
          <cell r="Q78">
            <v>0.4480202468636858</v>
          </cell>
          <cell r="R78">
            <v>0.45280013843640166</v>
          </cell>
          <cell r="S78">
            <v>0.44714284000828464</v>
          </cell>
          <cell r="T78">
            <v>0.44309765125268624</v>
          </cell>
          <cell r="U78">
            <v>0.43228975496363964</v>
          </cell>
          <cell r="V78">
            <v>0.44350346953761427</v>
          </cell>
          <cell r="W78">
            <v>0.4120933774897626</v>
          </cell>
          <cell r="X78">
            <v>0.40918764343965019</v>
          </cell>
          <cell r="Y78">
            <v>0.41326745393066566</v>
          </cell>
          <cell r="Z78">
            <v>0.41596892853193074</v>
          </cell>
          <cell r="AA78">
            <v>0.41270864021017661</v>
          </cell>
          <cell r="AB78">
            <v>0.40828477116035933</v>
          </cell>
          <cell r="AC78">
            <v>0.4059310537590502</v>
          </cell>
          <cell r="AD78">
            <v>0.41557590151932861</v>
          </cell>
          <cell r="AE78">
            <v>0.42054864255852942</v>
          </cell>
          <cell r="AF78">
            <v>0.41265178582274242</v>
          </cell>
          <cell r="AG78">
            <v>0.41937467601756656</v>
          </cell>
        </row>
        <row r="79">
          <cell r="C79">
            <v>8.8546307117963741E-2</v>
          </cell>
          <cell r="D79">
            <v>3.3134134236150858E-2</v>
          </cell>
          <cell r="E79">
            <v>2.5246303163486417E-2</v>
          </cell>
          <cell r="F79">
            <v>-8.3362290170719833E-3</v>
          </cell>
          <cell r="G79" t="str">
            <v>NA</v>
          </cell>
          <cell r="H79">
            <v>6.0184339865953174E-2</v>
          </cell>
          <cell r="I79">
            <v>2.5427634471103744E-2</v>
          </cell>
          <cell r="J79">
            <v>5.5647337639394001E-2</v>
          </cell>
          <cell r="K79">
            <v>-1.9106589646157635E-2</v>
          </cell>
          <cell r="L79" t="str">
            <v>NA</v>
          </cell>
          <cell r="M79">
            <v>5.8668662546714767E-3</v>
          </cell>
          <cell r="N79">
            <v>-6.60416407256742E-2</v>
          </cell>
          <cell r="O79">
            <v>8.9087650905627314E-2</v>
          </cell>
          <cell r="P79">
            <v>1.3741396273428741E-2</v>
          </cell>
          <cell r="Q79" t="str">
            <v>NA</v>
          </cell>
          <cell r="R79">
            <v>6.4607087272161134E-2</v>
          </cell>
          <cell r="S79">
            <v>3.9065631979901427E-2</v>
          </cell>
          <cell r="T79">
            <v>4.5932956627147581E-2</v>
          </cell>
          <cell r="U79">
            <v>-7.038571413121808E-3</v>
          </cell>
          <cell r="V79" t="str">
            <v>NA</v>
          </cell>
          <cell r="W79">
            <v>6.2061716192694183E-2</v>
          </cell>
          <cell r="X79">
            <v>4.5955099996146442E-2</v>
          </cell>
          <cell r="Y79">
            <v>5.2401377932826287E-2</v>
          </cell>
          <cell r="Z79">
            <v>4.3728629156998711E-2</v>
          </cell>
          <cell r="AA79" t="str">
            <v>NA</v>
          </cell>
          <cell r="AB79">
            <v>4.9476404395069951E-2</v>
          </cell>
          <cell r="AC79">
            <v>5.0375072260193665E-3</v>
          </cell>
          <cell r="AD79">
            <v>3.8863583747098751E-2</v>
          </cell>
          <cell r="AE79">
            <v>1.9567263812887425E-2</v>
          </cell>
          <cell r="AF79" t="str">
            <v>NA</v>
          </cell>
          <cell r="AG79">
            <v>5.1274182636990684E-2</v>
          </cell>
        </row>
        <row r="80">
          <cell r="C80">
            <v>0.17373117664990612</v>
          </cell>
          <cell r="D80">
            <v>0.17641677440365977</v>
          </cell>
          <cell r="E80">
            <v>0.18627486894493694</v>
          </cell>
          <cell r="F80">
            <v>0.14339497339565899</v>
          </cell>
          <cell r="G80">
            <v>0.16969082565925264</v>
          </cell>
          <cell r="H80">
            <v>0.11360392952411269</v>
          </cell>
          <cell r="I80">
            <v>0.10529717811900285</v>
          </cell>
          <cell r="J80">
            <v>0.13807191479880032</v>
          </cell>
          <cell r="K80">
            <v>0.12571143002272778</v>
          </cell>
          <cell r="L80">
            <v>0.12085818437500229</v>
          </cell>
          <cell r="M80">
            <v>6.8036742145420659E-2</v>
          </cell>
          <cell r="N80">
            <v>-2.7233312418651567E-2</v>
          </cell>
          <cell r="O80">
            <v>3.5815455436847277E-3</v>
          </cell>
          <cell r="P80">
            <v>3.7189307742111266E-2</v>
          </cell>
          <cell r="Q80">
            <v>2.0019502033662651E-2</v>
          </cell>
          <cell r="R80">
            <v>9.7758684483390201E-2</v>
          </cell>
          <cell r="S80">
            <v>0.22129997545118085</v>
          </cell>
          <cell r="T80">
            <v>0.17290641684358499</v>
          </cell>
          <cell r="U80">
            <v>0.1488638380054772</v>
          </cell>
          <cell r="V80">
            <v>0.15916009844795109</v>
          </cell>
          <cell r="W80">
            <v>0.14611701730282967</v>
          </cell>
          <cell r="X80">
            <v>0.15371628369232249</v>
          </cell>
          <cell r="Y80">
            <v>0.1608512754170397</v>
          </cell>
          <cell r="Z80">
            <v>0.22020219060318857</v>
          </cell>
          <cell r="AA80">
            <v>0.17081563958520829</v>
          </cell>
          <cell r="AB80">
            <v>0.20574293198313787</v>
          </cell>
          <cell r="AC80">
            <v>0.15857446530944697</v>
          </cell>
          <cell r="AD80">
            <v>0.14367089050512005</v>
          </cell>
          <cell r="AE80">
            <v>0.1171959530098845</v>
          </cell>
          <cell r="AF80">
            <v>0.15466894840270262</v>
          </cell>
          <cell r="AG80">
            <v>0.11910973646215806</v>
          </cell>
        </row>
        <row r="81">
          <cell r="C81">
            <v>34104.735787288213</v>
          </cell>
          <cell r="D81">
            <v>31671.265590000003</v>
          </cell>
          <cell r="E81">
            <v>52232.656980799991</v>
          </cell>
          <cell r="F81">
            <v>57047.38757359999</v>
          </cell>
          <cell r="G81">
            <v>175056.04593168822</v>
          </cell>
          <cell r="H81">
            <v>53248.401116638008</v>
          </cell>
          <cell r="I81">
            <v>53986.086069446013</v>
          </cell>
          <cell r="J81">
            <v>55980.109864710008</v>
          </cell>
          <cell r="K81">
            <v>62630.014391522003</v>
          </cell>
          <cell r="L81">
            <v>225844.61144231603</v>
          </cell>
          <cell r="M81">
            <v>57262.171140788683</v>
          </cell>
          <cell r="N81">
            <v>53513.086060000031</v>
          </cell>
          <cell r="O81">
            <v>58187.223970000006</v>
          </cell>
          <cell r="P81">
            <v>58248.805019211271</v>
          </cell>
          <cell r="Q81">
            <v>227211.28618999996</v>
          </cell>
          <cell r="R81">
            <v>62256.95429999999</v>
          </cell>
          <cell r="S81">
            <v>64548.337290000018</v>
          </cell>
          <cell r="T81">
            <v>65676.51857</v>
          </cell>
          <cell r="U81">
            <v>67653.553387259613</v>
          </cell>
          <cell r="V81">
            <v>260135.36354725959</v>
          </cell>
          <cell r="W81">
            <v>69547.860097327924</v>
          </cell>
          <cell r="X81">
            <v>71490.34009854187</v>
          </cell>
          <cell r="Y81">
            <v>71740.345549999998</v>
          </cell>
          <cell r="Z81">
            <v>76797.260920000001</v>
          </cell>
          <cell r="AA81">
            <v>289575.80666586978</v>
          </cell>
          <cell r="AB81">
            <v>82849.84683000001</v>
          </cell>
          <cell r="AC81">
            <v>88182.248660000012</v>
          </cell>
          <cell r="AD81">
            <v>92270.661389999994</v>
          </cell>
          <cell r="AE81">
            <v>93838.342999999979</v>
          </cell>
          <cell r="AF81">
            <v>357141.09987999994</v>
          </cell>
          <cell r="AG81">
            <v>97809.712980000011</v>
          </cell>
        </row>
        <row r="82">
          <cell r="C82">
            <v>0.16477869697359374</v>
          </cell>
          <cell r="D82">
            <v>0.15073482749740777</v>
          </cell>
          <cell r="E82">
            <v>0.22599420036236684</v>
          </cell>
          <cell r="F82">
            <v>0.24285474174178273</v>
          </cell>
          <cell r="G82">
            <v>0.19822640524401805</v>
          </cell>
          <cell r="H82">
            <v>0.22226378229866475</v>
          </cell>
          <cell r="I82">
            <v>0.2217005780872412</v>
          </cell>
          <cell r="J82">
            <v>0.22268055413342511</v>
          </cell>
          <cell r="K82">
            <v>0.24381798869289764</v>
          </cell>
          <cell r="L82">
            <v>0.22781613225081457</v>
          </cell>
          <cell r="M82">
            <v>0.23278251612174755</v>
          </cell>
          <cell r="N82">
            <v>0.24053744076809336</v>
          </cell>
          <cell r="O82">
            <v>0.24142264128661806</v>
          </cell>
          <cell r="P82">
            <v>0.23397524192581506</v>
          </cell>
          <cell r="Q82">
            <v>0.23706513561705861</v>
          </cell>
          <cell r="R82">
            <v>0.23815371841707625</v>
          </cell>
          <cell r="S82">
            <v>0.23466661318820353</v>
          </cell>
          <cell r="T82">
            <v>0.22621723437526908</v>
          </cell>
          <cell r="U82">
            <v>0.22895455799457717</v>
          </cell>
          <cell r="V82">
            <v>0.23178917051719969</v>
          </cell>
          <cell r="W82">
            <v>0.21125811066963113</v>
          </cell>
          <cell r="X82">
            <v>0.20615354919961784</v>
          </cell>
          <cell r="Y82">
            <v>0.19853368483828743</v>
          </cell>
          <cell r="Z82">
            <v>0.20495502016263548</v>
          </cell>
          <cell r="AA82">
            <v>0.2050756255937278</v>
          </cell>
          <cell r="AB82">
            <v>0.20679219861572526</v>
          </cell>
          <cell r="AC82">
            <v>0.21773609778862016</v>
          </cell>
          <cell r="AD82">
            <v>0.22451866771621354</v>
          </cell>
          <cell r="AE82">
            <v>0.22663091402653729</v>
          </cell>
          <cell r="AF82">
            <v>0.21901521332361948</v>
          </cell>
          <cell r="AG82">
            <v>0.22407364138490335</v>
          </cell>
        </row>
        <row r="83">
          <cell r="C83">
            <v>2.6885578731911552E-2</v>
          </cell>
          <cell r="D83">
            <v>-7.1352852942940359E-2</v>
          </cell>
          <cell r="E83">
            <v>0.64921281192160873</v>
          </cell>
          <cell r="F83">
            <v>9.2178550184989216E-2</v>
          </cell>
          <cell r="G83" t="str">
            <v>NA</v>
          </cell>
          <cell r="H83">
            <v>-6.6593521956823998E-2</v>
          </cell>
          <cell r="I83">
            <v>1.3853654519919711E-2</v>
          </cell>
          <cell r="J83">
            <v>3.6935883677489567E-2</v>
          </cell>
          <cell r="K83">
            <v>0.1187904872441865</v>
          </cell>
          <cell r="L83" t="str">
            <v>NA</v>
          </cell>
          <cell r="M83">
            <v>-8.5707201297720692E-2</v>
          </cell>
          <cell r="N83">
            <v>-6.5472283116385754E-2</v>
          </cell>
          <cell r="O83">
            <v>8.7345699045635827E-2</v>
          </cell>
          <cell r="P83">
            <v>1.058325952154382E-3</v>
          </cell>
          <cell r="Q83" t="str">
            <v>NA</v>
          </cell>
          <cell r="R83">
            <v>6.8810841346303553E-2</v>
          </cell>
          <cell r="S83">
            <v>3.6805253577912866E-2</v>
          </cell>
          <cell r="T83">
            <v>1.7478084291022711E-2</v>
          </cell>
          <cell r="U83">
            <v>3.0102612932389583E-2</v>
          </cell>
          <cell r="V83" t="str">
            <v>NA</v>
          </cell>
          <cell r="W83">
            <v>2.8000106649609391E-2</v>
          </cell>
          <cell r="X83">
            <v>2.7930118892163902E-2</v>
          </cell>
          <cell r="Y83">
            <v>3.4970522047248487E-3</v>
          </cell>
          <cell r="Z83">
            <v>7.0489141517663167E-2</v>
          </cell>
          <cell r="AA83" t="str">
            <v>NA</v>
          </cell>
          <cell r="AB83">
            <v>7.8812523226642339E-2</v>
          </cell>
          <cell r="AC83">
            <v>6.4362241259680042E-2</v>
          </cell>
          <cell r="AD83">
            <v>4.6363216998054568E-2</v>
          </cell>
          <cell r="AE83">
            <v>1.6990033304019381E-2</v>
          </cell>
          <cell r="AF83" t="str">
            <v>NA</v>
          </cell>
          <cell r="AG83">
            <v>4.2321399260002224E-2</v>
          </cell>
        </row>
        <row r="84">
          <cell r="C84">
            <v>0.19390303535110442</v>
          </cell>
          <cell r="D84">
            <v>0.12481294747684712</v>
          </cell>
          <cell r="E84">
            <v>0.72781267144031769</v>
          </cell>
          <cell r="F84">
            <v>0.71768343168032134</v>
          </cell>
          <cell r="G84">
            <v>0.45679735959868739</v>
          </cell>
          <cell r="H84">
            <v>0.5613198544844078</v>
          </cell>
          <cell r="I84">
            <v>0.70457621644560264</v>
          </cell>
          <cell r="J84">
            <v>7.1745400301721718E-2</v>
          </cell>
          <cell r="K84">
            <v>9.7859464830349241E-2</v>
          </cell>
          <cell r="L84">
            <v>0.29012745741125068</v>
          </cell>
          <cell r="M84">
            <v>7.5378226199857234E-2</v>
          </cell>
          <cell r="N84">
            <v>-8.761516973790795E-3</v>
          </cell>
          <cell r="O84">
            <v>3.9426755514128997E-2</v>
          </cell>
          <cell r="P84">
            <v>-6.9953829882941854E-2</v>
          </cell>
          <cell r="Q84">
            <v>6.0513940932922505E-3</v>
          </cell>
          <cell r="R84">
            <v>8.7226576633477437E-2</v>
          </cell>
          <cell r="S84">
            <v>0.20621593786661863</v>
          </cell>
          <cell r="T84">
            <v>0.12871029220884123</v>
          </cell>
          <cell r="U84">
            <v>0.16145821987157549</v>
          </cell>
          <cell r="V84">
            <v>0.1449051141312041</v>
          </cell>
          <cell r="W84">
            <v>0.1171099016857613</v>
          </cell>
          <cell r="X84">
            <v>0.10754735288305128</v>
          </cell>
          <cell r="Y84">
            <v>9.23286908628842E-2</v>
          </cell>
          <cell r="Z84">
            <v>0.13515487472476662</v>
          </cell>
          <cell r="AA84">
            <v>0.11317355209670166</v>
          </cell>
          <cell r="AB84">
            <v>0.19126378171890224</v>
          </cell>
          <cell r="AC84">
            <v>0.23348481121295706</v>
          </cell>
          <cell r="AD84">
            <v>0.2861753129651603</v>
          </cell>
          <cell r="AE84">
            <v>0.2218970035630794</v>
          </cell>
          <cell r="AF84">
            <v>0.23332506258746655</v>
          </cell>
          <cell r="AG84">
            <v>0.18056600853706128</v>
          </cell>
        </row>
        <row r="85">
          <cell r="C85">
            <v>82208.75078165115</v>
          </cell>
          <cell r="D85">
            <v>84777.791906555154</v>
          </cell>
          <cell r="E85">
            <v>82863.167027759118</v>
          </cell>
          <cell r="F85">
            <v>82628.396084207692</v>
          </cell>
          <cell r="G85">
            <v>332477.10580017301</v>
          </cell>
          <cell r="H85">
            <v>85365.845387092791</v>
          </cell>
          <cell r="I85">
            <v>85997.018153723373</v>
          </cell>
          <cell r="J85">
            <v>86125.053881745378</v>
          </cell>
          <cell r="K85">
            <v>87043.248088956665</v>
          </cell>
          <cell r="L85">
            <v>344531.16551151831</v>
          </cell>
          <cell r="M85">
            <v>80900.367339627395</v>
          </cell>
          <cell r="N85">
            <v>68253.371226280564</v>
          </cell>
          <cell r="O85">
            <v>73152.783378038745</v>
          </cell>
          <cell r="P85">
            <v>79518.623723887344</v>
          </cell>
          <cell r="Q85">
            <v>301825.14566783409</v>
          </cell>
          <cell r="R85">
            <v>80788.873072383198</v>
          </cell>
          <cell r="S85">
            <v>87522.885930257893</v>
          </cell>
          <cell r="T85">
            <v>96006.384880064012</v>
          </cell>
          <cell r="U85">
            <v>100098.85978899083</v>
          </cell>
          <cell r="V85">
            <v>364417.00367169589</v>
          </cell>
          <cell r="W85">
            <v>123995.45277107442</v>
          </cell>
          <cell r="X85">
            <v>133393.1215039602</v>
          </cell>
          <cell r="Y85">
            <v>140276.30279210003</v>
          </cell>
          <cell r="Z85">
            <v>142040.53426130002</v>
          </cell>
          <cell r="AA85">
            <v>539705.41132843459</v>
          </cell>
          <cell r="AB85">
            <v>154216.77565230004</v>
          </cell>
          <cell r="AC85">
            <v>152413.46229310002</v>
          </cell>
          <cell r="AD85">
            <v>147910.47379330007</v>
          </cell>
          <cell r="AE85">
            <v>146088.11682519998</v>
          </cell>
          <cell r="AF85">
            <v>600628.82856390008</v>
          </cell>
          <cell r="AG85">
            <v>155637.76303360003</v>
          </cell>
        </row>
        <row r="86">
          <cell r="C86">
            <v>0.3971955953013554</v>
          </cell>
          <cell r="D86">
            <v>0.40348769146379171</v>
          </cell>
          <cell r="E86">
            <v>0.35852273758187914</v>
          </cell>
          <cell r="F86">
            <v>0.35175489439685265</v>
          </cell>
          <cell r="G86">
            <v>0.37648366360577817</v>
          </cell>
          <cell r="H86">
            <v>0.35632498398021811</v>
          </cell>
          <cell r="I86">
            <v>0.35315745271724402</v>
          </cell>
          <cell r="J86">
            <v>0.34259265959833796</v>
          </cell>
          <cell r="K86">
            <v>0.33885845124792374</v>
          </cell>
          <cell r="L86">
            <v>0.34753876599241668</v>
          </cell>
          <cell r="M86">
            <v>0.32887665083795031</v>
          </cell>
          <cell r="N86">
            <v>0.30679395354169076</v>
          </cell>
          <cell r="O86">
            <v>0.30351573722952302</v>
          </cell>
          <cell r="P86">
            <v>0.31941237622416602</v>
          </cell>
          <cell r="Q86">
            <v>0.31491489833189773</v>
          </cell>
          <cell r="R86">
            <v>0.30904451952788936</v>
          </cell>
          <cell r="S86">
            <v>0.31819098802554274</v>
          </cell>
          <cell r="T86">
            <v>0.33068590331547065</v>
          </cell>
          <cell r="U86">
            <v>0.33875663658880983</v>
          </cell>
          <cell r="V86">
            <v>0.32470754399403357</v>
          </cell>
          <cell r="W86">
            <v>0.37664775087809049</v>
          </cell>
          <cell r="X86">
            <v>0.38465987711000049</v>
          </cell>
          <cell r="Y86">
            <v>0.38819956992536353</v>
          </cell>
          <cell r="Z86">
            <v>0.37907498541858492</v>
          </cell>
          <cell r="AA86">
            <v>0.38221571801476056</v>
          </cell>
          <cell r="AB86">
            <v>0.38492317512673391</v>
          </cell>
          <cell r="AC86">
            <v>0.37633325339781137</v>
          </cell>
          <cell r="AD86">
            <v>0.35990489302967865</v>
          </cell>
          <cell r="AE86">
            <v>0.35282041845635148</v>
          </cell>
          <cell r="AF86">
            <v>0.36833299516756329</v>
          </cell>
          <cell r="AG86">
            <v>0.356552731190107</v>
          </cell>
        </row>
        <row r="87">
          <cell r="C87">
            <v>1.0205141430092546E-2</v>
          </cell>
          <cell r="D87">
            <v>3.1250214855197855E-2</v>
          </cell>
          <cell r="E87">
            <v>-2.2584038056881695E-2</v>
          </cell>
          <cell r="F87">
            <v>-2.8332364302799951E-3</v>
          </cell>
          <cell r="G87" t="str">
            <v>NA</v>
          </cell>
          <cell r="H87">
            <v>3.3129643471420334E-2</v>
          </cell>
          <cell r="I87">
            <v>7.3937388397962156E-3</v>
          </cell>
          <cell r="J87">
            <v>1.4888391571103998E-3</v>
          </cell>
          <cell r="K87">
            <v>1.0661174255658823E-2</v>
          </cell>
          <cell r="L87" t="str">
            <v>NA</v>
          </cell>
          <cell r="M87">
            <v>-7.0572742679034128E-2</v>
          </cell>
          <cell r="N87">
            <v>-0.15632804311324755</v>
          </cell>
          <cell r="O87">
            <v>7.1782712908277313E-2</v>
          </cell>
          <cell r="P87">
            <v>8.7021163814795965E-2</v>
          </cell>
          <cell r="Q87" t="str">
            <v>NA</v>
          </cell>
          <cell r="R87">
            <v>1.5974237090754295E-2</v>
          </cell>
          <cell r="S87">
            <v>8.3353221821046208E-2</v>
          </cell>
          <cell r="T87">
            <v>9.6928921614469532E-2</v>
          </cell>
          <cell r="U87">
            <v>4.2627111874271151E-2</v>
          </cell>
          <cell r="V87" t="str">
            <v>NA</v>
          </cell>
          <cell r="W87">
            <v>0.23872992192376419</v>
          </cell>
          <cell r="X87">
            <v>7.579043039776745E-2</v>
          </cell>
          <cell r="Y87">
            <v>5.1600721315570031E-2</v>
          </cell>
          <cell r="Z87">
            <v>1.2576831824650414E-2</v>
          </cell>
          <cell r="AA87" t="str">
            <v>NA</v>
          </cell>
          <cell r="AB87">
            <v>8.5723708759081418E-2</v>
          </cell>
          <cell r="AC87">
            <v>-1.1693367025555013E-2</v>
          </cell>
          <cell r="AD87">
            <v>-2.9544558807675592E-2</v>
          </cell>
          <cell r="AE87">
            <v>-1.2320675617919941E-2</v>
          </cell>
          <cell r="AF87" t="str">
            <v>NA</v>
          </cell>
          <cell r="AG87">
            <v>6.536908282435161E-2</v>
          </cell>
        </row>
        <row r="88">
          <cell r="C88">
            <v>6.4510131661843939E-2</v>
          </cell>
          <cell r="D88">
            <v>4.3001169285445728E-2</v>
          </cell>
          <cell r="E88">
            <v>2.0919350050641494E-2</v>
          </cell>
          <cell r="F88">
            <v>1.5361865479404102E-2</v>
          </cell>
          <cell r="G88">
            <v>3.5583557080323125E-2</v>
          </cell>
          <cell r="H88">
            <v>3.840338863470838E-2</v>
          </cell>
          <cell r="I88">
            <v>1.4381434332614962E-2</v>
          </cell>
          <cell r="J88">
            <v>3.9364737928656801E-2</v>
          </cell>
          <cell r="K88">
            <v>5.3430203343772353E-2</v>
          </cell>
          <cell r="L88">
            <v>3.6255307511579682E-2</v>
          </cell>
          <cell r="M88">
            <v>-5.2309890767397782E-2</v>
          </cell>
          <cell r="N88">
            <v>-0.20632862985697109</v>
          </cell>
          <cell r="O88">
            <v>-0.15062133396767796</v>
          </cell>
          <cell r="P88">
            <v>-8.6446962059357979E-2</v>
          </cell>
          <cell r="Q88">
            <v>-0.12395401089558755</v>
          </cell>
          <cell r="R88">
            <v>-1.3781676265588461E-3</v>
          </cell>
          <cell r="S88">
            <v>0.28232326634962934</v>
          </cell>
          <cell r="T88">
            <v>0.31240918590783462</v>
          </cell>
          <cell r="U88">
            <v>0.25881026483260405</v>
          </cell>
          <cell r="V88">
            <v>0.20737787723209</v>
          </cell>
          <cell r="W88">
            <v>0.53480854547853474</v>
          </cell>
          <cell r="X88">
            <v>0.52409418503697114</v>
          </cell>
          <cell r="Y88">
            <v>0.46111430992157687</v>
          </cell>
          <cell r="Z88">
            <v>0.41900251971623437</v>
          </cell>
          <cell r="AA88">
            <v>0.48101050689351599</v>
          </cell>
          <cell r="AB88">
            <v>0.24372928366188962</v>
          </cell>
          <cell r="AC88">
            <v>0.14258861757407137</v>
          </cell>
          <cell r="AD88">
            <v>5.4422385315604282E-2</v>
          </cell>
          <cell r="AE88">
            <v>2.8495968316015752E-2</v>
          </cell>
          <cell r="AF88">
            <v>0.11288272445797443</v>
          </cell>
          <cell r="AG88">
            <v>9.2142205365761676E-3</v>
          </cell>
        </row>
        <row r="99">
          <cell r="C99">
            <v>0.82715136756968299</v>
          </cell>
          <cell r="D99">
            <v>0.82854382424611639</v>
          </cell>
          <cell r="E99">
            <v>0.82929942368598675</v>
          </cell>
          <cell r="F99">
            <v>0.82836862801966649</v>
          </cell>
          <cell r="G99">
            <v>0.82955389576860017</v>
          </cell>
          <cell r="H99">
            <v>0.81855634816945144</v>
          </cell>
          <cell r="I99">
            <v>0.81270507455576591</v>
          </cell>
          <cell r="J99">
            <v>0.83038839740325865</v>
          </cell>
          <cell r="K99">
            <v>0.83745990220810362</v>
          </cell>
          <cell r="L99">
            <v>0.8250177032035233</v>
          </cell>
          <cell r="M99">
            <v>0.84507458179113126</v>
          </cell>
          <cell r="N99">
            <v>0.84968513033042214</v>
          </cell>
          <cell r="O99">
            <v>0.84610925274915805</v>
          </cell>
          <cell r="P99">
            <v>0.85892786847547209</v>
          </cell>
          <cell r="Q99">
            <v>0.85000351799429719</v>
          </cell>
          <cell r="R99">
            <v>0.85828202509147322</v>
          </cell>
          <cell r="S99">
            <v>0.85539427073740448</v>
          </cell>
          <cell r="T99">
            <v>0.86016039054776272</v>
          </cell>
          <cell r="U99">
            <v>0.86123715176185733</v>
          </cell>
          <cell r="V99">
            <v>0.85900829818951019</v>
          </cell>
          <cell r="W99">
            <v>0.85775195649255742</v>
          </cell>
          <cell r="X99">
            <v>0.86082951267316399</v>
          </cell>
          <cell r="Y99">
            <v>0.85969496377656596</v>
          </cell>
          <cell r="Z99">
            <v>0.85915004044672627</v>
          </cell>
          <cell r="AA99">
            <v>0.8593761950760741</v>
          </cell>
          <cell r="AB99">
            <v>0.84632203732500011</v>
          </cell>
          <cell r="AC99">
            <v>0.84118114746812311</v>
          </cell>
          <cell r="AD99">
            <v>0.83493725834669597</v>
          </cell>
          <cell r="AE99">
            <v>0.84003506026047547</v>
          </cell>
          <cell r="AF99">
            <v>0.84057982258878183</v>
          </cell>
          <cell r="AG99">
            <v>0.83001082194935982</v>
          </cell>
        </row>
        <row r="100">
          <cell r="C100">
            <v>0.13536065090615684</v>
          </cell>
          <cell r="D100">
            <v>0.13078738958269875</v>
          </cell>
          <cell r="E100">
            <v>0.12937211193991105</v>
          </cell>
          <cell r="F100">
            <v>0.13174300264266617</v>
          </cell>
          <cell r="G100">
            <v>0.12967211406933662</v>
          </cell>
          <cell r="H100">
            <v>0.12147028254436018</v>
          </cell>
          <cell r="I100">
            <v>0.12383525865573757</v>
          </cell>
          <cell r="J100">
            <v>0.11091840631364562</v>
          </cell>
          <cell r="K100">
            <v>0.10081285620853966</v>
          </cell>
          <cell r="L100">
            <v>0.114022752903628</v>
          </cell>
          <cell r="M100">
            <v>9.4629318894951228E-2</v>
          </cell>
          <cell r="N100">
            <v>8.4639484341920146E-2</v>
          </cell>
          <cell r="O100">
            <v>9.5027448940333908E-2</v>
          </cell>
          <cell r="P100">
            <v>9.4985781730874436E-2</v>
          </cell>
          <cell r="Q100">
            <v>9.2503463849838291E-2</v>
          </cell>
          <cell r="R100">
            <v>9.4679987238737287E-2</v>
          </cell>
          <cell r="S100">
            <v>9.5157845905182364E-2</v>
          </cell>
          <cell r="T100">
            <v>9.4491814778412342E-2</v>
          </cell>
          <cell r="U100">
            <v>9.3090449127121971E-2</v>
          </cell>
          <cell r="V100">
            <v>9.4212473926149412E-2</v>
          </cell>
          <cell r="W100">
            <v>9.9550595682622325E-2</v>
          </cell>
          <cell r="X100">
            <v>9.2536940797546763E-2</v>
          </cell>
          <cell r="Y100">
            <v>9.4454488940220349E-2</v>
          </cell>
          <cell r="Z100">
            <v>9.5104275923194911E-2</v>
          </cell>
          <cell r="AA100">
            <v>9.5344054434564368E-2</v>
          </cell>
          <cell r="AB100">
            <v>0.10376819263034671</v>
          </cell>
          <cell r="AC100">
            <v>0.107773903939792</v>
          </cell>
          <cell r="AD100">
            <v>0.11272571543977555</v>
          </cell>
          <cell r="AE100">
            <v>0.11092595693754125</v>
          </cell>
          <cell r="AF100">
            <v>0.10883835725674143</v>
          </cell>
          <cell r="AG100">
            <v>0.11546664829273695</v>
          </cell>
        </row>
        <row r="101">
          <cell r="C101">
            <v>3.7999999999999999E-2</v>
          </cell>
          <cell r="D101">
            <v>0.04</v>
          </cell>
          <cell r="E101">
            <v>4.2000000000000003E-2</v>
          </cell>
          <cell r="F101">
            <v>3.9888369337667325E-2</v>
          </cell>
          <cell r="G101">
            <v>0.04</v>
          </cell>
          <cell r="H101">
            <v>5.9973369286188342E-2</v>
          </cell>
          <cell r="I101">
            <v>6.345966678849653E-2</v>
          </cell>
          <cell r="J101">
            <v>5.8693196283095724E-2</v>
          </cell>
          <cell r="K101">
            <v>6.1727241583356691E-2</v>
          </cell>
          <cell r="L101">
            <v>6.095954389284871E-2</v>
          </cell>
          <cell r="M101">
            <v>6.0296099313917398E-2</v>
          </cell>
          <cell r="N101">
            <v>6.5000000000000002E-2</v>
          </cell>
          <cell r="O101">
            <v>5.8863298310508079E-2</v>
          </cell>
          <cell r="P101">
            <v>4.6086349793653482E-2</v>
          </cell>
          <cell r="Q101">
            <v>5.749301815586453E-2</v>
          </cell>
          <cell r="R101">
            <v>4.7037987669789338E-2</v>
          </cell>
          <cell r="S101">
            <v>5.0447883357413167E-2</v>
          </cell>
          <cell r="T101">
            <v>4.5347794673824958E-2</v>
          </cell>
          <cell r="U101">
            <v>4.5672399111020612E-2</v>
          </cell>
          <cell r="V101">
            <v>4.6779227884340364E-2</v>
          </cell>
          <cell r="W101">
            <v>4.2697447824820427E-2</v>
          </cell>
          <cell r="X101">
            <v>4.6633546529289263E-2</v>
          </cell>
          <cell r="Y101">
            <v>4.5850547283213784E-2</v>
          </cell>
          <cell r="Z101">
            <v>4.5745683630078825E-2</v>
          </cell>
          <cell r="AA101">
            <v>4.5279750489361524E-2</v>
          </cell>
          <cell r="AB101">
            <v>4.9909770044653218E-2</v>
          </cell>
          <cell r="AC101">
            <v>5.104494859208486E-2</v>
          </cell>
          <cell r="AD101">
            <v>5.2337026213528447E-2</v>
          </cell>
          <cell r="AE101">
            <v>4.903898280198337E-2</v>
          </cell>
          <cell r="AF101">
            <v>5.058182015447673E-2</v>
          </cell>
          <cell r="AG101">
            <v>5.4522529757903282E-2</v>
          </cell>
        </row>
      </sheetData>
      <sheetData sheetId="5">
        <row r="9">
          <cell r="B9">
            <v>15150</v>
          </cell>
          <cell r="C9">
            <v>17090</v>
          </cell>
          <cell r="D9">
            <v>19674</v>
          </cell>
          <cell r="E9">
            <v>-2093</v>
          </cell>
          <cell r="F9">
            <v>49821</v>
          </cell>
          <cell r="G9">
            <v>16861</v>
          </cell>
          <cell r="H9">
            <v>13856</v>
          </cell>
          <cell r="I9">
            <v>22422</v>
          </cell>
          <cell r="J9">
            <v>23314</v>
          </cell>
          <cell r="K9">
            <v>76453</v>
          </cell>
          <cell r="L9">
            <v>27487</v>
          </cell>
          <cell r="M9">
            <v>9866</v>
          </cell>
          <cell r="N9">
            <v>34406</v>
          </cell>
          <cell r="O9">
            <v>38263</v>
          </cell>
          <cell r="P9">
            <v>110022</v>
          </cell>
          <cell r="Q9">
            <v>41555</v>
          </cell>
          <cell r="R9">
            <v>35830</v>
          </cell>
          <cell r="S9">
            <v>42438</v>
          </cell>
          <cell r="T9">
            <v>36058</v>
          </cell>
          <cell r="U9">
            <v>155881</v>
          </cell>
          <cell r="V9">
            <v>43975</v>
          </cell>
          <cell r="W9">
            <v>47081</v>
          </cell>
          <cell r="X9">
            <v>50111</v>
          </cell>
          <cell r="Y9">
            <v>50995</v>
          </cell>
          <cell r="Z9">
            <v>192162</v>
          </cell>
          <cell r="AA9">
            <v>59448</v>
          </cell>
          <cell r="AB9">
            <v>64811</v>
          </cell>
          <cell r="AC9">
            <v>60230</v>
          </cell>
          <cell r="AD9">
            <v>54266</v>
          </cell>
          <cell r="AE9">
            <v>238755</v>
          </cell>
          <cell r="AF9">
            <v>61524</v>
          </cell>
        </row>
        <row r="10">
          <cell r="B10">
            <v>3947</v>
          </cell>
          <cell r="C10">
            <v>3761</v>
          </cell>
          <cell r="D10">
            <v>6718</v>
          </cell>
          <cell r="E10">
            <v>5951</v>
          </cell>
          <cell r="F10">
            <v>20377</v>
          </cell>
          <cell r="G10">
            <v>5528</v>
          </cell>
          <cell r="H10">
            <v>5554</v>
          </cell>
          <cell r="I10">
            <v>5502</v>
          </cell>
          <cell r="J10">
            <v>4974</v>
          </cell>
          <cell r="K10">
            <v>21558</v>
          </cell>
          <cell r="L10">
            <v>4154</v>
          </cell>
          <cell r="M10">
            <v>3430</v>
          </cell>
          <cell r="N10">
            <v>3413</v>
          </cell>
          <cell r="O10">
            <v>3415</v>
          </cell>
          <cell r="P10">
            <v>14412</v>
          </cell>
          <cell r="Q10">
            <v>3361</v>
          </cell>
          <cell r="R10">
            <v>3397</v>
          </cell>
          <cell r="S10">
            <v>3022</v>
          </cell>
          <cell r="T10">
            <v>2998</v>
          </cell>
          <cell r="U10">
            <v>12778</v>
          </cell>
          <cell r="V10">
            <v>4486</v>
          </cell>
          <cell r="W10">
            <v>4146</v>
          </cell>
          <cell r="X10">
            <v>4243</v>
          </cell>
          <cell r="Y10">
            <v>4234</v>
          </cell>
          <cell r="Z10">
            <v>17109</v>
          </cell>
          <cell r="AA10">
            <v>4149</v>
          </cell>
          <cell r="AB10">
            <v>4204</v>
          </cell>
          <cell r="AC10">
            <v>3157</v>
          </cell>
          <cell r="AD10">
            <v>3168</v>
          </cell>
          <cell r="AE10">
            <v>14678</v>
          </cell>
          <cell r="AF10">
            <v>3080</v>
          </cell>
        </row>
        <row r="11">
          <cell r="B11">
            <v>5074</v>
          </cell>
          <cell r="C11">
            <v>6893</v>
          </cell>
          <cell r="D11">
            <v>5344</v>
          </cell>
          <cell r="E11">
            <v>6590</v>
          </cell>
          <cell r="F11">
            <v>23901</v>
          </cell>
          <cell r="G11">
            <v>6956</v>
          </cell>
          <cell r="H11">
            <v>7155</v>
          </cell>
          <cell r="I11">
            <v>7427</v>
          </cell>
          <cell r="J11">
            <v>4532</v>
          </cell>
          <cell r="K11">
            <v>26070</v>
          </cell>
          <cell r="L11">
            <v>4778</v>
          </cell>
          <cell r="M11">
            <v>7726</v>
          </cell>
          <cell r="N11">
            <v>8346</v>
          </cell>
          <cell r="O11">
            <v>7385</v>
          </cell>
          <cell r="P11">
            <v>28235</v>
          </cell>
          <cell r="Q11">
            <v>7832</v>
          </cell>
          <cell r="R11">
            <v>10070</v>
          </cell>
          <cell r="S11">
            <v>10894</v>
          </cell>
          <cell r="T11">
            <v>9825</v>
          </cell>
          <cell r="U11">
            <v>38621</v>
          </cell>
          <cell r="V11">
            <v>11224</v>
          </cell>
          <cell r="W11">
            <v>13340</v>
          </cell>
          <cell r="X11">
            <v>12186</v>
          </cell>
          <cell r="Y11">
            <v>12616</v>
          </cell>
          <cell r="Z11">
            <v>49366</v>
          </cell>
          <cell r="AA11">
            <v>14407</v>
          </cell>
          <cell r="AB11">
            <v>11511</v>
          </cell>
          <cell r="AC11">
            <v>17067</v>
          </cell>
          <cell r="AD11">
            <v>15452</v>
          </cell>
          <cell r="AE11">
            <v>58437</v>
          </cell>
          <cell r="AF11">
            <v>17852</v>
          </cell>
        </row>
        <row r="12">
          <cell r="B12">
            <v>2400</v>
          </cell>
          <cell r="C12">
            <v>0</v>
          </cell>
          <cell r="D12">
            <v>0</v>
          </cell>
          <cell r="E12">
            <v>0</v>
          </cell>
          <cell r="F12">
            <v>2400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217</v>
          </cell>
          <cell r="X12">
            <v>169</v>
          </cell>
          <cell r="Y12">
            <v>0</v>
          </cell>
          <cell r="Z12">
            <v>386</v>
          </cell>
          <cell r="AA12">
            <v>0</v>
          </cell>
          <cell r="AB12">
            <v>0</v>
          </cell>
          <cell r="AC12">
            <v>0</v>
          </cell>
          <cell r="AD12">
            <v>895</v>
          </cell>
          <cell r="AE12">
            <v>895</v>
          </cell>
          <cell r="AF12">
            <v>0</v>
          </cell>
        </row>
        <row r="13">
          <cell r="B13">
            <v>363</v>
          </cell>
          <cell r="C13">
            <v>841</v>
          </cell>
          <cell r="D13">
            <v>855</v>
          </cell>
          <cell r="E13">
            <v>236</v>
          </cell>
          <cell r="F13">
            <v>2295</v>
          </cell>
          <cell r="G13">
            <v>0</v>
          </cell>
          <cell r="H13">
            <v>0</v>
          </cell>
          <cell r="I13">
            <v>0</v>
          </cell>
          <cell r="J13">
            <v>0</v>
          </cell>
          <cell r="K13">
            <v>0</v>
          </cell>
          <cell r="L13">
            <v>0</v>
          </cell>
          <cell r="M13">
            <v>0</v>
          </cell>
          <cell r="N13">
            <v>0</v>
          </cell>
          <cell r="O13">
            <v>0</v>
          </cell>
          <cell r="P13">
            <v>0</v>
          </cell>
          <cell r="Q13">
            <v>0</v>
          </cell>
          <cell r="R13">
            <v>0</v>
          </cell>
          <cell r="S13">
            <v>0</v>
          </cell>
          <cell r="T13">
            <v>761</v>
          </cell>
          <cell r="U13">
            <v>761</v>
          </cell>
          <cell r="V13">
            <v>134</v>
          </cell>
          <cell r="W13">
            <v>0</v>
          </cell>
          <cell r="X13">
            <v>0</v>
          </cell>
          <cell r="Y13">
            <v>0</v>
          </cell>
          <cell r="Z13">
            <v>134</v>
          </cell>
          <cell r="AA13">
            <v>0</v>
          </cell>
          <cell r="AB13">
            <v>0</v>
          </cell>
          <cell r="AC13">
            <v>0</v>
          </cell>
          <cell r="AD13">
            <v>0</v>
          </cell>
          <cell r="AE13">
            <v>0</v>
          </cell>
          <cell r="AF13">
            <v>0</v>
          </cell>
        </row>
        <row r="14">
          <cell r="F14">
            <v>0</v>
          </cell>
          <cell r="G14">
            <v>0</v>
          </cell>
          <cell r="H14">
            <v>0</v>
          </cell>
          <cell r="I14">
            <v>0</v>
          </cell>
          <cell r="J14">
            <v>0</v>
          </cell>
          <cell r="K14">
            <v>0</v>
          </cell>
          <cell r="L14">
            <v>0</v>
          </cell>
          <cell r="M14">
            <v>0</v>
          </cell>
          <cell r="N14">
            <v>0</v>
          </cell>
          <cell r="O14">
            <v>0</v>
          </cell>
          <cell r="P14">
            <v>0</v>
          </cell>
          <cell r="Q14">
            <v>0</v>
          </cell>
          <cell r="R14">
            <v>0</v>
          </cell>
          <cell r="S14">
            <v>0</v>
          </cell>
          <cell r="T14">
            <v>551</v>
          </cell>
          <cell r="U14">
            <v>551</v>
          </cell>
          <cell r="V14">
            <v>0</v>
          </cell>
          <cell r="W14">
            <v>0</v>
          </cell>
          <cell r="X14">
            <v>0</v>
          </cell>
          <cell r="Y14">
            <v>-560</v>
          </cell>
          <cell r="Z14">
            <v>-560</v>
          </cell>
          <cell r="AA14">
            <v>-89</v>
          </cell>
          <cell r="AB14">
            <v>578</v>
          </cell>
          <cell r="AC14">
            <v>1700</v>
          </cell>
          <cell r="AD14">
            <v>-264</v>
          </cell>
          <cell r="AE14">
            <v>1925</v>
          </cell>
          <cell r="AF14">
            <v>0</v>
          </cell>
        </row>
        <row r="15">
          <cell r="B15">
            <v>0</v>
          </cell>
          <cell r="C15">
            <v>0</v>
          </cell>
          <cell r="D15">
            <v>0</v>
          </cell>
          <cell r="E15">
            <v>20056</v>
          </cell>
          <cell r="F15">
            <v>20056</v>
          </cell>
          <cell r="G15">
            <v>1227</v>
          </cell>
          <cell r="H15">
            <v>5580</v>
          </cell>
          <cell r="I15">
            <v>489</v>
          </cell>
          <cell r="J15">
            <v>1375</v>
          </cell>
          <cell r="K15">
            <v>8671</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row>
        <row r="16">
          <cell r="B16">
            <v>26934</v>
          </cell>
          <cell r="C16">
            <v>28585</v>
          </cell>
          <cell r="D16">
            <v>32591</v>
          </cell>
          <cell r="E16">
            <v>30740</v>
          </cell>
          <cell r="F16">
            <v>118850</v>
          </cell>
          <cell r="G16">
            <v>30572</v>
          </cell>
          <cell r="H16">
            <v>32145</v>
          </cell>
          <cell r="I16">
            <v>35840</v>
          </cell>
          <cell r="J16">
            <v>34195</v>
          </cell>
          <cell r="K16">
            <v>132752</v>
          </cell>
          <cell r="L16">
            <v>36419</v>
          </cell>
          <cell r="M16">
            <v>21022</v>
          </cell>
          <cell r="N16">
            <v>46165</v>
          </cell>
          <cell r="O16">
            <v>49063</v>
          </cell>
          <cell r="P16">
            <v>152669</v>
          </cell>
          <cell r="Q16">
            <v>52748</v>
          </cell>
          <cell r="R16">
            <v>49297</v>
          </cell>
          <cell r="S16">
            <v>56354</v>
          </cell>
          <cell r="T16">
            <v>50193</v>
          </cell>
          <cell r="U16">
            <v>208592</v>
          </cell>
          <cell r="V16">
            <v>59819</v>
          </cell>
          <cell r="W16">
            <v>64784</v>
          </cell>
          <cell r="X16">
            <v>66709</v>
          </cell>
          <cell r="Y16">
            <v>67285</v>
          </cell>
          <cell r="Z16">
            <v>258597</v>
          </cell>
          <cell r="AA16">
            <v>77915</v>
          </cell>
          <cell r="AB16">
            <v>81104</v>
          </cell>
          <cell r="AC16">
            <v>82154</v>
          </cell>
          <cell r="AD16">
            <v>73517</v>
          </cell>
          <cell r="AE16">
            <v>314690</v>
          </cell>
          <cell r="AF16">
            <v>82456</v>
          </cell>
        </row>
        <row r="17">
          <cell r="B17">
            <v>0.13013291588757953</v>
          </cell>
          <cell r="C17">
            <v>0.13604648949131892</v>
          </cell>
          <cell r="D17">
            <v>0.14101088593136152</v>
          </cell>
          <cell r="E17">
            <v>0.13086252623423286</v>
          </cell>
          <cell r="F17">
            <v>0.13458089121198671</v>
          </cell>
          <cell r="G17">
            <v>0.12761037345610732</v>
          </cell>
          <cell r="H17">
            <v>0.13200744120340521</v>
          </cell>
          <cell r="I17">
            <v>0.1425661914460285</v>
          </cell>
          <cell r="J17">
            <v>0.13312077610638762</v>
          </cell>
          <cell r="K17">
            <v>0.13391086462244262</v>
          </cell>
          <cell r="L17">
            <v>0.14805073376966543</v>
          </cell>
          <cell r="M17">
            <v>9.4492365365684824E-2</v>
          </cell>
          <cell r="N17">
            <v>0.1915417105776332</v>
          </cell>
          <cell r="O17">
            <v>0.19707735998361137</v>
          </cell>
          <cell r="P17">
            <v>0.15929005022776738</v>
          </cell>
          <cell r="Q17">
            <v>0.20177878086567336</v>
          </cell>
          <cell r="R17">
            <v>0.17922010877468517</v>
          </cell>
          <cell r="S17">
            <v>0.19410660466718332</v>
          </cell>
          <cell r="T17">
            <v>0.16986419122200827</v>
          </cell>
          <cell r="U17">
            <v>0.18586233719714906</v>
          </cell>
          <cell r="V17">
            <v>0.18170579086777963</v>
          </cell>
          <cell r="W17">
            <v>0.18681477123956838</v>
          </cell>
          <cell r="X17">
            <v>0.1846099775564479</v>
          </cell>
          <cell r="Y17">
            <v>0.17956888522376388</v>
          </cell>
          <cell r="Z17">
            <v>0.18313664446716957</v>
          </cell>
          <cell r="AA17">
            <v>0.19447488162778334</v>
          </cell>
          <cell r="AB17">
            <v>0.20025876798783199</v>
          </cell>
          <cell r="AC17">
            <v>0.19990218287908393</v>
          </cell>
          <cell r="AD17">
            <v>0.17755242019234022</v>
          </cell>
          <cell r="AE17">
            <v>0.19298226248384098</v>
          </cell>
          <cell r="AF17">
            <v>0.18889960527551677</v>
          </cell>
        </row>
        <row r="18">
          <cell r="B18">
            <v>2.123303253203912E-2</v>
          </cell>
          <cell r="C18">
            <v>6.1297987673572418E-2</v>
          </cell>
          <cell r="D18">
            <v>0.14014343186986178</v>
          </cell>
          <cell r="E18">
            <v>-5.6794820656009382E-2</v>
          </cell>
          <cell r="F18" t="str">
            <v>NA</v>
          </cell>
          <cell r="G18">
            <v>-5.4651919323357445E-3</v>
          </cell>
          <cell r="H18">
            <v>5.1452309302629784E-2</v>
          </cell>
          <cell r="I18">
            <v>0.1149478923627314</v>
          </cell>
          <cell r="J18">
            <v>-4.58984375E-2</v>
          </cell>
          <cell r="K18" t="str">
            <v>NA</v>
          </cell>
          <cell r="L18">
            <v>6.5038748355022769E-2</v>
          </cell>
          <cell r="M18">
            <v>-0.42277382684862297</v>
          </cell>
          <cell r="N18">
            <v>1.1960327276186851</v>
          </cell>
          <cell r="O18">
            <v>6.2774829416224476E-2</v>
          </cell>
          <cell r="P18" t="str">
            <v>NA</v>
          </cell>
          <cell r="Q18">
            <v>7.5107514827874367E-2</v>
          </cell>
          <cell r="R18">
            <v>-6.5424281489345537E-2</v>
          </cell>
          <cell r="S18">
            <v>0.14315272734649165</v>
          </cell>
          <cell r="T18">
            <v>-0.1093267558647123</v>
          </cell>
          <cell r="U18" t="str">
            <v>NA</v>
          </cell>
          <cell r="V18">
            <v>0.19177973024126871</v>
          </cell>
          <cell r="W18">
            <v>8.3000384493221224E-2</v>
          </cell>
          <cell r="X18">
            <v>2.971412694492459E-2</v>
          </cell>
          <cell r="Y18">
            <v>8.6345170816530814E-3</v>
          </cell>
          <cell r="Z18" t="str">
            <v>NA</v>
          </cell>
          <cell r="AA18">
            <v>0.15798469198186815</v>
          </cell>
          <cell r="AB18">
            <v>4.0929217737277757E-2</v>
          </cell>
          <cell r="AC18">
            <v>1.2946340501085007E-2</v>
          </cell>
          <cell r="AD18">
            <v>-0.10513182559583223</v>
          </cell>
          <cell r="AE18" t="str">
            <v>NA</v>
          </cell>
          <cell r="AF18">
            <v>0.12159092454806375</v>
          </cell>
        </row>
        <row r="19">
          <cell r="B19">
            <v>1.0050251256281451E-2</v>
          </cell>
          <cell r="C19">
            <v>6.1455625696249516E-2</v>
          </cell>
          <cell r="D19">
            <v>6.5169787887701336E-2</v>
          </cell>
          <cell r="E19">
            <v>0.16554182149086216</v>
          </cell>
          <cell r="F19">
            <v>7.4913853138820707E-2</v>
          </cell>
          <cell r="G19">
            <v>0.13507091408628491</v>
          </cell>
          <cell r="H19">
            <v>0.12454084309952762</v>
          </cell>
          <cell r="I19">
            <v>9.9690098493449009E-2</v>
          </cell>
          <cell r="J19">
            <v>0.11239427456083284</v>
          </cell>
          <cell r="K19">
            <v>0.11697097181320992</v>
          </cell>
          <cell r="L19">
            <v>0.19125343451524279</v>
          </cell>
          <cell r="M19">
            <v>-0.34602582050085551</v>
          </cell>
          <cell r="N19">
            <v>0.2880859375</v>
          </cell>
          <cell r="O19">
            <v>0.43480040941658138</v>
          </cell>
          <cell r="P19">
            <v>0.1500316379414246</v>
          </cell>
          <cell r="Q19">
            <v>0.44836486449380808</v>
          </cell>
          <cell r="R19">
            <v>1.3450195033774142</v>
          </cell>
          <cell r="S19">
            <v>0.22070832882053493</v>
          </cell>
          <cell r="T19">
            <v>2.3031612416688718E-2</v>
          </cell>
          <cell r="U19">
            <v>0.3663022617558247</v>
          </cell>
          <cell r="V19">
            <v>0.13405247592325775</v>
          </cell>
          <cell r="W19">
            <v>0.31415704809623302</v>
          </cell>
          <cell r="X19">
            <v>0.18374915711395823</v>
          </cell>
          <cell r="Y19">
            <v>0.3405255712948021</v>
          </cell>
          <cell r="Z19">
            <v>0.23972635575669243</v>
          </cell>
          <cell r="AA19">
            <v>0.30251257961517242</v>
          </cell>
          <cell r="AB19">
            <v>0.25191405285255608</v>
          </cell>
          <cell r="AC19">
            <v>0.23152797973286954</v>
          </cell>
          <cell r="AD19">
            <v>9.262094077431815E-2</v>
          </cell>
          <cell r="AE19">
            <v>0.2169128025460465</v>
          </cell>
          <cell r="AF19">
            <v>5.8281460566001364E-2</v>
          </cell>
        </row>
        <row r="21">
          <cell r="B21">
            <v>15150</v>
          </cell>
          <cell r="C21">
            <v>17090</v>
          </cell>
          <cell r="D21">
            <v>19674</v>
          </cell>
          <cell r="E21">
            <v>-2093</v>
          </cell>
          <cell r="F21">
            <v>49821</v>
          </cell>
          <cell r="G21">
            <v>16861</v>
          </cell>
          <cell r="H21">
            <v>13856</v>
          </cell>
          <cell r="I21">
            <v>22422</v>
          </cell>
          <cell r="J21">
            <v>23314</v>
          </cell>
          <cell r="K21">
            <v>76453</v>
          </cell>
          <cell r="L21">
            <v>27487</v>
          </cell>
          <cell r="M21">
            <v>9866</v>
          </cell>
          <cell r="N21">
            <v>34406</v>
          </cell>
          <cell r="O21">
            <v>38263</v>
          </cell>
          <cell r="P21">
            <v>110022</v>
          </cell>
          <cell r="Q21">
            <v>41555</v>
          </cell>
          <cell r="R21">
            <v>35830</v>
          </cell>
          <cell r="S21">
            <v>42438</v>
          </cell>
          <cell r="T21">
            <v>36058</v>
          </cell>
          <cell r="U21">
            <v>155881</v>
          </cell>
          <cell r="V21">
            <v>43975</v>
          </cell>
          <cell r="W21">
            <v>47081</v>
          </cell>
          <cell r="X21">
            <v>50111</v>
          </cell>
          <cell r="Y21">
            <v>50995</v>
          </cell>
          <cell r="Z21">
            <v>192162</v>
          </cell>
          <cell r="AA21">
            <v>59448</v>
          </cell>
          <cell r="AB21">
            <v>64811</v>
          </cell>
          <cell r="AC21">
            <v>60230</v>
          </cell>
          <cell r="AD21">
            <v>54266</v>
          </cell>
          <cell r="AE21">
            <v>238755</v>
          </cell>
          <cell r="AF21">
            <v>61524</v>
          </cell>
        </row>
        <row r="22">
          <cell r="B22">
            <v>6557</v>
          </cell>
          <cell r="C22">
            <v>6821</v>
          </cell>
          <cell r="D22">
            <v>7381</v>
          </cell>
          <cell r="E22">
            <v>7430</v>
          </cell>
          <cell r="F22">
            <v>28189</v>
          </cell>
          <cell r="G22">
            <v>8139</v>
          </cell>
          <cell r="H22">
            <v>7198</v>
          </cell>
          <cell r="I22">
            <v>7545</v>
          </cell>
          <cell r="J22">
            <v>7541</v>
          </cell>
          <cell r="K22">
            <v>30423</v>
          </cell>
          <cell r="L22">
            <v>8296</v>
          </cell>
          <cell r="M22">
            <v>8975</v>
          </cell>
          <cell r="N22">
            <v>9012</v>
          </cell>
          <cell r="O22">
            <v>9767</v>
          </cell>
          <cell r="P22">
            <v>36050</v>
          </cell>
          <cell r="Q22">
            <v>8740</v>
          </cell>
          <cell r="R22">
            <v>8913</v>
          </cell>
          <cell r="S22">
            <v>9283</v>
          </cell>
          <cell r="T22">
            <v>9418</v>
          </cell>
          <cell r="U22">
            <v>36354</v>
          </cell>
          <cell r="V22">
            <v>9116</v>
          </cell>
          <cell r="W22">
            <v>9929</v>
          </cell>
          <cell r="X22">
            <v>10137</v>
          </cell>
          <cell r="Y22">
            <v>9991</v>
          </cell>
          <cell r="Z22">
            <v>39173</v>
          </cell>
          <cell r="AA22">
            <v>9338</v>
          </cell>
          <cell r="AB22">
            <v>8918</v>
          </cell>
          <cell r="AC22">
            <v>8426</v>
          </cell>
          <cell r="AD22">
            <v>9130</v>
          </cell>
          <cell r="AE22">
            <v>35812</v>
          </cell>
          <cell r="AF22">
            <v>9266</v>
          </cell>
        </row>
        <row r="23">
          <cell r="B23">
            <v>3947</v>
          </cell>
          <cell r="C23">
            <v>3761</v>
          </cell>
          <cell r="D23">
            <v>6718</v>
          </cell>
          <cell r="E23">
            <v>5951</v>
          </cell>
          <cell r="F23">
            <v>20377</v>
          </cell>
          <cell r="G23">
            <v>5528</v>
          </cell>
          <cell r="H23">
            <v>5554</v>
          </cell>
          <cell r="I23">
            <v>5502</v>
          </cell>
          <cell r="J23">
            <v>4974</v>
          </cell>
          <cell r="K23">
            <v>21558</v>
          </cell>
          <cell r="L23">
            <v>4154</v>
          </cell>
          <cell r="M23">
            <v>3430</v>
          </cell>
          <cell r="N23">
            <v>3413</v>
          </cell>
          <cell r="O23">
            <v>3415</v>
          </cell>
          <cell r="P23">
            <v>14412</v>
          </cell>
          <cell r="Q23">
            <v>3361</v>
          </cell>
          <cell r="R23">
            <v>3397</v>
          </cell>
          <cell r="S23">
            <v>3022</v>
          </cell>
          <cell r="T23">
            <v>2998</v>
          </cell>
          <cell r="U23">
            <v>12778</v>
          </cell>
          <cell r="V23">
            <v>4486</v>
          </cell>
          <cell r="W23">
            <v>4146</v>
          </cell>
          <cell r="X23">
            <v>4243</v>
          </cell>
          <cell r="Y23">
            <v>4234</v>
          </cell>
          <cell r="Z23">
            <v>17109</v>
          </cell>
          <cell r="AA23">
            <v>4149</v>
          </cell>
          <cell r="AB23">
            <v>4204</v>
          </cell>
          <cell r="AC23">
            <v>3157</v>
          </cell>
          <cell r="AD23">
            <v>3168</v>
          </cell>
          <cell r="AE23">
            <v>14678</v>
          </cell>
          <cell r="AF23">
            <v>3080</v>
          </cell>
        </row>
        <row r="24">
          <cell r="B24">
            <v>5074</v>
          </cell>
          <cell r="C24">
            <v>6893</v>
          </cell>
          <cell r="D24">
            <v>5344</v>
          </cell>
          <cell r="E24">
            <v>6590</v>
          </cell>
          <cell r="F24">
            <v>23901</v>
          </cell>
          <cell r="G24">
            <v>6956</v>
          </cell>
          <cell r="H24">
            <v>7155</v>
          </cell>
          <cell r="I24">
            <v>7427</v>
          </cell>
          <cell r="J24">
            <v>4532</v>
          </cell>
          <cell r="K24">
            <v>26070</v>
          </cell>
          <cell r="L24">
            <v>4778</v>
          </cell>
          <cell r="M24">
            <v>7726</v>
          </cell>
          <cell r="N24">
            <v>8346</v>
          </cell>
          <cell r="O24">
            <v>7385</v>
          </cell>
          <cell r="P24">
            <v>28235</v>
          </cell>
          <cell r="Q24">
            <v>7832</v>
          </cell>
          <cell r="R24">
            <v>10070</v>
          </cell>
          <cell r="S24">
            <v>10894</v>
          </cell>
          <cell r="T24">
            <v>9825</v>
          </cell>
          <cell r="U24">
            <v>38621</v>
          </cell>
          <cell r="V24">
            <v>11224</v>
          </cell>
          <cell r="W24">
            <v>13340</v>
          </cell>
          <cell r="X24">
            <v>12186</v>
          </cell>
          <cell r="Y24">
            <v>12616</v>
          </cell>
          <cell r="Z24">
            <v>49366</v>
          </cell>
          <cell r="AA24">
            <v>14407</v>
          </cell>
          <cell r="AB24">
            <v>11511</v>
          </cell>
          <cell r="AC24">
            <v>17067</v>
          </cell>
          <cell r="AD24">
            <v>15452</v>
          </cell>
          <cell r="AE24">
            <v>58437</v>
          </cell>
          <cell r="AF24">
            <v>17852</v>
          </cell>
        </row>
        <row r="25">
          <cell r="B25">
            <v>2400</v>
          </cell>
          <cell r="C25">
            <v>0</v>
          </cell>
          <cell r="D25">
            <v>0</v>
          </cell>
          <cell r="E25">
            <v>0</v>
          </cell>
          <cell r="F25">
            <v>2400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217</v>
          </cell>
          <cell r="X25">
            <v>169</v>
          </cell>
          <cell r="Y25">
            <v>0</v>
          </cell>
          <cell r="Z25">
            <v>386</v>
          </cell>
          <cell r="AA25">
            <v>0</v>
          </cell>
          <cell r="AB25">
            <v>0</v>
          </cell>
          <cell r="AC25">
            <v>0</v>
          </cell>
          <cell r="AD25">
            <v>895</v>
          </cell>
          <cell r="AE25">
            <v>895</v>
          </cell>
          <cell r="AF25">
            <v>0</v>
          </cell>
        </row>
        <row r="26">
          <cell r="B26">
            <v>363</v>
          </cell>
          <cell r="C26">
            <v>841</v>
          </cell>
          <cell r="D26">
            <v>855</v>
          </cell>
          <cell r="E26">
            <v>236</v>
          </cell>
          <cell r="F26">
            <v>2295</v>
          </cell>
          <cell r="G26">
            <v>0</v>
          </cell>
          <cell r="H26">
            <v>0</v>
          </cell>
          <cell r="I26">
            <v>0</v>
          </cell>
          <cell r="J26">
            <v>0</v>
          </cell>
          <cell r="K26">
            <v>0</v>
          </cell>
          <cell r="L26">
            <v>0</v>
          </cell>
          <cell r="M26">
            <v>0</v>
          </cell>
          <cell r="N26">
            <v>0</v>
          </cell>
          <cell r="O26">
            <v>0</v>
          </cell>
          <cell r="P26">
            <v>0</v>
          </cell>
          <cell r="Q26">
            <v>0</v>
          </cell>
          <cell r="R26">
            <v>0</v>
          </cell>
          <cell r="S26">
            <v>0</v>
          </cell>
          <cell r="T26">
            <v>761</v>
          </cell>
          <cell r="U26">
            <v>761</v>
          </cell>
          <cell r="V26">
            <v>134</v>
          </cell>
          <cell r="W26">
            <v>0</v>
          </cell>
          <cell r="X26">
            <v>0</v>
          </cell>
          <cell r="Y26">
            <v>0</v>
          </cell>
          <cell r="Z26">
            <v>134</v>
          </cell>
          <cell r="AA26">
            <v>0</v>
          </cell>
          <cell r="AB26">
            <v>0</v>
          </cell>
          <cell r="AC26">
            <v>0</v>
          </cell>
          <cell r="AD26">
            <v>0</v>
          </cell>
          <cell r="AE26">
            <v>0</v>
          </cell>
          <cell r="AF26">
            <v>0</v>
          </cell>
        </row>
        <row r="27">
          <cell r="F27">
            <v>0</v>
          </cell>
          <cell r="G27">
            <v>0</v>
          </cell>
          <cell r="H27">
            <v>0</v>
          </cell>
          <cell r="I27">
            <v>0</v>
          </cell>
          <cell r="J27">
            <v>0</v>
          </cell>
          <cell r="K27">
            <v>0</v>
          </cell>
          <cell r="L27">
            <v>0</v>
          </cell>
          <cell r="M27">
            <v>0</v>
          </cell>
          <cell r="N27">
            <v>0</v>
          </cell>
          <cell r="O27">
            <v>0</v>
          </cell>
          <cell r="P27">
            <v>0</v>
          </cell>
          <cell r="Q27">
            <v>0</v>
          </cell>
          <cell r="R27">
            <v>0</v>
          </cell>
          <cell r="S27">
            <v>0</v>
          </cell>
          <cell r="T27">
            <v>551</v>
          </cell>
          <cell r="U27">
            <v>551</v>
          </cell>
          <cell r="V27">
            <v>0</v>
          </cell>
          <cell r="W27">
            <v>0</v>
          </cell>
          <cell r="X27">
            <v>0</v>
          </cell>
          <cell r="Y27">
            <v>-864</v>
          </cell>
          <cell r="Z27">
            <v>-864</v>
          </cell>
          <cell r="AA27">
            <v>-838</v>
          </cell>
          <cell r="AB27">
            <v>-51</v>
          </cell>
          <cell r="AC27">
            <v>1700</v>
          </cell>
          <cell r="AD27">
            <v>-264</v>
          </cell>
          <cell r="AE27">
            <v>547</v>
          </cell>
          <cell r="AF27">
            <v>0</v>
          </cell>
        </row>
        <row r="28">
          <cell r="B28">
            <v>0</v>
          </cell>
          <cell r="C28">
            <v>0</v>
          </cell>
          <cell r="D28">
            <v>0</v>
          </cell>
          <cell r="E28">
            <v>20056</v>
          </cell>
          <cell r="F28">
            <v>20056</v>
          </cell>
          <cell r="G28">
            <v>1227</v>
          </cell>
          <cell r="H28">
            <v>5580</v>
          </cell>
          <cell r="I28">
            <v>489</v>
          </cell>
          <cell r="J28">
            <v>1375</v>
          </cell>
          <cell r="K28">
            <v>8671</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row>
        <row r="29">
          <cell r="B29">
            <v>33491</v>
          </cell>
          <cell r="C29">
            <v>35406</v>
          </cell>
          <cell r="D29">
            <v>39972</v>
          </cell>
          <cell r="E29">
            <v>38170</v>
          </cell>
          <cell r="F29">
            <v>147039</v>
          </cell>
          <cell r="G29">
            <v>38711</v>
          </cell>
          <cell r="H29">
            <v>39343</v>
          </cell>
          <cell r="I29">
            <v>43385</v>
          </cell>
          <cell r="J29">
            <v>41736</v>
          </cell>
          <cell r="K29">
            <v>163175</v>
          </cell>
          <cell r="L29">
            <v>44715</v>
          </cell>
          <cell r="M29">
            <v>29997</v>
          </cell>
          <cell r="N29">
            <v>55177</v>
          </cell>
          <cell r="O29">
            <v>58830</v>
          </cell>
          <cell r="P29">
            <v>188719</v>
          </cell>
          <cell r="Q29">
            <v>61488</v>
          </cell>
          <cell r="R29">
            <v>58210</v>
          </cell>
          <cell r="S29">
            <v>65637</v>
          </cell>
          <cell r="T29">
            <v>59611</v>
          </cell>
          <cell r="U29">
            <v>244946</v>
          </cell>
          <cell r="V29">
            <v>68935</v>
          </cell>
          <cell r="W29">
            <v>74713</v>
          </cell>
          <cell r="X29">
            <v>76846</v>
          </cell>
          <cell r="Y29">
            <v>76972</v>
          </cell>
          <cell r="Z29">
            <v>297466</v>
          </cell>
          <cell r="AA29">
            <v>86504</v>
          </cell>
          <cell r="AB29">
            <v>89393</v>
          </cell>
          <cell r="AC29">
            <v>90580</v>
          </cell>
          <cell r="AD29">
            <v>82647</v>
          </cell>
          <cell r="AE29">
            <v>349124</v>
          </cell>
          <cell r="AF29">
            <v>91722</v>
          </cell>
        </row>
        <row r="30">
          <cell r="B30">
            <v>0.16181337662400411</v>
          </cell>
          <cell r="C30">
            <v>0.16851012793176973</v>
          </cell>
          <cell r="D30">
            <v>0.17294612415846039</v>
          </cell>
          <cell r="E30">
            <v>0.1624926033298851</v>
          </cell>
          <cell r="F30">
            <v>0.1665009647700405</v>
          </cell>
          <cell r="G30">
            <v>0.16158331698480213</v>
          </cell>
          <cell r="H30">
            <v>0.16156692360446637</v>
          </cell>
          <cell r="I30">
            <v>0.17257907968431771</v>
          </cell>
          <cell r="J30">
            <v>0.16247780995982436</v>
          </cell>
          <cell r="K30">
            <v>0.16459944358478271</v>
          </cell>
          <cell r="L30">
            <v>0.18177568193829016</v>
          </cell>
          <cell r="M30">
            <v>0.13483433944793299</v>
          </cell>
          <cell r="N30">
            <v>0.22893310873046827</v>
          </cell>
          <cell r="O30">
            <v>0.23630966487650279</v>
          </cell>
          <cell r="P30">
            <v>0.19690349048552117</v>
          </cell>
          <cell r="Q30">
            <v>0.23521221046994242</v>
          </cell>
          <cell r="R30">
            <v>0.2116234767181456</v>
          </cell>
          <cell r="S30">
            <v>0.22608111599070008</v>
          </cell>
          <cell r="T30">
            <v>0.20173678207987439</v>
          </cell>
          <cell r="U30">
            <v>0.21825494768300258</v>
          </cell>
          <cell r="V30">
            <v>0.20939649097227284</v>
          </cell>
          <cell r="W30">
            <v>0.21544659180695652</v>
          </cell>
          <cell r="X30">
            <v>0.21266303400295003</v>
          </cell>
          <cell r="Y30">
            <v>0.20542136038409087</v>
          </cell>
          <cell r="Z30">
            <v>0.21066340708929751</v>
          </cell>
          <cell r="AA30">
            <v>0.21591291998113032</v>
          </cell>
          <cell r="AB30">
            <v>0.2207256367964128</v>
          </cell>
          <cell r="AC30">
            <v>0.22040484608403027</v>
          </cell>
          <cell r="AD30">
            <v>0.19960247115138458</v>
          </cell>
          <cell r="AE30">
            <v>0.21409876197975308</v>
          </cell>
          <cell r="AF30">
            <v>0.21012721445475102</v>
          </cell>
        </row>
        <row r="31">
          <cell r="B31">
            <v>1.6387970016084497E-2</v>
          </cell>
          <cell r="C31">
            <v>5.7179540772147819E-2</v>
          </cell>
          <cell r="D31">
            <v>0.12896119301813247</v>
          </cell>
          <cell r="E31">
            <v>-4.5081557089962976E-2</v>
          </cell>
          <cell r="F31" t="str">
            <v>NA</v>
          </cell>
          <cell r="G31">
            <v>1.4173434634529691E-2</v>
          </cell>
          <cell r="H31">
            <v>1.6326108857947386E-2</v>
          </cell>
          <cell r="I31">
            <v>0.10273746282693241</v>
          </cell>
          <cell r="J31">
            <v>-3.8008528293188903E-2</v>
          </cell>
          <cell r="K31" t="str">
            <v>NA</v>
          </cell>
          <cell r="L31">
            <v>7.1377228292121897E-2</v>
          </cell>
          <cell r="M31">
            <v>-0.32915129151291511</v>
          </cell>
          <cell r="N31">
            <v>0.83941727506083952</v>
          </cell>
          <cell r="O31">
            <v>6.620512169925874E-2</v>
          </cell>
          <cell r="P31" t="str">
            <v>NA</v>
          </cell>
          <cell r="Q31">
            <v>4.5181030086690388E-2</v>
          </cell>
          <cell r="R31">
            <v>-5.3311215196461093E-2</v>
          </cell>
          <cell r="S31">
            <v>0.12758976120941412</v>
          </cell>
          <cell r="T31">
            <v>-9.1807974160915351E-2</v>
          </cell>
          <cell r="U31" t="str">
            <v>NA</v>
          </cell>
          <cell r="V31">
            <v>0.15641408464880646</v>
          </cell>
          <cell r="W31">
            <v>8.3818089504605897E-2</v>
          </cell>
          <cell r="X31">
            <v>2.8549248457430343E-2</v>
          </cell>
          <cell r="Y31">
            <v>1.6396429222080844E-3</v>
          </cell>
          <cell r="Z31" t="str">
            <v>NA</v>
          </cell>
          <cell r="AA31">
            <v>0.12383723951566794</v>
          </cell>
          <cell r="AB31">
            <v>3.3397299546841674E-2</v>
          </cell>
          <cell r="AC31">
            <v>1.3278444620943519E-2</v>
          </cell>
          <cell r="AD31">
            <v>-8.7580039743872851E-2</v>
          </cell>
          <cell r="AE31" t="str">
            <v>NA</v>
          </cell>
          <cell r="AF31">
            <v>0.10980434861519472</v>
          </cell>
        </row>
        <row r="32">
          <cell r="B32">
            <v>2.9225568531038748E-2</v>
          </cell>
          <cell r="C32">
            <v>7.4276351720371281E-2</v>
          </cell>
          <cell r="D32">
            <v>8.939278316799304E-2</v>
          </cell>
          <cell r="E32">
            <v>0.15838669539619432</v>
          </cell>
          <cell r="F32">
            <v>8.804137900415121E-2</v>
          </cell>
          <cell r="G32">
            <v>0.1558627691021468</v>
          </cell>
          <cell r="H32">
            <v>0.11119584251256853</v>
          </cell>
          <cell r="I32">
            <v>8.5384769338537003E-2</v>
          </cell>
          <cell r="J32">
            <v>9.3424155095624739E-2</v>
          </cell>
          <cell r="K32">
            <v>0.10973959289712254</v>
          </cell>
          <cell r="L32">
            <v>0.15509803415049994</v>
          </cell>
          <cell r="M32">
            <v>-0.23755178811986888</v>
          </cell>
          <cell r="N32">
            <v>0.27179900887403474</v>
          </cell>
          <cell r="O32">
            <v>0.40957446808510634</v>
          </cell>
          <cell r="P32">
            <v>0.1565435881722077</v>
          </cell>
          <cell r="Q32">
            <v>0.37510902381751099</v>
          </cell>
          <cell r="R32">
            <v>0.94052738607194053</v>
          </cell>
          <cell r="S32">
            <v>0.18957174184895886</v>
          </cell>
          <cell r="T32">
            <v>1.3275539690634108E-2</v>
          </cell>
          <cell r="U32">
            <v>0.29794032397373882</v>
          </cell>
          <cell r="V32">
            <v>0.12111306271142341</v>
          </cell>
          <cell r="W32">
            <v>0.28350798831815838</v>
          </cell>
          <cell r="X32">
            <v>0.17077258253728833</v>
          </cell>
          <cell r="Y32">
            <v>0.29123819429299957</v>
          </cell>
          <cell r="Z32">
            <v>0.21441460566818815</v>
          </cell>
          <cell r="AA32">
            <v>0.2548632770000725</v>
          </cell>
          <cell r="AB32">
            <v>0.19648521676281239</v>
          </cell>
          <cell r="AC32">
            <v>0.17872107852067765</v>
          </cell>
          <cell r="AD32">
            <v>7.3728108922725077E-2</v>
          </cell>
          <cell r="AE32">
            <v>0.1736601830125124</v>
          </cell>
          <cell r="AF32">
            <v>6.0320910015721818E-2</v>
          </cell>
        </row>
        <row r="34">
          <cell r="B34">
            <v>23158</v>
          </cell>
          <cell r="C34">
            <v>14462</v>
          </cell>
          <cell r="D34">
            <v>15249</v>
          </cell>
          <cell r="E34">
            <v>3857</v>
          </cell>
          <cell r="F34">
            <v>56726</v>
          </cell>
          <cell r="G34">
            <v>14695</v>
          </cell>
          <cell r="H34">
            <v>12564</v>
          </cell>
          <cell r="I34">
            <v>19044</v>
          </cell>
          <cell r="J34">
            <v>21356</v>
          </cell>
          <cell r="K34">
            <v>67659</v>
          </cell>
          <cell r="L34">
            <v>22411</v>
          </cell>
          <cell r="M34">
            <v>8429</v>
          </cell>
          <cell r="N34">
            <v>26418</v>
          </cell>
          <cell r="O34">
            <v>32218</v>
          </cell>
          <cell r="P34">
            <v>89476</v>
          </cell>
          <cell r="Q34">
            <v>31931</v>
          </cell>
          <cell r="R34">
            <v>28021</v>
          </cell>
          <cell r="S34">
            <v>26507</v>
          </cell>
          <cell r="T34">
            <v>28299</v>
          </cell>
          <cell r="U34">
            <v>114758</v>
          </cell>
          <cell r="V34">
            <v>36178</v>
          </cell>
          <cell r="W34">
            <v>35846</v>
          </cell>
          <cell r="X34">
            <v>39095</v>
          </cell>
          <cell r="Y34">
            <v>31849</v>
          </cell>
          <cell r="Z34">
            <v>142968</v>
          </cell>
          <cell r="AA34">
            <v>51331</v>
          </cell>
          <cell r="AB34">
            <v>49068</v>
          </cell>
          <cell r="AC34">
            <v>43876</v>
          </cell>
          <cell r="AD34">
            <v>40283</v>
          </cell>
          <cell r="AE34">
            <v>184558</v>
          </cell>
          <cell r="AF34">
            <v>48763</v>
          </cell>
        </row>
        <row r="35">
          <cell r="B35">
            <v>5074</v>
          </cell>
          <cell r="C35">
            <v>6893</v>
          </cell>
          <cell r="D35">
            <v>5344</v>
          </cell>
          <cell r="E35">
            <v>6590</v>
          </cell>
          <cell r="F35">
            <v>23901</v>
          </cell>
          <cell r="G35">
            <v>6956</v>
          </cell>
          <cell r="H35">
            <v>7155</v>
          </cell>
          <cell r="I35">
            <v>7427</v>
          </cell>
          <cell r="J35">
            <v>4532</v>
          </cell>
          <cell r="K35">
            <v>26070</v>
          </cell>
          <cell r="L35">
            <v>4778</v>
          </cell>
          <cell r="M35">
            <v>7726</v>
          </cell>
          <cell r="N35">
            <v>8346</v>
          </cell>
          <cell r="O35">
            <v>7385</v>
          </cell>
          <cell r="P35">
            <v>28235</v>
          </cell>
          <cell r="Q35">
            <v>7832</v>
          </cell>
          <cell r="R35">
            <v>10070</v>
          </cell>
          <cell r="S35">
            <v>10894</v>
          </cell>
          <cell r="T35">
            <v>9825</v>
          </cell>
          <cell r="U35">
            <v>38621</v>
          </cell>
          <cell r="V35">
            <v>11224</v>
          </cell>
          <cell r="W35">
            <v>13340</v>
          </cell>
          <cell r="X35">
            <v>12186</v>
          </cell>
          <cell r="Y35">
            <v>12616</v>
          </cell>
          <cell r="Z35">
            <v>49366</v>
          </cell>
          <cell r="AA35">
            <v>14407</v>
          </cell>
          <cell r="AB35">
            <v>11511</v>
          </cell>
          <cell r="AC35">
            <v>17067</v>
          </cell>
          <cell r="AD35">
            <v>15452</v>
          </cell>
          <cell r="AE35">
            <v>58437</v>
          </cell>
          <cell r="AF35">
            <v>17852</v>
          </cell>
        </row>
        <row r="36">
          <cell r="B36">
            <v>3947</v>
          </cell>
          <cell r="C36">
            <v>3761</v>
          </cell>
          <cell r="D36">
            <v>6718</v>
          </cell>
          <cell r="E36">
            <v>5951</v>
          </cell>
          <cell r="F36">
            <v>20377</v>
          </cell>
          <cell r="G36">
            <v>5528</v>
          </cell>
          <cell r="H36">
            <v>5554</v>
          </cell>
          <cell r="I36">
            <v>5502</v>
          </cell>
          <cell r="J36">
            <v>4974</v>
          </cell>
          <cell r="K36">
            <v>21558</v>
          </cell>
          <cell r="L36">
            <v>4154</v>
          </cell>
          <cell r="M36">
            <v>3430</v>
          </cell>
          <cell r="N36">
            <v>3413</v>
          </cell>
          <cell r="O36">
            <v>3415</v>
          </cell>
          <cell r="P36">
            <v>14412</v>
          </cell>
          <cell r="Q36">
            <v>3361</v>
          </cell>
          <cell r="R36">
            <v>3397</v>
          </cell>
          <cell r="S36">
            <v>3022</v>
          </cell>
          <cell r="T36">
            <v>2998</v>
          </cell>
          <cell r="U36">
            <v>12778</v>
          </cell>
          <cell r="V36">
            <v>4486</v>
          </cell>
          <cell r="W36">
            <v>4146</v>
          </cell>
          <cell r="X36">
            <v>4243</v>
          </cell>
          <cell r="Y36">
            <v>4234</v>
          </cell>
          <cell r="Z36">
            <v>17109</v>
          </cell>
          <cell r="AA36">
            <v>4149</v>
          </cell>
          <cell r="AB36">
            <v>4204</v>
          </cell>
          <cell r="AC36">
            <v>3157</v>
          </cell>
          <cell r="AD36">
            <v>3168</v>
          </cell>
          <cell r="AE36">
            <v>14678</v>
          </cell>
          <cell r="AF36">
            <v>3080</v>
          </cell>
        </row>
        <row r="37">
          <cell r="B37">
            <v>2400</v>
          </cell>
          <cell r="C37">
            <v>0</v>
          </cell>
          <cell r="D37">
            <v>0</v>
          </cell>
          <cell r="E37">
            <v>0</v>
          </cell>
          <cell r="F37">
            <v>2400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580</v>
          </cell>
          <cell r="X37">
            <v>481</v>
          </cell>
          <cell r="Y37">
            <v>0</v>
          </cell>
          <cell r="Z37">
            <v>1061</v>
          </cell>
          <cell r="AA37">
            <v>0</v>
          </cell>
          <cell r="AB37">
            <v>0</v>
          </cell>
          <cell r="AC37">
            <v>0</v>
          </cell>
          <cell r="AD37">
            <v>613</v>
          </cell>
          <cell r="AE37">
            <v>613</v>
          </cell>
          <cell r="AF37">
            <v>0</v>
          </cell>
        </row>
        <row r="38">
          <cell r="B38">
            <v>-4836</v>
          </cell>
          <cell r="C38">
            <v>0</v>
          </cell>
          <cell r="D38">
            <v>0</v>
          </cell>
          <cell r="E38">
            <v>-2974</v>
          </cell>
          <cell r="F38">
            <v>-7810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row>
        <row r="39">
          <cell r="B39">
            <v>363</v>
          </cell>
          <cell r="C39">
            <v>841</v>
          </cell>
          <cell r="D39">
            <v>855</v>
          </cell>
          <cell r="E39">
            <v>-1014</v>
          </cell>
          <cell r="F39">
            <v>1045</v>
          </cell>
          <cell r="G39">
            <v>0</v>
          </cell>
          <cell r="H39">
            <v>0</v>
          </cell>
          <cell r="I39">
            <v>-761</v>
          </cell>
          <cell r="J39">
            <v>0</v>
          </cell>
          <cell r="K39">
            <v>-761</v>
          </cell>
          <cell r="L39">
            <v>0</v>
          </cell>
          <cell r="M39">
            <v>0</v>
          </cell>
          <cell r="N39">
            <v>0</v>
          </cell>
          <cell r="O39">
            <v>0</v>
          </cell>
          <cell r="P39">
            <v>0</v>
          </cell>
          <cell r="Q39">
            <v>0</v>
          </cell>
          <cell r="R39">
            <v>0</v>
          </cell>
          <cell r="S39">
            <v>0</v>
          </cell>
          <cell r="T39">
            <v>761</v>
          </cell>
          <cell r="U39">
            <v>761</v>
          </cell>
          <cell r="V39">
            <v>134</v>
          </cell>
          <cell r="W39">
            <v>0</v>
          </cell>
          <cell r="X39">
            <v>0</v>
          </cell>
          <cell r="Y39">
            <v>0</v>
          </cell>
          <cell r="Z39">
            <v>134</v>
          </cell>
          <cell r="AA39">
            <v>0</v>
          </cell>
          <cell r="AB39">
            <v>0</v>
          </cell>
          <cell r="AC39">
            <v>0</v>
          </cell>
          <cell r="AD39">
            <v>0</v>
          </cell>
          <cell r="AE39">
            <v>0</v>
          </cell>
          <cell r="AF39">
            <v>0</v>
          </cell>
        </row>
        <row r="40">
          <cell r="B40">
            <v>0</v>
          </cell>
          <cell r="C40">
            <v>0</v>
          </cell>
          <cell r="D40">
            <v>0</v>
          </cell>
          <cell r="E40">
            <v>600</v>
          </cell>
          <cell r="F40">
            <v>600</v>
          </cell>
          <cell r="G40">
            <v>600</v>
          </cell>
          <cell r="H40">
            <v>618</v>
          </cell>
          <cell r="I40">
            <v>618</v>
          </cell>
          <cell r="J40">
            <v>636</v>
          </cell>
          <cell r="K40">
            <v>2472</v>
          </cell>
          <cell r="L40">
            <v>635</v>
          </cell>
          <cell r="M40">
            <v>654</v>
          </cell>
          <cell r="N40">
            <v>654</v>
          </cell>
          <cell r="O40">
            <v>673</v>
          </cell>
          <cell r="P40">
            <v>2616</v>
          </cell>
          <cell r="Q40">
            <v>673</v>
          </cell>
          <cell r="R40">
            <v>691</v>
          </cell>
          <cell r="S40">
            <v>431</v>
          </cell>
          <cell r="T40">
            <v>0</v>
          </cell>
          <cell r="U40">
            <v>1795</v>
          </cell>
          <cell r="V40">
            <v>0</v>
          </cell>
          <cell r="W40">
            <v>0</v>
          </cell>
          <cell r="X40">
            <v>0</v>
          </cell>
          <cell r="Y40">
            <v>0</v>
          </cell>
          <cell r="Z40">
            <v>0</v>
          </cell>
          <cell r="AA40">
            <v>0</v>
          </cell>
          <cell r="AB40">
            <v>0</v>
          </cell>
          <cell r="AC40">
            <v>0</v>
          </cell>
          <cell r="AD40">
            <v>0</v>
          </cell>
          <cell r="AE40">
            <v>0</v>
          </cell>
          <cell r="AF40">
            <v>0</v>
          </cell>
        </row>
        <row r="41">
          <cell r="B41">
            <v>0</v>
          </cell>
          <cell r="C41">
            <v>0</v>
          </cell>
          <cell r="D41">
            <v>0</v>
          </cell>
          <cell r="E41">
            <v>20056</v>
          </cell>
          <cell r="F41">
            <v>20056</v>
          </cell>
          <cell r="G41">
            <v>1227</v>
          </cell>
          <cell r="H41">
            <v>5580</v>
          </cell>
          <cell r="I41">
            <v>489</v>
          </cell>
          <cell r="J41">
            <v>1375</v>
          </cell>
          <cell r="K41">
            <v>8671</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row>
        <row r="42">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1700</v>
          </cell>
          <cell r="AD42">
            <v>-264</v>
          </cell>
          <cell r="AE42">
            <v>1436</v>
          </cell>
          <cell r="AF42">
            <v>0</v>
          </cell>
        </row>
        <row r="43">
          <cell r="B43">
            <v>0</v>
          </cell>
          <cell r="C43">
            <v>0</v>
          </cell>
          <cell r="D43">
            <v>0</v>
          </cell>
          <cell r="E43">
            <v>0</v>
          </cell>
          <cell r="F43">
            <v>0</v>
          </cell>
          <cell r="G43">
            <v>0</v>
          </cell>
          <cell r="H43">
            <v>0</v>
          </cell>
          <cell r="I43">
            <v>0</v>
          </cell>
          <cell r="J43">
            <v>0</v>
          </cell>
          <cell r="K43">
            <v>0</v>
          </cell>
          <cell r="L43">
            <v>0</v>
          </cell>
          <cell r="M43">
            <v>-556</v>
          </cell>
          <cell r="N43">
            <v>0</v>
          </cell>
          <cell r="O43">
            <v>0</v>
          </cell>
          <cell r="P43">
            <v>-556</v>
          </cell>
          <cell r="Q43">
            <v>0</v>
          </cell>
          <cell r="R43">
            <v>0</v>
          </cell>
          <cell r="S43">
            <v>0</v>
          </cell>
          <cell r="T43">
            <v>551</v>
          </cell>
          <cell r="U43">
            <v>551</v>
          </cell>
          <cell r="V43">
            <v>0</v>
          </cell>
          <cell r="W43">
            <v>0</v>
          </cell>
          <cell r="X43">
            <v>0</v>
          </cell>
          <cell r="Y43">
            <v>-560</v>
          </cell>
          <cell r="Z43">
            <v>-560</v>
          </cell>
          <cell r="AA43">
            <v>-89</v>
          </cell>
          <cell r="AB43">
            <v>578</v>
          </cell>
          <cell r="AC43">
            <v>0</v>
          </cell>
          <cell r="AD43">
            <v>0</v>
          </cell>
          <cell r="AE43">
            <v>489</v>
          </cell>
          <cell r="AF43">
            <v>0</v>
          </cell>
        </row>
        <row r="44">
          <cell r="B44">
            <v>-5913.4848000000002</v>
          </cell>
          <cell r="C44">
            <v>-1891</v>
          </cell>
          <cell r="D44">
            <v>-1460</v>
          </cell>
          <cell r="E44">
            <v>-2836.5151999999998</v>
          </cell>
          <cell r="F44">
            <v>-12101</v>
          </cell>
          <cell r="G44">
            <v>-2481</v>
          </cell>
          <cell r="H44">
            <v>-1571</v>
          </cell>
          <cell r="I44">
            <v>-1790</v>
          </cell>
          <cell r="J44">
            <v>-2144</v>
          </cell>
          <cell r="K44">
            <v>-7986</v>
          </cell>
          <cell r="L44">
            <v>-2733</v>
          </cell>
          <cell r="M44">
            <v>-1662</v>
          </cell>
          <cell r="N44">
            <v>-1836</v>
          </cell>
          <cell r="O44">
            <v>-2099</v>
          </cell>
          <cell r="P44">
            <v>-8330</v>
          </cell>
          <cell r="Q44">
            <v>-2358</v>
          </cell>
          <cell r="R44">
            <v>-2074</v>
          </cell>
          <cell r="S44">
            <v>-2697</v>
          </cell>
          <cell r="T44">
            <v>-2406</v>
          </cell>
          <cell r="U44">
            <v>-9535</v>
          </cell>
          <cell r="V44">
            <v>-2806</v>
          </cell>
          <cell r="W44">
            <v>-3216</v>
          </cell>
          <cell r="X44">
            <v>-2833</v>
          </cell>
          <cell r="Y44">
            <v>-930</v>
          </cell>
          <cell r="Z44">
            <v>-9785</v>
          </cell>
          <cell r="AA44">
            <v>-9830</v>
          </cell>
          <cell r="AB44">
            <v>-2789</v>
          </cell>
          <cell r="AC44">
            <v>-4340</v>
          </cell>
          <cell r="AD44">
            <v>-374</v>
          </cell>
          <cell r="AE44">
            <v>-17333</v>
          </cell>
          <cell r="AF44">
            <v>-5358</v>
          </cell>
        </row>
        <row r="45">
          <cell r="B45">
            <v>-725.53359999999998</v>
          </cell>
          <cell r="C45">
            <v>-679</v>
          </cell>
          <cell r="D45">
            <v>-1435</v>
          </cell>
          <cell r="E45">
            <v>-1511.4664000000002</v>
          </cell>
          <cell r="F45">
            <v>-4351</v>
          </cell>
          <cell r="G45">
            <v>-1193</v>
          </cell>
          <cell r="H45">
            <v>-1198</v>
          </cell>
          <cell r="I45">
            <v>-1188</v>
          </cell>
          <cell r="J45">
            <v>-1042</v>
          </cell>
          <cell r="K45">
            <v>-4621</v>
          </cell>
          <cell r="L45">
            <v>-897.048</v>
          </cell>
          <cell r="M45">
            <v>-880.15879999999993</v>
          </cell>
          <cell r="N45">
            <v>-798.30714506593904</v>
          </cell>
          <cell r="O45">
            <v>-798</v>
          </cell>
          <cell r="P45">
            <v>-3374</v>
          </cell>
          <cell r="Q45">
            <v>-757.9736190000001</v>
          </cell>
          <cell r="R45">
            <v>-765.89167199999997</v>
          </cell>
          <cell r="S45">
            <v>-699</v>
          </cell>
          <cell r="T45">
            <v>-770</v>
          </cell>
          <cell r="U45">
            <v>-2993</v>
          </cell>
          <cell r="V45">
            <v>-1052</v>
          </cell>
          <cell r="W45">
            <v>-971</v>
          </cell>
          <cell r="X45">
            <v>-994</v>
          </cell>
          <cell r="Y45">
            <v>-1134</v>
          </cell>
          <cell r="Z45">
            <v>-4151</v>
          </cell>
          <cell r="AA45">
            <v>-1023</v>
          </cell>
          <cell r="AB45">
            <v>-1036</v>
          </cell>
          <cell r="AC45">
            <v>-771</v>
          </cell>
          <cell r="AD45">
            <v>-792</v>
          </cell>
          <cell r="AE45">
            <v>-3622</v>
          </cell>
          <cell r="AF45">
            <v>-766</v>
          </cell>
        </row>
        <row r="46">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1000</v>
          </cell>
          <cell r="X46">
            <v>0</v>
          </cell>
          <cell r="Y46">
            <v>7500</v>
          </cell>
          <cell r="Z46">
            <v>8500</v>
          </cell>
          <cell r="AA46">
            <v>0</v>
          </cell>
          <cell r="AB46">
            <v>0</v>
          </cell>
          <cell r="AC46">
            <v>2500</v>
          </cell>
          <cell r="AD46">
            <v>-600</v>
          </cell>
          <cell r="AE46">
            <v>1900</v>
          </cell>
          <cell r="AF46">
            <v>-589</v>
          </cell>
        </row>
        <row r="47">
          <cell r="B47">
            <v>-612</v>
          </cell>
          <cell r="C47">
            <v>0</v>
          </cell>
          <cell r="D47">
            <v>0</v>
          </cell>
          <cell r="E47">
            <v>0</v>
          </cell>
          <cell r="F47">
            <v>-612</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-92</v>
          </cell>
          <cell r="X47">
            <v>-78</v>
          </cell>
          <cell r="Y47">
            <v>0</v>
          </cell>
          <cell r="Z47">
            <v>-170</v>
          </cell>
          <cell r="AA47">
            <v>0</v>
          </cell>
          <cell r="AB47">
            <v>0</v>
          </cell>
          <cell r="AC47">
            <v>0</v>
          </cell>
          <cell r="AD47">
            <v>-156</v>
          </cell>
          <cell r="AE47">
            <v>-156</v>
          </cell>
          <cell r="AF47">
            <v>0</v>
          </cell>
        </row>
        <row r="48">
          <cell r="B48">
            <v>-38</v>
          </cell>
          <cell r="C48">
            <v>-12</v>
          </cell>
          <cell r="D48">
            <v>-218</v>
          </cell>
          <cell r="E48">
            <v>253</v>
          </cell>
          <cell r="F48">
            <v>-15</v>
          </cell>
          <cell r="G48">
            <v>0</v>
          </cell>
          <cell r="H48">
            <v>0</v>
          </cell>
          <cell r="I48">
            <v>186</v>
          </cell>
          <cell r="J48">
            <v>0</v>
          </cell>
          <cell r="K48">
            <v>186</v>
          </cell>
          <cell r="L48">
            <v>0</v>
          </cell>
          <cell r="M48">
            <v>137</v>
          </cell>
          <cell r="N48">
            <v>0</v>
          </cell>
          <cell r="O48">
            <v>0</v>
          </cell>
          <cell r="P48">
            <v>137</v>
          </cell>
          <cell r="Q48">
            <v>0</v>
          </cell>
          <cell r="R48">
            <v>0</v>
          </cell>
          <cell r="S48">
            <v>0</v>
          </cell>
          <cell r="T48">
            <v>-136</v>
          </cell>
          <cell r="U48">
            <v>-136</v>
          </cell>
          <cell r="V48">
            <v>0</v>
          </cell>
          <cell r="W48">
            <v>0</v>
          </cell>
          <cell r="X48">
            <v>0</v>
          </cell>
          <cell r="Y48">
            <v>141</v>
          </cell>
          <cell r="Z48">
            <v>141</v>
          </cell>
          <cell r="AA48">
            <v>22</v>
          </cell>
          <cell r="AB48">
            <v>-145</v>
          </cell>
          <cell r="AC48">
            <v>0</v>
          </cell>
          <cell r="AD48">
            <v>-1</v>
          </cell>
          <cell r="AE48">
            <v>-124</v>
          </cell>
          <cell r="AF48">
            <v>0</v>
          </cell>
        </row>
        <row r="49">
          <cell r="B49">
            <v>0</v>
          </cell>
          <cell r="C49">
            <v>0</v>
          </cell>
          <cell r="D49">
            <v>0</v>
          </cell>
          <cell r="E49">
            <v>-150</v>
          </cell>
          <cell r="F49">
            <v>-150</v>
          </cell>
          <cell r="G49">
            <v>-147</v>
          </cell>
          <cell r="H49">
            <v>-150</v>
          </cell>
          <cell r="I49">
            <v>-150</v>
          </cell>
          <cell r="J49">
            <v>-159</v>
          </cell>
          <cell r="K49">
            <v>-606</v>
          </cell>
          <cell r="L49">
            <v>-156</v>
          </cell>
          <cell r="M49">
            <v>-162</v>
          </cell>
          <cell r="N49">
            <v>-162</v>
          </cell>
          <cell r="O49">
            <v>-168</v>
          </cell>
          <cell r="P49">
            <v>-648</v>
          </cell>
          <cell r="Q49">
            <v>-162</v>
          </cell>
          <cell r="R49">
            <v>-165</v>
          </cell>
          <cell r="S49">
            <v>-103</v>
          </cell>
          <cell r="T49">
            <v>-12</v>
          </cell>
          <cell r="U49">
            <v>-442</v>
          </cell>
          <cell r="V49">
            <v>0</v>
          </cell>
          <cell r="W49">
            <v>0</v>
          </cell>
          <cell r="X49">
            <v>0</v>
          </cell>
          <cell r="Y49">
            <v>0</v>
          </cell>
          <cell r="Z49">
            <v>0</v>
          </cell>
          <cell r="AA49">
            <v>0</v>
          </cell>
          <cell r="AB49">
            <v>0</v>
          </cell>
          <cell r="AC49">
            <v>0</v>
          </cell>
          <cell r="AD49">
            <v>0</v>
          </cell>
          <cell r="AE49">
            <v>0</v>
          </cell>
          <cell r="AF49">
            <v>0</v>
          </cell>
        </row>
        <row r="50">
          <cell r="B50">
            <v>0</v>
          </cell>
          <cell r="C50">
            <v>0</v>
          </cell>
          <cell r="D50">
            <v>0</v>
          </cell>
          <cell r="E50">
            <v>0</v>
          </cell>
          <cell r="F50">
            <v>0</v>
          </cell>
          <cell r="G50">
            <v>0</v>
          </cell>
          <cell r="H50">
            <v>-1471</v>
          </cell>
          <cell r="I50">
            <v>0</v>
          </cell>
          <cell r="J50">
            <v>-1663</v>
          </cell>
          <cell r="K50">
            <v>-3134</v>
          </cell>
          <cell r="L50">
            <v>0</v>
          </cell>
          <cell r="M50">
            <v>1320.2116463969007</v>
          </cell>
          <cell r="N50">
            <v>0</v>
          </cell>
          <cell r="O50">
            <v>-1340.2116463969007</v>
          </cell>
          <cell r="P50">
            <v>-20</v>
          </cell>
          <cell r="Q50">
            <v>0</v>
          </cell>
          <cell r="R50">
            <v>0</v>
          </cell>
          <cell r="S50">
            <v>-2400</v>
          </cell>
          <cell r="T50">
            <v>2157</v>
          </cell>
          <cell r="U50">
            <v>-243</v>
          </cell>
          <cell r="V50">
            <v>0</v>
          </cell>
          <cell r="W50">
            <v>0</v>
          </cell>
          <cell r="X50">
            <v>0</v>
          </cell>
          <cell r="Y50">
            <v>-1079</v>
          </cell>
          <cell r="Z50">
            <v>-1079</v>
          </cell>
          <cell r="AA50">
            <v>0</v>
          </cell>
          <cell r="AB50">
            <v>0</v>
          </cell>
          <cell r="AC50">
            <v>0</v>
          </cell>
          <cell r="AD50">
            <v>223</v>
          </cell>
          <cell r="AE50">
            <v>223</v>
          </cell>
          <cell r="AF50">
            <v>0</v>
          </cell>
        </row>
        <row r="51">
          <cell r="B51">
            <v>0</v>
          </cell>
          <cell r="C51">
            <v>0</v>
          </cell>
          <cell r="D51">
            <v>0</v>
          </cell>
          <cell r="E51">
            <v>-3072</v>
          </cell>
          <cell r="F51">
            <v>-3072</v>
          </cell>
          <cell r="G51">
            <v>-300.61500000000001</v>
          </cell>
          <cell r="H51">
            <v>-1367</v>
          </cell>
          <cell r="I51">
            <v>-120</v>
          </cell>
          <cell r="J51">
            <v>-352.38499999999999</v>
          </cell>
          <cell r="K51">
            <v>-2140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row>
        <row r="52">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-429</v>
          </cell>
          <cell r="AD52">
            <v>65</v>
          </cell>
          <cell r="AE52">
            <v>-364</v>
          </cell>
          <cell r="AF52">
            <v>0</v>
          </cell>
        </row>
        <row r="53">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152</v>
          </cell>
          <cell r="AE53">
            <v>152</v>
          </cell>
          <cell r="AF53">
            <v>151</v>
          </cell>
        </row>
        <row r="54">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12845</v>
          </cell>
          <cell r="T54">
            <v>0</v>
          </cell>
          <cell r="U54">
            <v>12845</v>
          </cell>
          <cell r="V54">
            <v>0</v>
          </cell>
          <cell r="W54">
            <v>0</v>
          </cell>
          <cell r="X54">
            <v>0</v>
          </cell>
          <cell r="Y54">
            <v>0</v>
          </cell>
          <cell r="Z54">
            <v>0</v>
          </cell>
          <cell r="AA54">
            <v>0</v>
          </cell>
          <cell r="AB54">
            <v>0</v>
          </cell>
          <cell r="AC54">
            <v>0</v>
          </cell>
          <cell r="AD54">
            <v>0</v>
          </cell>
          <cell r="AE54">
            <v>0</v>
          </cell>
          <cell r="AF54">
            <v>0</v>
          </cell>
        </row>
        <row r="55">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-3094</v>
          </cell>
          <cell r="T55">
            <v>-97</v>
          </cell>
          <cell r="U55">
            <v>-3191</v>
          </cell>
          <cell r="V55">
            <v>0</v>
          </cell>
          <cell r="W55">
            <v>0</v>
          </cell>
          <cell r="X55">
            <v>0</v>
          </cell>
          <cell r="Y55">
            <v>0</v>
          </cell>
          <cell r="Z55">
            <v>0</v>
          </cell>
          <cell r="AA55">
            <v>0</v>
          </cell>
          <cell r="AB55">
            <v>0</v>
          </cell>
          <cell r="AC55">
            <v>0</v>
          </cell>
          <cell r="AD55">
            <v>0</v>
          </cell>
          <cell r="AE55">
            <v>0</v>
          </cell>
          <cell r="AF55">
            <v>0</v>
          </cell>
        </row>
        <row r="56">
          <cell r="B56">
            <v>22816.981600000003</v>
          </cell>
          <cell r="C56">
            <v>23375</v>
          </cell>
          <cell r="D56">
            <v>25053</v>
          </cell>
          <cell r="E56">
            <v>25749.018399999997</v>
          </cell>
          <cell r="F56">
            <v>96994</v>
          </cell>
          <cell r="G56">
            <v>24884.384999999998</v>
          </cell>
          <cell r="H56">
            <v>25714</v>
          </cell>
          <cell r="I56">
            <v>29257</v>
          </cell>
          <cell r="J56">
            <v>27512.615000000002</v>
          </cell>
          <cell r="K56">
            <v>107368</v>
          </cell>
          <cell r="L56">
            <v>28191.952000000001</v>
          </cell>
          <cell r="M56">
            <v>18436.052846396899</v>
          </cell>
          <cell r="N56">
            <v>36034.692854934059</v>
          </cell>
          <cell r="O56">
            <v>39285.7883536031</v>
          </cell>
          <cell r="P56">
            <v>121948</v>
          </cell>
          <cell r="Q56">
            <v>40519.026381000003</v>
          </cell>
          <cell r="R56">
            <v>39174.108328000002</v>
          </cell>
          <cell r="S56">
            <v>44706</v>
          </cell>
          <cell r="T56">
            <v>41170</v>
          </cell>
          <cell r="U56">
            <v>165569</v>
          </cell>
          <cell r="V56">
            <v>48164</v>
          </cell>
          <cell r="W56">
            <v>50633</v>
          </cell>
          <cell r="X56">
            <v>52100</v>
          </cell>
          <cell r="Y56">
            <v>52637</v>
          </cell>
          <cell r="Z56">
            <v>203534</v>
          </cell>
          <cell r="AA56">
            <v>58967</v>
          </cell>
          <cell r="AB56">
            <v>61391</v>
          </cell>
          <cell r="AC56">
            <v>62760</v>
          </cell>
          <cell r="AD56">
            <v>57769</v>
          </cell>
          <cell r="AE56">
            <v>240887</v>
          </cell>
          <cell r="AF56">
            <v>63133</v>
          </cell>
        </row>
        <row r="57">
          <cell r="B57">
            <v>0.11024134355688908</v>
          </cell>
          <cell r="C57">
            <v>0.11125019037465733</v>
          </cell>
          <cell r="D57">
            <v>0.10839635866461293</v>
          </cell>
          <cell r="E57">
            <v>0.10961553662575615</v>
          </cell>
          <cell r="F57">
            <v>0.10983204848309161</v>
          </cell>
          <cell r="G57">
            <v>0.10386973907744194</v>
          </cell>
          <cell r="H57">
            <v>0.10559773971393255</v>
          </cell>
          <cell r="I57">
            <v>0.11637999618126273</v>
          </cell>
          <cell r="J57">
            <v>0.10710632143635741</v>
          </cell>
          <cell r="K57">
            <v>0.10830527383980972</v>
          </cell>
          <cell r="L57">
            <v>0.11460608967844221</v>
          </cell>
          <cell r="M57">
            <v>8.286872045774947E-2</v>
          </cell>
          <cell r="N57">
            <v>0.14951038036550821</v>
          </cell>
          <cell r="O57">
            <v>0.15780403672019658</v>
          </cell>
          <cell r="P57">
            <v>0.12723672156872565</v>
          </cell>
          <cell r="Q57">
            <v>0.15499885768222943</v>
          </cell>
          <cell r="R57">
            <v>0.14241815842131286</v>
          </cell>
          <cell r="S57">
            <v>0.15398605011624902</v>
          </cell>
          <cell r="T57">
            <v>0.1393283675534453</v>
          </cell>
          <cell r="U57">
            <v>0.14752742822061618</v>
          </cell>
          <cell r="V57">
            <v>0.14630264149109379</v>
          </cell>
          <cell r="W57">
            <v>0.14600815497920885</v>
          </cell>
          <cell r="X57">
            <v>0.14418114243491784</v>
          </cell>
          <cell r="Y57">
            <v>0.14047659079324157</v>
          </cell>
          <cell r="Z57">
            <v>0.14414140069289624</v>
          </cell>
          <cell r="AA57">
            <v>0.14718090669249181</v>
          </cell>
          <cell r="AB57">
            <v>0.15158421317741411</v>
          </cell>
          <cell r="AC57">
            <v>0.15271150519136387</v>
          </cell>
          <cell r="AD57">
            <v>0.13951910118872235</v>
          </cell>
          <cell r="AE57">
            <v>0.14772289638356795</v>
          </cell>
          <cell r="AF57">
            <v>0.14463227393833317</v>
          </cell>
        </row>
        <row r="59">
          <cell r="B59">
            <v>0.12926369770274482</v>
          </cell>
          <cell r="C59">
            <v>0.13303169996016162</v>
          </cell>
          <cell r="D59">
            <v>0.14231424676209953</v>
          </cell>
          <cell r="E59">
            <v>0.147468419937345</v>
          </cell>
          <cell r="F59">
            <v>0.55376095458308361</v>
          </cell>
          <cell r="G59">
            <v>0.14287657822664454</v>
          </cell>
          <cell r="H59">
            <v>0.14819638874320656</v>
          </cell>
          <cell r="I59">
            <v>0.16863115788745628</v>
          </cell>
          <cell r="J59">
            <v>0.15858877475732633</v>
          </cell>
          <cell r="K59">
            <v>0.61825489597669048</v>
          </cell>
          <cell r="L59">
            <v>0.16239323053173044</v>
          </cell>
          <cell r="M59">
            <v>0.10657417188704939</v>
          </cell>
          <cell r="N59">
            <v>0.20867901815458686</v>
          </cell>
          <cell r="O59">
            <v>0.2286051111644056</v>
          </cell>
          <cell r="P59">
            <v>0.70581562254016761</v>
          </cell>
          <cell r="Q59">
            <v>0.23613587102545575</v>
          </cell>
          <cell r="R59">
            <v>0.22782399623144073</v>
          </cell>
          <cell r="S59">
            <v>0.26063231290335748</v>
          </cell>
          <cell r="T59">
            <v>0.24240318886487949</v>
          </cell>
          <cell r="U59">
            <v>0.96698438284799848</v>
          </cell>
          <cell r="V59">
            <v>0.28419698596834914</v>
          </cell>
          <cell r="W59">
            <v>0.29933255691592819</v>
          </cell>
          <cell r="X59">
            <v>0.30848663915352686</v>
          </cell>
          <cell r="Y59">
            <v>0.31113567447111606</v>
          </cell>
          <cell r="Z59">
            <v>1.2031400552110612</v>
          </cell>
          <cell r="AA59">
            <v>0.34756597134217865</v>
          </cell>
          <cell r="AB59">
            <v>0.36446373232329227</v>
          </cell>
          <cell r="AC59">
            <v>0.37426649491913555</v>
          </cell>
          <cell r="AD59">
            <v>0.34616882688862122</v>
          </cell>
          <cell r="AE59">
            <v>1.4324783986774579</v>
          </cell>
          <cell r="AF59">
            <v>0.37866092474524221</v>
          </cell>
        </row>
        <row r="60">
          <cell r="B60">
            <v>-2.9850746268656692E-2</v>
          </cell>
          <cell r="C60">
            <v>3.0769230769230882E-2</v>
          </cell>
          <cell r="D60">
            <v>5.9701492537313383E-2</v>
          </cell>
          <cell r="E60">
            <v>4.2253521126760507E-2</v>
          </cell>
          <cell r="F60" t="str">
            <v>NA</v>
          </cell>
          <cell r="G60">
            <v>-4.0540540540540571E-2</v>
          </cell>
          <cell r="H60">
            <v>4.2253521126760507E-2</v>
          </cell>
          <cell r="I60">
            <v>0.13513513513513509</v>
          </cell>
          <cell r="J60">
            <v>-5.9523809523809423E-2</v>
          </cell>
          <cell r="K60" t="str">
            <v>NA</v>
          </cell>
          <cell r="L60">
            <v>2.5316455696202445E-2</v>
          </cell>
          <cell r="M60">
            <v>-0.34567901234567899</v>
          </cell>
          <cell r="N60">
            <v>0.96226415094339623</v>
          </cell>
          <cell r="O60">
            <v>9.6153846153846034E-2</v>
          </cell>
          <cell r="P60" t="str">
            <v>NA</v>
          </cell>
          <cell r="Q60">
            <v>3.5087719298245723E-2</v>
          </cell>
          <cell r="R60">
            <v>-3.3898305084745783E-2</v>
          </cell>
          <cell r="S60">
            <v>0.14035087719298267</v>
          </cell>
          <cell r="T60">
            <v>-6.9230769230769318E-2</v>
          </cell>
          <cell r="U60" t="str">
            <v>NA</v>
          </cell>
          <cell r="V60">
            <v>0.17355371900826433</v>
          </cell>
          <cell r="W60">
            <v>5.6338028169014231E-2</v>
          </cell>
          <cell r="X60">
            <v>2.6666666666666616E-2</v>
          </cell>
          <cell r="Y60">
            <v>1.2987012987013102E-2</v>
          </cell>
          <cell r="Z60" t="str">
            <v>NA</v>
          </cell>
          <cell r="AA60">
            <v>0.11538461538461542</v>
          </cell>
          <cell r="AB60">
            <v>4.5977011494252817E-2</v>
          </cell>
          <cell r="AC60">
            <v>2.6896400729244263E-2</v>
          </cell>
          <cell r="AD60">
            <v>-7.5073960431817799E-2</v>
          </cell>
          <cell r="AE60" t="str">
            <v>NA</v>
          </cell>
          <cell r="AF60">
            <v>9.3861998345319497E-2</v>
          </cell>
        </row>
        <row r="61">
          <cell r="B61">
            <v>8.3333333333333481E-2</v>
          </cell>
          <cell r="C61">
            <v>-4.2857142857142705E-2</v>
          </cell>
          <cell r="D61">
            <v>2.898550724637694E-2</v>
          </cell>
          <cell r="E61">
            <v>0.10447761194029836</v>
          </cell>
          <cell r="F61">
            <v>4.1353383458646586E-2</v>
          </cell>
          <cell r="G61">
            <v>9.2307692307692202E-2</v>
          </cell>
          <cell r="H61">
            <v>0.10447761194029836</v>
          </cell>
          <cell r="I61">
            <v>0.18309859154929575</v>
          </cell>
          <cell r="J61">
            <v>6.7567567567567544E-2</v>
          </cell>
          <cell r="K61">
            <v>0.11552346570397098</v>
          </cell>
          <cell r="L61">
            <v>0.14084507042253525</v>
          </cell>
          <cell r="M61">
            <v>-0.28378378378378377</v>
          </cell>
          <cell r="N61">
            <v>0.23809523809523814</v>
          </cell>
          <cell r="O61">
            <v>0.44303797468354422</v>
          </cell>
          <cell r="P61">
            <v>0.14239482200647258</v>
          </cell>
          <cell r="Q61">
            <v>0.45679012345678993</v>
          </cell>
          <cell r="R61">
            <v>1.1509433962264146</v>
          </cell>
          <cell r="S61">
            <v>0.25</v>
          </cell>
          <cell r="T61">
            <v>6.1403508771929793E-2</v>
          </cell>
          <cell r="U61">
            <v>0.36827195467422102</v>
          </cell>
          <cell r="V61">
            <v>0.20338983050847448</v>
          </cell>
          <cell r="W61">
            <v>0.31578947368421062</v>
          </cell>
          <cell r="X61">
            <v>0.18461538461538463</v>
          </cell>
          <cell r="Y61">
            <v>0.28925619834710758</v>
          </cell>
          <cell r="Z61">
            <v>0.24637681159420288</v>
          </cell>
          <cell r="AA61">
            <v>0.22535211267605648</v>
          </cell>
          <cell r="AB61">
            <v>0.21333333333333337</v>
          </cell>
          <cell r="AC61">
            <v>0.21323405106329907</v>
          </cell>
          <cell r="AD61">
            <v>0.11259767134404064</v>
          </cell>
          <cell r="AE61">
            <v>0.19061649761645172</v>
          </cell>
          <cell r="AF61">
            <v>8.9464895780751119E-2</v>
          </cell>
        </row>
      </sheetData>
      <sheetData sheetId="6">
        <row r="6">
          <cell r="G6">
            <v>29152</v>
          </cell>
          <cell r="H6">
            <v>29122</v>
          </cell>
          <cell r="I6">
            <v>30019</v>
          </cell>
          <cell r="J6">
            <v>31496</v>
          </cell>
          <cell r="K6">
            <v>31728</v>
          </cell>
          <cell r="L6">
            <v>31728</v>
          </cell>
          <cell r="M6">
            <v>32780</v>
          </cell>
          <cell r="N6">
            <v>31622</v>
          </cell>
          <cell r="O6">
            <v>31816</v>
          </cell>
          <cell r="P6">
            <v>31936</v>
          </cell>
          <cell r="Q6">
            <v>31936</v>
          </cell>
          <cell r="R6">
            <v>31631</v>
          </cell>
          <cell r="S6">
            <v>32994</v>
          </cell>
          <cell r="T6">
            <v>34548</v>
          </cell>
          <cell r="U6">
            <v>37431</v>
          </cell>
          <cell r="V6">
            <v>37431</v>
          </cell>
          <cell r="W6">
            <v>39110</v>
          </cell>
          <cell r="X6">
            <v>40617</v>
          </cell>
          <cell r="Y6">
            <v>43111</v>
          </cell>
          <cell r="Z6">
            <v>45420</v>
          </cell>
          <cell r="AA6">
            <v>45420</v>
          </cell>
          <cell r="AB6">
            <v>47796</v>
          </cell>
          <cell r="AC6">
            <v>48831</v>
          </cell>
          <cell r="AD6">
            <v>50450</v>
          </cell>
          <cell r="AE6">
            <v>53951</v>
          </cell>
          <cell r="AF6">
            <v>53951</v>
          </cell>
          <cell r="AG6">
            <v>55062</v>
          </cell>
        </row>
        <row r="9">
          <cell r="G9">
            <v>8.2089428257938343E-2</v>
          </cell>
          <cell r="H9">
            <v>7.9081549855751734E-2</v>
          </cell>
          <cell r="I9">
            <v>8.4175051580166541E-2</v>
          </cell>
          <cell r="J9">
            <v>7.5242799743906075E-2</v>
          </cell>
          <cell r="K9">
            <v>8.1402448811873057E-2</v>
          </cell>
          <cell r="L9">
            <v>7.996062015913441E-2</v>
          </cell>
          <cell r="M9">
            <v>8.0666291683971769E-2</v>
          </cell>
          <cell r="N9">
            <v>8.9891554169399771E-2</v>
          </cell>
          <cell r="O9">
            <v>8.4717007371973033E-2</v>
          </cell>
          <cell r="P9">
            <v>8.7893571549537419E-2</v>
          </cell>
          <cell r="Q9">
            <v>8.2128349430730371E-2</v>
          </cell>
          <cell r="R9">
            <v>8.2573813172722055E-2</v>
          </cell>
          <cell r="S9">
            <v>7.2942283209148681E-2</v>
          </cell>
          <cell r="T9">
            <v>7.7332515560155815E-2</v>
          </cell>
          <cell r="U9">
            <v>8.0701826775208776E-2</v>
          </cell>
          <cell r="V9">
            <v>7.6672052583416167E-2</v>
          </cell>
          <cell r="W9">
            <v>8.0545732206175391E-2</v>
          </cell>
          <cell r="X9">
            <v>7.373476496833492E-2</v>
          </cell>
          <cell r="Y9">
            <v>6.6654494331300676E-2</v>
          </cell>
          <cell r="Z9">
            <v>6.7503964859730203E-2</v>
          </cell>
          <cell r="AA9">
            <v>7.185738820838046E-2</v>
          </cell>
          <cell r="AB9">
            <v>7.0908437780770286E-2</v>
          </cell>
          <cell r="AC9">
            <v>6.9615094398895447E-2</v>
          </cell>
          <cell r="AD9">
            <v>7.8091668497308905E-2</v>
          </cell>
          <cell r="AE9">
            <v>7.8855065686714257E-2</v>
          </cell>
          <cell r="AF9">
            <v>7.4415383272984026E-2</v>
          </cell>
          <cell r="AG9">
            <v>7.785771667738392E-2</v>
          </cell>
        </row>
        <row r="10">
          <cell r="G10">
            <v>0.16387840170410725</v>
          </cell>
          <cell r="H10">
            <v>0.15658657950420171</v>
          </cell>
          <cell r="I10">
            <v>0.15782506406378663</v>
          </cell>
          <cell r="J10">
            <v>0.14878314416660995</v>
          </cell>
          <cell r="K10">
            <v>0.16350984859168816</v>
          </cell>
          <cell r="L10">
            <v>0.15225578197830744</v>
          </cell>
          <cell r="M10">
            <v>0.17756147197119954</v>
          </cell>
          <cell r="N10">
            <v>0.1974545126171123</v>
          </cell>
          <cell r="O10">
            <v>0.19667141217386097</v>
          </cell>
          <cell r="P10">
            <v>0.20412117815548159</v>
          </cell>
          <cell r="Q10">
            <v>0.19182918602069332</v>
          </cell>
          <cell r="R10">
            <v>0.19682799792728145</v>
          </cell>
          <cell r="S10">
            <v>0.18612988897315338</v>
          </cell>
          <cell r="T10">
            <v>0.1837367368366993</v>
          </cell>
          <cell r="U10">
            <v>0.18387836907072522</v>
          </cell>
          <cell r="V10">
            <v>0.18740996099057888</v>
          </cell>
          <cell r="W10">
            <v>0.17278516058807039</v>
          </cell>
          <cell r="X10">
            <v>0.16869183068986821</v>
          </cell>
          <cell r="Y10">
            <v>0.15346954938992724</v>
          </cell>
          <cell r="Z10">
            <v>0.15854227778015331</v>
          </cell>
          <cell r="AA10">
            <v>0.16305737552960911</v>
          </cell>
          <cell r="AB10">
            <v>0.15588143026561296</v>
          </cell>
          <cell r="AC10">
            <v>0.16250070580575421</v>
          </cell>
          <cell r="AD10">
            <v>0.16722046255800513</v>
          </cell>
          <cell r="AE10">
            <v>0.16818497037413888</v>
          </cell>
          <cell r="AF10">
            <v>0.16350724464389876</v>
          </cell>
          <cell r="AG10">
            <v>0.16489090563209613</v>
          </cell>
        </row>
        <row r="11">
          <cell r="G11">
            <v>0.23670661738731769</v>
          </cell>
          <cell r="H11">
            <v>0.22627728301993461</v>
          </cell>
          <cell r="I11">
            <v>0.22404913040086827</v>
          </cell>
          <cell r="J11">
            <v>0.21674863331481722</v>
          </cell>
          <cell r="K11">
            <v>0.22833874714387031</v>
          </cell>
          <cell r="L11">
            <v>0.21954984667495586</v>
          </cell>
          <cell r="M11">
            <v>0.24349506187494788</v>
          </cell>
          <cell r="N11">
            <v>0.26353252217925593</v>
          </cell>
          <cell r="O11">
            <v>0.25893702285417286</v>
          </cell>
          <cell r="P11">
            <v>0.26637160193390208</v>
          </cell>
          <cell r="Q11">
            <v>0.25396202207835289</v>
          </cell>
          <cell r="R11">
            <v>0.26503966246249155</v>
          </cell>
          <cell r="S11">
            <v>0.24937191673295264</v>
          </cell>
          <cell r="T11">
            <v>0.25311726064773865</v>
          </cell>
          <cell r="U11">
            <v>0.24958701817168855</v>
          </cell>
          <cell r="V11">
            <v>0.2520823855353348</v>
          </cell>
          <cell r="W11">
            <v>0.24162594438343749</v>
          </cell>
          <cell r="X11">
            <v>0.23810419909738464</v>
          </cell>
          <cell r="Y11">
            <v>0.22274688856274488</v>
          </cell>
          <cell r="Z11">
            <v>0.22632745544697888</v>
          </cell>
          <cell r="AA11">
            <v>0.22868386638633081</v>
          </cell>
          <cell r="AB11">
            <v>0.22440770703796106</v>
          </cell>
          <cell r="AC11">
            <v>0.22723109463880042</v>
          </cell>
          <cell r="AD11">
            <v>0.23395962509420576</v>
          </cell>
          <cell r="AE11">
            <v>0.23198909883992508</v>
          </cell>
          <cell r="AF11">
            <v>0.22944132292111202</v>
          </cell>
          <cell r="AG11">
            <v>0.22821667844100751</v>
          </cell>
        </row>
        <row r="12">
          <cell r="G12">
            <v>0.372235222510376</v>
          </cell>
          <cell r="H12">
            <v>0.36560196961153252</v>
          </cell>
          <cell r="I12">
            <v>0.36501842011120145</v>
          </cell>
          <cell r="J12">
            <v>0.35706193682575654</v>
          </cell>
          <cell r="K12">
            <v>0.36199840679369394</v>
          </cell>
          <cell r="L12">
            <v>0.36146546649661448</v>
          </cell>
          <cell r="M12">
            <v>0.37293535284921092</v>
          </cell>
          <cell r="N12">
            <v>0.38745042926556528</v>
          </cell>
          <cell r="O12">
            <v>0.38677134006324027</v>
          </cell>
          <cell r="P12">
            <v>0.37850956690687021</v>
          </cell>
          <cell r="Q12">
            <v>0.37386473773063189</v>
          </cell>
          <cell r="R12">
            <v>0.39280543210797381</v>
          </cell>
          <cell r="S12">
            <v>0.37829173543400607</v>
          </cell>
          <cell r="T12">
            <v>0.38651250204940735</v>
          </cell>
          <cell r="U12">
            <v>0.37369405006205575</v>
          </cell>
          <cell r="V12">
            <v>0.38120342608068464</v>
          </cell>
          <cell r="W12">
            <v>0.362362235076923</v>
          </cell>
          <cell r="X12">
            <v>0.36212131172504652</v>
          </cell>
          <cell r="Y12">
            <v>0.34187408577290018</v>
          </cell>
          <cell r="Z12">
            <v>0.3380918081110692</v>
          </cell>
          <cell r="AA12">
            <v>0.34901761710985973</v>
          </cell>
          <cell r="AB12">
            <v>0.34751782125228747</v>
          </cell>
          <cell r="AC12">
            <v>0.33796241673065225</v>
          </cell>
          <cell r="AD12">
            <v>0.34597982789781712</v>
          </cell>
          <cell r="AE12">
            <v>0.34527151387314675</v>
          </cell>
          <cell r="AF12">
            <v>0.34048363890672384</v>
          </cell>
          <cell r="AG12">
            <v>0.33295603994573136</v>
          </cell>
        </row>
        <row r="14">
          <cell r="G14">
            <v>0.3182750662449782</v>
          </cell>
          <cell r="H14">
            <v>0.31946164643712327</v>
          </cell>
          <cell r="I14">
            <v>0.37242299219705011</v>
          </cell>
          <cell r="J14">
            <v>0.34489076991892847</v>
          </cell>
          <cell r="K14">
            <v>0.30887759596046266</v>
          </cell>
          <cell r="L14">
            <v>0.33160055826371893</v>
          </cell>
          <cell r="M14">
            <v>0.31995558781720007</v>
          </cell>
          <cell r="N14">
            <v>0.14480475861212913</v>
          </cell>
          <cell r="O14">
            <v>0.2187065381701101</v>
          </cell>
          <cell r="P14">
            <v>0.22339677692447238</v>
          </cell>
          <cell r="Q14">
            <v>0.23403179596651874</v>
          </cell>
          <cell r="R14">
            <v>0.26809255500268453</v>
          </cell>
          <cell r="S14">
            <v>0.29480874988485051</v>
          </cell>
          <cell r="T14">
            <v>0.29731422620433601</v>
          </cell>
          <cell r="U14">
            <v>0.29391266675770744</v>
          </cell>
          <cell r="V14">
            <v>0.28288000000000002</v>
          </cell>
          <cell r="W14">
            <v>0.34057937472275257</v>
          </cell>
          <cell r="X14">
            <v>0.37968018909629725</v>
          </cell>
          <cell r="Y14">
            <v>0.34208603380353286</v>
          </cell>
          <cell r="Z14">
            <v>0.24190978878072927</v>
          </cell>
          <cell r="AA14">
            <v>0.31554772541370413</v>
          </cell>
          <cell r="AB14">
            <v>0.255</v>
          </cell>
          <cell r="AC14">
            <v>0.27300000000000002</v>
          </cell>
          <cell r="AD14">
            <v>0.26944651220829302</v>
          </cell>
          <cell r="AE14">
            <v>0.22695995453092543</v>
          </cell>
          <cell r="AF14">
            <v>0.25781439922207866</v>
          </cell>
          <cell r="AG14">
            <v>0.26200000000000001</v>
          </cell>
        </row>
        <row r="17">
          <cell r="G17">
            <v>68.47999999999999</v>
          </cell>
          <cell r="H17">
            <v>70.316666666666677</v>
          </cell>
          <cell r="I17">
            <v>69.416666666666671</v>
          </cell>
          <cell r="J17">
            <v>70.353333333333339</v>
          </cell>
          <cell r="K17">
            <v>71.346666666666664</v>
          </cell>
          <cell r="L17">
            <v>70.358333333333348</v>
          </cell>
          <cell r="M17">
            <v>73.081666666666663</v>
          </cell>
          <cell r="N17">
            <v>75.408333333333331</v>
          </cell>
          <cell r="O17">
            <v>74.061666666666667</v>
          </cell>
          <cell r="P17">
            <v>73.73833333333333</v>
          </cell>
          <cell r="Q17">
            <v>74.072500000000005</v>
          </cell>
          <cell r="R17">
            <v>73.173333333333346</v>
          </cell>
          <cell r="S17">
            <v>73.665000000000006</v>
          </cell>
          <cell r="T17">
            <v>73.879166666666663</v>
          </cell>
          <cell r="U17">
            <v>74.788333333333341</v>
          </cell>
          <cell r="V17">
            <v>73.87645833333336</v>
          </cell>
          <cell r="W17">
            <v>75.245833333333323</v>
          </cell>
          <cell r="X17">
            <v>77.677499999999995</v>
          </cell>
          <cell r="Y17">
            <v>80.013333333333335</v>
          </cell>
          <cell r="Z17">
            <v>82.30749999999999</v>
          </cell>
          <cell r="AA17">
            <v>78.811041666666668</v>
          </cell>
          <cell r="AB17">
            <v>82.25</v>
          </cell>
          <cell r="AC17">
            <v>82.195000000000007</v>
          </cell>
          <cell r="AD17">
            <v>82.69</v>
          </cell>
          <cell r="AE17">
            <v>83.28416666666665</v>
          </cell>
          <cell r="AF17">
            <v>82.604791666666657</v>
          </cell>
          <cell r="AG17">
            <v>83.118333333333325</v>
          </cell>
        </row>
        <row r="18">
          <cell r="H18">
            <v>1.1017346460384214E-2</v>
          </cell>
          <cell r="I18">
            <v>1.2799241526428196E-2</v>
          </cell>
          <cell r="J18">
            <v>-1.3493397358943504E-2</v>
          </cell>
          <cell r="K18">
            <v>-1.4119207808206191E-2</v>
          </cell>
          <cell r="L18" t="str">
            <v>NA</v>
          </cell>
          <cell r="M18">
            <v>-2.4317884507568666E-2</v>
          </cell>
          <cell r="N18">
            <v>-3.1836529909462064E-2</v>
          </cell>
          <cell r="O18">
            <v>1.7858326886948772E-2</v>
          </cell>
          <cell r="P18">
            <v>4.365731259986072E-3</v>
          </cell>
          <cell r="Q18" t="str">
            <v>NA</v>
          </cell>
          <cell r="R18">
            <v>7.662229053183367E-3</v>
          </cell>
          <cell r="S18">
            <v>-6.7192055393585637E-3</v>
          </cell>
          <cell r="T18">
            <v>-2.9073055951491789E-3</v>
          </cell>
          <cell r="U18">
            <v>-1.2306130505893798E-2</v>
          </cell>
          <cell r="V18" t="str">
            <v>NA</v>
          </cell>
          <cell r="W18">
            <v>-6.1172642791877951E-3</v>
          </cell>
          <cell r="X18">
            <v>-3.2316296583421167E-2</v>
          </cell>
          <cell r="Y18">
            <v>-3.0070912855503007E-2</v>
          </cell>
          <cell r="Z18">
            <v>-2.8672304615897204E-2</v>
          </cell>
          <cell r="AA18" t="str">
            <v>NA</v>
          </cell>
          <cell r="AB18">
            <v>6.9859976308339622E-4</v>
          </cell>
          <cell r="AC18">
            <v>6.6869300911842622E-4</v>
          </cell>
          <cell r="AD18">
            <v>-6.0222641279881195E-3</v>
          </cell>
          <cell r="AE18">
            <v>-7.1854718426249686E-3</v>
          </cell>
          <cell r="AF18" t="str">
            <v>NA</v>
          </cell>
          <cell r="AG18">
            <v>1.9911747931278256E-3</v>
          </cell>
        </row>
        <row r="19">
          <cell r="G19">
            <v>-5.466072872415495E-2</v>
          </cell>
          <cell r="H19">
            <v>-8.7819719471947444E-2</v>
          </cell>
          <cell r="I19">
            <v>-2.8242729472176986E-2</v>
          </cell>
          <cell r="J19">
            <v>4.4809207112871396E-3</v>
          </cell>
          <cell r="K19">
            <v>-3.469292076887065E-3</v>
          </cell>
          <cell r="L19">
            <v>-2.7428933021807156E-2</v>
          </cell>
          <cell r="M19">
            <v>-3.9322114245081474E-2</v>
          </cell>
          <cell r="N19">
            <v>-8.631452581032395E-2</v>
          </cell>
          <cell r="O19">
            <v>-5.2710129820903839E-2</v>
          </cell>
          <cell r="P19">
            <v>-3.3521771631470632E-2</v>
          </cell>
          <cell r="Q19">
            <v>-5.278929290536527E-2</v>
          </cell>
          <cell r="R19">
            <v>-1.2543045451438584E-3</v>
          </cell>
          <cell r="S19">
            <v>2.3118576638302413E-2</v>
          </cell>
          <cell r="T19">
            <v>2.4641627472602456E-3</v>
          </cell>
          <cell r="U19">
            <v>-1.4239540718305799E-2</v>
          </cell>
          <cell r="V19">
            <v>2.6466187406479769E-3</v>
          </cell>
          <cell r="W19">
            <v>-2.8323159620990968E-2</v>
          </cell>
          <cell r="X19">
            <v>-5.4469558134799367E-2</v>
          </cell>
          <cell r="Y19">
            <v>-8.302972195589664E-2</v>
          </cell>
          <cell r="Z19">
            <v>-0.10053929980166232</v>
          </cell>
          <cell r="AA19">
            <v>-6.6795071727292044E-2</v>
          </cell>
          <cell r="AB19">
            <v>-9.3083780940251604E-2</v>
          </cell>
          <cell r="AC19">
            <v>-5.8157124006308347E-2</v>
          </cell>
          <cell r="AD19">
            <v>-3.3452757873687622E-2</v>
          </cell>
          <cell r="AE19">
            <v>-1.1866071338172857E-2</v>
          </cell>
          <cell r="AF19">
            <v>-4.8137290407171074E-2</v>
          </cell>
          <cell r="AG19">
            <v>-1.0557244174265401E-2</v>
          </cell>
        </row>
        <row r="21">
          <cell r="G21">
            <v>1.3325000000000002</v>
          </cell>
          <cell r="H21">
            <v>1.3152666666666666</v>
          </cell>
          <cell r="I21">
            <v>1.2756666666666667</v>
          </cell>
          <cell r="J21">
            <v>1.2212333333333334</v>
          </cell>
          <cell r="K21">
            <v>1.3024</v>
          </cell>
          <cell r="L21">
            <v>1.2786416666666667</v>
          </cell>
          <cell r="M21">
            <v>1.2763666666666669</v>
          </cell>
          <cell r="N21">
            <v>1.2370666666666665</v>
          </cell>
          <cell r="O21">
            <v>1.3096333333333332</v>
          </cell>
          <cell r="P21">
            <v>1.3313333333333333</v>
          </cell>
          <cell r="Q21">
            <v>1.2886</v>
          </cell>
          <cell r="R21">
            <v>1.3805333333333332</v>
          </cell>
          <cell r="S21">
            <v>1.3984333333333332</v>
          </cell>
          <cell r="T21">
            <v>1.3710666666666667</v>
          </cell>
          <cell r="U21">
            <v>1.3503999999999998</v>
          </cell>
          <cell r="V21">
            <v>1.3751083333333334</v>
          </cell>
          <cell r="W21">
            <v>1.3318000000000001</v>
          </cell>
          <cell r="X21">
            <v>1.2416666666666665</v>
          </cell>
          <cell r="Y21">
            <v>1.1623999999999999</v>
          </cell>
          <cell r="Z21">
            <v>1.1877000000000002</v>
          </cell>
          <cell r="AA21">
            <v>1.2308916666666667</v>
          </cell>
          <cell r="AB21">
            <v>1.2261</v>
          </cell>
          <cell r="AC21">
            <v>1.2528666666666666</v>
          </cell>
          <cell r="AD21">
            <v>1.2577</v>
          </cell>
          <cell r="AE21">
            <v>1.2513666666666665</v>
          </cell>
          <cell r="AF21">
            <v>1.2470083333333333</v>
          </cell>
          <cell r="AG21">
            <v>1.2652666666666665</v>
          </cell>
        </row>
        <row r="22">
          <cell r="H22">
            <v>-2.7552083333333144E-2</v>
          </cell>
          <cell r="I22">
            <v>3.0107962897257701E-2</v>
          </cell>
          <cell r="J22">
            <v>4.2670499085445512E-2</v>
          </cell>
          <cell r="K22">
            <v>-6.6462865409285588E-2</v>
          </cell>
          <cell r="L22" t="str">
            <v>NA</v>
          </cell>
          <cell r="M22">
            <v>1.9988738738738632E-2</v>
          </cell>
          <cell r="N22">
            <v>3.0790525188686857E-2</v>
          </cell>
          <cell r="O22">
            <v>-5.8660271610260883E-2</v>
          </cell>
          <cell r="P22">
            <v>-1.6569523276235065E-2</v>
          </cell>
          <cell r="Q22" t="str">
            <v>NA</v>
          </cell>
          <cell r="R22">
            <v>-3.6955433149724604E-2</v>
          </cell>
          <cell r="S22">
            <v>-1.2966003476917232E-2</v>
          </cell>
          <cell r="T22">
            <v>1.9569518270445396E-2</v>
          </cell>
          <cell r="U22">
            <v>1.5073422153068283E-2</v>
          </cell>
          <cell r="V22" t="str">
            <v>NA</v>
          </cell>
          <cell r="W22">
            <v>1.3773696682464309E-2</v>
          </cell>
          <cell r="X22">
            <v>6.7677829503929754E-2</v>
          </cell>
          <cell r="Y22">
            <v>6.3838926174496602E-2</v>
          </cell>
          <cell r="Z22">
            <v>-2.1765313145217124E-2</v>
          </cell>
          <cell r="AA22" t="str">
            <v>NA</v>
          </cell>
          <cell r="AB22">
            <v>-3.2331396817377955E-2</v>
          </cell>
          <cell r="AC22">
            <v>-2.1830737025256175E-2</v>
          </cell>
          <cell r="AD22">
            <v>-3.8578194008409561E-3</v>
          </cell>
          <cell r="AE22">
            <v>5.0356470806499631E-3</v>
          </cell>
          <cell r="AF22" t="str">
            <v>NA</v>
          </cell>
          <cell r="AG22">
            <v>-1.1107855411416789E-2</v>
          </cell>
        </row>
        <row r="23">
          <cell r="G23">
            <v>-2.8957528957529011E-2</v>
          </cell>
          <cell r="H23">
            <v>6.0523809523809535E-2</v>
          </cell>
          <cell r="I23">
            <v>4.8009950248756206E-2</v>
          </cell>
          <cell r="J23">
            <v>6.7760814249363865E-2</v>
          </cell>
          <cell r="K23">
            <v>-1.7500000000000071E-2</v>
          </cell>
          <cell r="L23">
            <v>4.0419011882426692E-2</v>
          </cell>
          <cell r="M23">
            <v>2.9575751431902053E-2</v>
          </cell>
          <cell r="N23">
            <v>3.0258688267572609E-2</v>
          </cell>
          <cell r="O23">
            <v>-7.238583945192012E-2</v>
          </cell>
          <cell r="P23">
            <v>-2.2215397215397115E-2</v>
          </cell>
          <cell r="Q23">
            <v>-7.7882127518134059E-3</v>
          </cell>
          <cell r="R23">
            <v>-8.1611867018359208E-2</v>
          </cell>
          <cell r="S23">
            <v>-0.13044298340159521</v>
          </cell>
          <cell r="T23">
            <v>-4.6908803990939107E-2</v>
          </cell>
          <cell r="U23">
            <v>-1.4321482223334847E-2</v>
          </cell>
          <cell r="V23">
            <v>-6.7133581664855946E-2</v>
          </cell>
          <cell r="W23">
            <v>3.5300367007919498E-2</v>
          </cell>
          <cell r="X23">
            <v>0.1121016375467786</v>
          </cell>
          <cell r="Y23">
            <v>0.1521929398035593</v>
          </cell>
          <cell r="Z23">
            <v>0.12048281990521303</v>
          </cell>
          <cell r="AA23">
            <v>0.10487658548114387</v>
          </cell>
          <cell r="AB23">
            <v>7.9366271211893769E-2</v>
          </cell>
          <cell r="AC23">
            <v>-9.020134228187926E-3</v>
          </cell>
          <cell r="AD23">
            <v>-8.1985547143840432E-2</v>
          </cell>
          <cell r="AE23">
            <v>-5.3605006876034533E-2</v>
          </cell>
          <cell r="AF23">
            <v>-1.309348913727848E-2</v>
          </cell>
          <cell r="AG23">
            <v>-3.1944104613544244E-2</v>
          </cell>
        </row>
        <row r="25">
          <cell r="G25">
            <v>52.692499999999995</v>
          </cell>
          <cell r="H25">
            <v>52.106666666666662</v>
          </cell>
          <cell r="I25">
            <v>51.835000000000001</v>
          </cell>
          <cell r="J25">
            <v>51.589999999999996</v>
          </cell>
          <cell r="K25">
            <v>50.728333333333332</v>
          </cell>
          <cell r="L25">
            <v>51.565000000000005</v>
          </cell>
          <cell r="M25">
            <v>50.826666666666661</v>
          </cell>
          <cell r="N25">
            <v>50.279999999999994</v>
          </cell>
          <cell r="O25">
            <v>48.71</v>
          </cell>
          <cell r="P25">
            <v>48.161000000000001</v>
          </cell>
          <cell r="Q25">
            <v>49.494416666666666</v>
          </cell>
          <cell r="R25">
            <v>48.386666666666663</v>
          </cell>
          <cell r="S25">
            <v>48.198333333333331</v>
          </cell>
          <cell r="T25">
            <v>50.243333333333332</v>
          </cell>
          <cell r="U25">
            <v>50.601333333333336</v>
          </cell>
          <cell r="V25">
            <v>49.357416666666673</v>
          </cell>
          <cell r="W25">
            <v>51.32</v>
          </cell>
          <cell r="X25">
            <v>53.178333333333335</v>
          </cell>
          <cell r="Y25">
            <v>56.633333333333333</v>
          </cell>
          <cell r="Z25">
            <v>56.761666666666663</v>
          </cell>
          <cell r="AA25">
            <v>54.473333333333336</v>
          </cell>
          <cell r="AB25">
            <v>54.776666666666664</v>
          </cell>
          <cell r="AC25">
            <v>55.576666666666675</v>
          </cell>
          <cell r="AD25">
            <v>56.016666666666673</v>
          </cell>
          <cell r="AE25">
            <v>55.861666666666672</v>
          </cell>
          <cell r="AF25">
            <v>55.557916666666664</v>
          </cell>
          <cell r="AG25">
            <v>56.241666666666667</v>
          </cell>
        </row>
        <row r="26">
          <cell r="H26">
            <v>1.4251481901879304E-2</v>
          </cell>
          <cell r="I26">
            <v>5.2136642784031961E-3</v>
          </cell>
          <cell r="J26">
            <v>4.7265361242404547E-3</v>
          </cell>
          <cell r="K26">
            <v>1.6702203269367444E-2</v>
          </cell>
          <cell r="L26" t="str">
            <v>NA</v>
          </cell>
          <cell r="M26">
            <v>-1.9384302000853282E-3</v>
          </cell>
          <cell r="N26">
            <v>1.0755508919202517E-2</v>
          </cell>
          <cell r="O26">
            <v>3.122513922036585E-2</v>
          </cell>
          <cell r="P26">
            <v>1.1270786286183498E-2</v>
          </cell>
          <cell r="Q26" t="str">
            <v>NA</v>
          </cell>
          <cell r="R26">
            <v>-4.6856723628383445E-3</v>
          </cell>
          <cell r="S26">
            <v>3.8922568200605578E-3</v>
          </cell>
          <cell r="T26">
            <v>-4.2428853003215972E-2</v>
          </cell>
          <cell r="U26">
            <v>-7.1253234259935905E-3</v>
          </cell>
          <cell r="V26" t="str">
            <v>NA</v>
          </cell>
          <cell r="W26">
            <v>-1.4202524307659781E-2</v>
          </cell>
          <cell r="X26">
            <v>-3.6210704078981637E-2</v>
          </cell>
          <cell r="Y26">
            <v>-6.4970069263797781E-2</v>
          </cell>
          <cell r="Z26">
            <v>-2.2660388463802139E-3</v>
          </cell>
          <cell r="AA26" t="str">
            <v>NA</v>
          </cell>
          <cell r="AB26">
            <v>3.4970784273423927E-2</v>
          </cell>
          <cell r="AC26">
            <v>-1.460475871721556E-2</v>
          </cell>
          <cell r="AD26">
            <v>-7.9169915432135696E-3</v>
          </cell>
          <cell r="AE26">
            <v>2.7670336209462132E-3</v>
          </cell>
          <cell r="AF26" t="str">
            <v>NA</v>
          </cell>
          <cell r="AG26">
            <v>-6.8025181251305522E-3</v>
          </cell>
        </row>
        <row r="27">
          <cell r="G27">
            <v>-4.5864822083393264E-2</v>
          </cell>
          <cell r="H27">
            <v>-4.9501767920281381E-3</v>
          </cell>
          <cell r="I27">
            <v>1.3230534932419546E-2</v>
          </cell>
          <cell r="J27">
            <v>3.6241359985055177E-2</v>
          </cell>
          <cell r="K27">
            <v>4.0326649009963411E-2</v>
          </cell>
          <cell r="L27">
            <v>2.1397732125065017E-2</v>
          </cell>
          <cell r="M27">
            <v>2.4564994882292801E-2</v>
          </cell>
          <cell r="N27">
            <v>2.9999035400791074E-2</v>
          </cell>
          <cell r="O27">
            <v>5.5824772242682563E-2</v>
          </cell>
          <cell r="P27">
            <v>5.0609455596806407E-2</v>
          </cell>
          <cell r="Q27">
            <v>4.0154820776366451E-2</v>
          </cell>
          <cell r="R27">
            <v>4.8006295907660035E-2</v>
          </cell>
          <cell r="S27">
            <v>4.1401485017236728E-2</v>
          </cell>
          <cell r="T27">
            <v>-3.1478820228563631E-2</v>
          </cell>
          <cell r="U27">
            <v>-5.0670321075835911E-2</v>
          </cell>
          <cell r="V27">
            <v>2.7679889819220982E-3</v>
          </cell>
          <cell r="W27">
            <v>-6.0622761091209787E-2</v>
          </cell>
          <cell r="X27">
            <v>-0.10332307479511749</v>
          </cell>
          <cell r="Y27">
            <v>-0.12718105221256559</v>
          </cell>
          <cell r="Z27">
            <v>-0.12174251007878567</v>
          </cell>
          <cell r="AA27">
            <v>-0.10365041390267238</v>
          </cell>
          <cell r="AB27">
            <v>-6.73551571836839E-2</v>
          </cell>
          <cell r="AC27">
            <v>-4.5099821355815584E-2</v>
          </cell>
          <cell r="AD27">
            <v>1.0888758092995721E-2</v>
          </cell>
          <cell r="AE27">
            <v>1.5855771207093805E-2</v>
          </cell>
          <cell r="AF27">
            <v>-1.9910353689878812E-2</v>
          </cell>
          <cell r="AG27">
            <v>-2.6744964400900795E-2</v>
          </cell>
        </row>
      </sheetData>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 Working"/>
      <sheetName val="Adjusted EPS Working without CV"/>
    </sheetNames>
    <sheetDataSet>
      <sheetData sheetId="0">
        <row r="6">
          <cell r="O6">
            <v>51331</v>
          </cell>
        </row>
        <row r="10">
          <cell r="O10">
            <v>0</v>
          </cell>
        </row>
        <row r="11">
          <cell r="O11">
            <v>0</v>
          </cell>
        </row>
        <row r="13">
          <cell r="O13">
            <v>0</v>
          </cell>
        </row>
        <row r="15">
          <cell r="O15">
            <v>-12520</v>
          </cell>
        </row>
        <row r="16">
          <cell r="O16">
            <v>-3638</v>
          </cell>
        </row>
        <row r="17">
          <cell r="O17">
            <v>-1023</v>
          </cell>
        </row>
        <row r="18">
          <cell r="B18">
            <v>6328</v>
          </cell>
        </row>
        <row r="23">
          <cell r="O23">
            <v>-89.130333379262538</v>
          </cell>
        </row>
        <row r="24">
          <cell r="O24">
            <v>22.186423302766855</v>
          </cell>
        </row>
      </sheetData>
      <sheetData sheetId="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 Working"/>
      <sheetName val="Adjusted EPS Working without CV"/>
    </sheetNames>
    <sheetDataSet>
      <sheetData sheetId="0">
        <row r="6">
          <cell r="B6">
            <v>100399</v>
          </cell>
        </row>
        <row r="10">
          <cell r="K10">
            <v>0</v>
          </cell>
        </row>
        <row r="11">
          <cell r="K11">
            <v>0</v>
          </cell>
        </row>
        <row r="13">
          <cell r="K13">
            <v>0</v>
          </cell>
        </row>
        <row r="15">
          <cell r="K15">
            <v>-190</v>
          </cell>
        </row>
        <row r="16">
          <cell r="K16">
            <v>-2907</v>
          </cell>
        </row>
        <row r="17">
          <cell r="K17">
            <v>-1035.7632039999999</v>
          </cell>
        </row>
        <row r="18">
          <cell r="K18">
            <v>140</v>
          </cell>
        </row>
        <row r="19">
          <cell r="K19">
            <v>0</v>
          </cell>
        </row>
        <row r="22">
          <cell r="K22">
            <v>168</v>
          </cell>
        </row>
        <row r="23">
          <cell r="K23">
            <v>577.8517516291738</v>
          </cell>
        </row>
        <row r="24">
          <cell r="K24">
            <v>-145.43372885003046</v>
          </cell>
        </row>
      </sheetData>
      <sheetData sheetId="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Post stock split"/>
      <sheetName val="Adjusted EPS-Pre stock split"/>
      <sheetName val="Adjusted EPS Working without CV"/>
    </sheetNames>
    <sheetDataSet>
      <sheetData sheetId="0">
        <row r="6">
          <cell r="B6">
            <v>184557</v>
          </cell>
        </row>
        <row r="10">
          <cell r="B10">
            <v>0</v>
          </cell>
        </row>
        <row r="11">
          <cell r="B11">
            <v>1900</v>
          </cell>
        </row>
        <row r="12">
          <cell r="B12">
            <v>1436</v>
          </cell>
        </row>
        <row r="13">
          <cell r="B13">
            <v>613</v>
          </cell>
        </row>
        <row r="15">
          <cell r="B15">
            <v>-15055</v>
          </cell>
        </row>
        <row r="16">
          <cell r="B16">
            <v>-14832</v>
          </cell>
        </row>
        <row r="17">
          <cell r="B17">
            <v>-3622</v>
          </cell>
        </row>
        <row r="18">
          <cell r="B18">
            <v>12327</v>
          </cell>
        </row>
        <row r="19">
          <cell r="B19">
            <v>-156</v>
          </cell>
        </row>
        <row r="21">
          <cell r="B21">
            <v>223</v>
          </cell>
        </row>
        <row r="22">
          <cell r="B22">
            <v>227</v>
          </cell>
        </row>
        <row r="23">
          <cell r="B23">
            <v>489</v>
          </cell>
        </row>
        <row r="24">
          <cell r="B24">
            <v>-124</v>
          </cell>
        </row>
        <row r="25">
          <cell r="B25">
            <v>-364</v>
          </cell>
        </row>
        <row r="26">
          <cell r="B26">
            <v>152</v>
          </cell>
        </row>
      </sheetData>
      <sheetData sheetId="1">
        <row r="15">
          <cell r="B15">
            <v>-15055</v>
          </cell>
        </row>
      </sheetData>
      <sheetData sheetId="2"/>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Post stock split"/>
      <sheetName val="Adjusted EPS-Pre stock split"/>
      <sheetName val="Adjusted EPS Working without CV"/>
    </sheetNames>
    <sheetDataSet>
      <sheetData sheetId="0">
        <row r="6">
          <cell r="B6">
            <v>48763</v>
          </cell>
        </row>
        <row r="10">
          <cell r="O10">
            <v>0</v>
          </cell>
        </row>
        <row r="11">
          <cell r="O11">
            <v>-589</v>
          </cell>
        </row>
        <row r="12">
          <cell r="O12">
            <v>0</v>
          </cell>
        </row>
        <row r="13">
          <cell r="O13">
            <v>0</v>
          </cell>
        </row>
        <row r="15">
          <cell r="O15">
            <v>-7523</v>
          </cell>
        </row>
        <row r="16">
          <cell r="O16">
            <v>-4592</v>
          </cell>
        </row>
        <row r="17">
          <cell r="O17">
            <v>-766</v>
          </cell>
        </row>
        <row r="18">
          <cell r="O18">
            <v>6714</v>
          </cell>
        </row>
        <row r="19">
          <cell r="O19">
            <v>0</v>
          </cell>
        </row>
        <row r="20">
          <cell r="O20">
            <v>151</v>
          </cell>
        </row>
        <row r="22">
          <cell r="O22">
            <v>43</v>
          </cell>
        </row>
        <row r="25">
          <cell r="O25">
            <v>0</v>
          </cell>
        </row>
      </sheetData>
      <sheetData sheetId="1"/>
      <sheetData sheetId="2"/>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 Working"/>
    </sheetNames>
    <sheetDataSet>
      <sheetData sheetId="0" refreshError="1">
        <row r="10">
          <cell r="G10">
            <v>-1819.6149999999998</v>
          </cell>
        </row>
        <row r="11">
          <cell r="G11">
            <v>-1188.2159999999999</v>
          </cell>
        </row>
        <row r="12">
          <cell r="G12">
            <v>-21.230820800000014</v>
          </cell>
        </row>
        <row r="13">
          <cell r="G13">
            <v>50.912374335612611</v>
          </cell>
        </row>
        <row r="14">
          <cell r="G14">
            <v>618</v>
          </cell>
        </row>
        <row r="15">
          <cell r="G15">
            <v>-150</v>
          </cell>
        </row>
        <row r="17">
          <cell r="G17">
            <v>-119.55999999999997</v>
          </cell>
        </row>
        <row r="18">
          <cell r="G18">
            <v>0</v>
          </cell>
        </row>
        <row r="19">
          <cell r="G19">
            <v>-761</v>
          </cell>
        </row>
        <row r="20">
          <cell r="G20">
            <v>186.44499999999996</v>
          </cell>
        </row>
      </sheetData>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 Working"/>
    </sheetNames>
    <sheetDataSet>
      <sheetData sheetId="0">
        <row r="10">
          <cell r="B10">
            <v>-6434</v>
          </cell>
        </row>
        <row r="11">
          <cell r="B11">
            <v>-4621</v>
          </cell>
        </row>
        <row r="12">
          <cell r="B12">
            <v>-2305</v>
          </cell>
        </row>
        <row r="13">
          <cell r="B13">
            <v>753</v>
          </cell>
        </row>
        <row r="14">
          <cell r="B14">
            <v>2472</v>
          </cell>
        </row>
        <row r="15">
          <cell r="B15">
            <v>-606</v>
          </cell>
        </row>
        <row r="17">
          <cell r="B17">
            <v>-2140</v>
          </cell>
        </row>
        <row r="18">
          <cell r="B18">
            <v>-3134</v>
          </cell>
        </row>
        <row r="19">
          <cell r="B19">
            <v>-761</v>
          </cell>
        </row>
        <row r="20">
          <cell r="B20">
            <v>186</v>
          </cell>
        </row>
      </sheetData>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 Working"/>
    </sheetNames>
    <sheetDataSet>
      <sheetData sheetId="0">
        <row r="9">
          <cell r="O9">
            <v>-1704.2199999999998</v>
          </cell>
        </row>
        <row r="10">
          <cell r="O10">
            <v>-1192.752</v>
          </cell>
        </row>
        <row r="11">
          <cell r="O11">
            <v>-1015.4732269500013</v>
          </cell>
        </row>
        <row r="12">
          <cell r="O12">
            <v>238.87499999999994</v>
          </cell>
        </row>
        <row r="13">
          <cell r="O13">
            <v>600</v>
          </cell>
        </row>
        <row r="14">
          <cell r="O14">
            <v>-147</v>
          </cell>
        </row>
      </sheetData>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 Working"/>
    </sheetNames>
    <sheetDataSet>
      <sheetData sheetId="0" refreshError="1">
        <row r="9">
          <cell r="K9">
            <v>-1753.2199999999998</v>
          </cell>
        </row>
        <row r="10">
          <cell r="K10">
            <v>-1198.152</v>
          </cell>
        </row>
        <row r="11">
          <cell r="K11">
            <v>-57.107032500000003</v>
          </cell>
        </row>
        <row r="12">
          <cell r="K12">
            <v>238.87499999999994</v>
          </cell>
        </row>
        <row r="13">
          <cell r="K13">
            <v>618</v>
          </cell>
        </row>
        <row r="14">
          <cell r="K14">
            <v>-150</v>
          </cell>
        </row>
        <row r="15">
          <cell r="K15">
            <v>5579.5504049069659</v>
          </cell>
        </row>
        <row r="16">
          <cell r="K16">
            <v>-1366.9898492022066</v>
          </cell>
        </row>
        <row r="17">
          <cell r="L17">
            <v>-1471.231</v>
          </cell>
        </row>
      </sheetData>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 Working"/>
    </sheetNames>
    <sheetDataSet>
      <sheetData sheetId="0">
        <row r="10">
          <cell r="O10">
            <v>-1179.2103999999999</v>
          </cell>
        </row>
        <row r="11">
          <cell r="O11">
            <v>-897.048</v>
          </cell>
        </row>
        <row r="12">
          <cell r="O12">
            <v>-1798.7788953455636</v>
          </cell>
        </row>
        <row r="13">
          <cell r="O13">
            <v>245.08838029999998</v>
          </cell>
        </row>
        <row r="14">
          <cell r="O14">
            <v>635</v>
          </cell>
        </row>
        <row r="15">
          <cell r="O15">
            <v>-156</v>
          </cell>
        </row>
      </sheetData>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 Working"/>
    </sheetNames>
    <sheetDataSet>
      <sheetData sheetId="0">
        <row r="4">
          <cell r="X4">
            <v>0.23436724251615454</v>
          </cell>
        </row>
        <row r="10">
          <cell r="K10">
            <v>-1906.7768000000001</v>
          </cell>
        </row>
        <row r="11">
          <cell r="K11">
            <v>-880.15879999999993</v>
          </cell>
        </row>
        <row r="12">
          <cell r="K12">
            <v>-22.875888560273921</v>
          </cell>
        </row>
        <row r="13">
          <cell r="K13">
            <v>267.93506570000005</v>
          </cell>
        </row>
        <row r="14">
          <cell r="K14">
            <v>654</v>
          </cell>
        </row>
        <row r="15">
          <cell r="K15">
            <v>-162</v>
          </cell>
        </row>
        <row r="16">
          <cell r="K16">
            <v>-556</v>
          </cell>
        </row>
        <row r="17">
          <cell r="K17">
            <v>137</v>
          </cell>
        </row>
        <row r="18">
          <cell r="K18">
            <v>1320.2116463969007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S"/>
      <sheetName val="Diluted EPS-YTD"/>
      <sheetName val="EPS workings"/>
      <sheetName val="Weighted Avg - QTD (4)"/>
      <sheetName val="Weighted Avg - YTD (4)"/>
      <sheetName val="Recon of common stock"/>
      <sheetName val="Dilutive effect Q4'18"/>
      <sheetName val="Dilutive effect Q3'18"/>
      <sheetName val="Dilutive effect Q2'18"/>
      <sheetName val="Dilutive effect Q1'18"/>
      <sheetName val="RSA_EPS"/>
      <sheetName val="RSA_Dec'18"/>
      <sheetName val="Dilution rules"/>
      <sheetName val="Options-Disclosure"/>
      <sheetName val="RS-Disclosure"/>
      <sheetName val="PRSU-Disclosure (2)"/>
      <sheetName val="Weighted Avg Assumptions"/>
      <sheetName val="10K note"/>
      <sheetName val="Available Pool New"/>
    </sheetNames>
    <sheetDataSet>
      <sheetData sheetId="0">
        <row r="5">
          <cell r="C5">
            <v>1.6465549130840529</v>
          </cell>
        </row>
        <row r="15">
          <cell r="B15">
            <v>34388025</v>
          </cell>
          <cell r="C15">
            <v>34451008</v>
          </cell>
        </row>
        <row r="16">
          <cell r="B16">
            <v>34921388</v>
          </cell>
          <cell r="C16">
            <v>35030984</v>
          </cell>
        </row>
      </sheetData>
      <sheetData sheetId="1"/>
      <sheetData sheetId="2">
        <row r="21">
          <cell r="B21">
            <v>121344</v>
          </cell>
        </row>
      </sheetData>
      <sheetData sheetId="3"/>
      <sheetData sheetId="4"/>
      <sheetData sheetId="5">
        <row r="13">
          <cell r="BS13">
            <v>155753</v>
          </cell>
        </row>
      </sheetData>
      <sheetData sheetId="6">
        <row r="592">
          <cell r="AG592">
            <v>115.75128589212909</v>
          </cell>
        </row>
      </sheetData>
      <sheetData sheetId="7"/>
      <sheetData sheetId="8"/>
      <sheetData sheetId="9"/>
      <sheetData sheetId="10"/>
      <sheetData sheetId="11"/>
      <sheetData sheetId="12"/>
      <sheetData sheetId="13">
        <row r="5">
          <cell r="B5">
            <v>0</v>
          </cell>
        </row>
      </sheetData>
      <sheetData sheetId="14">
        <row r="8">
          <cell r="B8">
            <v>0</v>
          </cell>
        </row>
      </sheetData>
      <sheetData sheetId="15">
        <row r="8">
          <cell r="B8">
            <v>55268</v>
          </cell>
        </row>
      </sheetData>
      <sheetData sheetId="16"/>
      <sheetData sheetId="17"/>
      <sheetData sheetId="18">
        <row r="253">
          <cell r="E253">
            <v>3207975</v>
          </cell>
        </row>
      </sheetData>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 Working"/>
    </sheetNames>
    <sheetDataSet>
      <sheetData sheetId="0">
        <row r="4">
          <cell r="W4">
            <v>0.23397044110959528</v>
          </cell>
        </row>
        <row r="10">
          <cell r="G10">
            <v>-2061.2150000000001</v>
          </cell>
        </row>
        <row r="11">
          <cell r="G11">
            <v>-798.30714506593904</v>
          </cell>
        </row>
        <row r="12">
          <cell r="G12">
            <v>-52</v>
          </cell>
        </row>
        <row r="13">
          <cell r="G13">
            <v>277.16506025000007</v>
          </cell>
        </row>
        <row r="14">
          <cell r="G14">
            <v>654</v>
          </cell>
        </row>
        <row r="15">
          <cell r="G15">
            <v>-162</v>
          </cell>
        </row>
        <row r="16">
          <cell r="G16">
            <v>0</v>
          </cell>
        </row>
        <row r="17">
          <cell r="G17">
            <v>0</v>
          </cell>
        </row>
        <row r="18">
          <cell r="G18">
            <v>0</v>
          </cell>
        </row>
      </sheetData>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 Working"/>
    </sheetNames>
    <sheetDataSet>
      <sheetData sheetId="0">
        <row r="10">
          <cell r="B10">
            <v>-7022</v>
          </cell>
        </row>
        <row r="11">
          <cell r="B11">
            <v>-3374</v>
          </cell>
        </row>
        <row r="12">
          <cell r="B12">
            <v>-2378</v>
          </cell>
        </row>
        <row r="13">
          <cell r="B13">
            <v>1070</v>
          </cell>
        </row>
        <row r="14">
          <cell r="B14">
            <v>2616</v>
          </cell>
        </row>
        <row r="15">
          <cell r="B15">
            <v>-648</v>
          </cell>
        </row>
        <row r="16">
          <cell r="B16">
            <v>-556</v>
          </cell>
        </row>
        <row r="17">
          <cell r="B17">
            <v>137</v>
          </cell>
        </row>
        <row r="18">
          <cell r="B18">
            <v>-20</v>
          </cell>
        </row>
      </sheetData>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 Working"/>
    </sheetNames>
    <sheetDataSet>
      <sheetData sheetId="0">
        <row r="10">
          <cell r="B10">
            <v>-1879</v>
          </cell>
          <cell r="O10">
            <v>-1879.2179120000001</v>
          </cell>
        </row>
        <row r="11">
          <cell r="O11">
            <v>-757.9736190000001</v>
          </cell>
        </row>
        <row r="12">
          <cell r="O12">
            <v>-931</v>
          </cell>
        </row>
        <row r="13">
          <cell r="O13">
            <v>451.89982443490237</v>
          </cell>
        </row>
        <row r="14">
          <cell r="O14">
            <v>673</v>
          </cell>
        </row>
        <row r="15">
          <cell r="O15">
            <v>-162</v>
          </cell>
        </row>
      </sheetData>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 Working"/>
    </sheetNames>
    <sheetDataSet>
      <sheetData sheetId="0">
        <row r="6">
          <cell r="B6">
            <v>59953</v>
          </cell>
        </row>
        <row r="10">
          <cell r="K10">
            <v>-2416.2058699999998</v>
          </cell>
        </row>
        <row r="11">
          <cell r="K11">
            <v>-765.89167199999997</v>
          </cell>
        </row>
        <row r="12">
          <cell r="K12">
            <v>-97</v>
          </cell>
        </row>
        <row r="13">
          <cell r="K13">
            <v>439.02679631213749</v>
          </cell>
        </row>
        <row r="14">
          <cell r="K14">
            <v>691</v>
          </cell>
        </row>
        <row r="15">
          <cell r="K15">
            <v>-165</v>
          </cell>
        </row>
      </sheetData>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 Working"/>
    </sheetNames>
    <sheetDataSet>
      <sheetData sheetId="0">
        <row r="6">
          <cell r="G6">
            <v>26507</v>
          </cell>
        </row>
        <row r="10">
          <cell r="G10">
            <v>-2613.917254</v>
          </cell>
        </row>
        <row r="11">
          <cell r="G11">
            <v>-699.42801499999996</v>
          </cell>
        </row>
        <row r="12">
          <cell r="G12">
            <v>-528</v>
          </cell>
        </row>
        <row r="13">
          <cell r="G13">
            <v>445.2660189666156</v>
          </cell>
        </row>
        <row r="14">
          <cell r="G14">
            <v>431</v>
          </cell>
        </row>
        <row r="15">
          <cell r="G15">
            <v>-103</v>
          </cell>
        </row>
      </sheetData>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 Working"/>
      <sheetName val="Acquisition Cost Q'3-18"/>
      <sheetName val="Acquisition Related Cost Q'3-18"/>
    </sheetNames>
    <sheetDataSet>
      <sheetData sheetId="0">
        <row r="9">
          <cell r="G9">
            <v>-1364</v>
          </cell>
        </row>
        <row r="10">
          <cell r="G10">
            <v>-1435</v>
          </cell>
        </row>
        <row r="13">
          <cell r="G13">
            <v>-288</v>
          </cell>
        </row>
        <row r="14">
          <cell r="G14">
            <v>192</v>
          </cell>
        </row>
        <row r="16">
          <cell r="G16">
            <v>-218</v>
          </cell>
        </row>
      </sheetData>
      <sheetData sheetId="1" refreshError="1"/>
      <sheetData sheetId="2"/>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Headcount Details"/>
      <sheetName val="Additional Details"/>
      <sheetName val="Headcount as on 30 Sep 2019"/>
      <sheetName val="Separation - Q3 2019"/>
    </sheetNames>
    <sheetDataSet>
      <sheetData sheetId="0">
        <row r="4">
          <cell r="AD4">
            <v>0.34489076991892847</v>
          </cell>
        </row>
      </sheetData>
      <sheetData sheetId="1">
        <row r="35">
          <cell r="K35">
            <v>31496</v>
          </cell>
        </row>
      </sheetData>
      <sheetData sheetId="2" refreshError="1"/>
      <sheetData sheetId="3" refreshError="1"/>
      <sheetData sheetId="4"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Headcount Details"/>
      <sheetName val="Headcount as on 31 Dec 2019"/>
      <sheetName val="Separation - Q4 2019"/>
      <sheetName val="Additional Details"/>
    </sheetNames>
    <sheetDataSet>
      <sheetData sheetId="0">
        <row r="4">
          <cell r="AE4">
            <v>0.30887759596046266</v>
          </cell>
          <cell r="AF4">
            <v>0.33160055826371893</v>
          </cell>
        </row>
      </sheetData>
      <sheetData sheetId="1">
        <row r="35">
          <cell r="L35">
            <v>31728</v>
          </cell>
        </row>
      </sheetData>
      <sheetData sheetId="2" refreshError="1"/>
      <sheetData sheetId="3" refreshError="1"/>
      <sheetData sheetId="4"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Headcount Details"/>
      <sheetName val="Headcount as on 31 Mar 2020"/>
      <sheetName val="Separation - Q1 2020"/>
      <sheetName val="Additional Details"/>
    </sheetNames>
    <sheetDataSet>
      <sheetData sheetId="0">
        <row r="4">
          <cell r="AG4">
            <v>0.31995558781720007</v>
          </cell>
        </row>
      </sheetData>
      <sheetData sheetId="1">
        <row r="36">
          <cell r="J36">
            <v>32780</v>
          </cell>
        </row>
      </sheetData>
      <sheetData sheetId="2" refreshError="1"/>
      <sheetData sheetId="3" refreshError="1"/>
      <sheetData sheetId="4"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ummary"/>
      <sheetName val="Headcount Details-2020"/>
      <sheetName val="Headcount Details till 2019"/>
      <sheetName val="Headcount as on 30 June 2020"/>
      <sheetName val="Separation - Q2 2020"/>
      <sheetName val="Additional Details"/>
    </sheetNames>
    <sheetDataSet>
      <sheetData sheetId="0"/>
      <sheetData sheetId="1">
        <row r="4">
          <cell r="AH4">
            <v>0.14480475861212913</v>
          </cell>
        </row>
      </sheetData>
      <sheetData sheetId="2"/>
      <sheetData sheetId="3"/>
      <sheetData sheetId="4"/>
      <sheetData sheetId="5"/>
      <sheetData sheetId="6">
        <row r="9">
          <cell r="C9">
            <v>31622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S"/>
      <sheetName val="Diluted EPS-YTD"/>
      <sheetName val="EPS workings"/>
      <sheetName val="Weighted Avg - QTD (4)"/>
      <sheetName val="Weighted Avg - YTD (4)"/>
      <sheetName val="Recon of common stock"/>
      <sheetName val="Dilutive effect Q4'19"/>
      <sheetName val="Dilutive effect Q3'19"/>
      <sheetName val="Dilutive effect Q2'19"/>
      <sheetName val="Dilutive effect Q1'19"/>
      <sheetName val="RSA_Dec'18"/>
      <sheetName val="Dilution rules"/>
      <sheetName val="Options-Disclosure"/>
      <sheetName val="RS-Disclosure"/>
      <sheetName val="PRSU-Disclosure (2)"/>
      <sheetName val="Weighted Avg Assumptions"/>
      <sheetName val="10K note"/>
      <sheetName val="Available Pool New"/>
    </sheetNames>
    <sheetDataSet>
      <sheetData sheetId="0">
        <row r="5">
          <cell r="B5">
            <v>0.62344425274195481</v>
          </cell>
        </row>
        <row r="15">
          <cell r="B15">
            <v>34253308</v>
          </cell>
          <cell r="C15">
            <v>34350150</v>
          </cell>
        </row>
        <row r="16">
          <cell r="B16">
            <v>34696896</v>
          </cell>
          <cell r="C16">
            <v>34732683</v>
          </cell>
        </row>
      </sheetData>
      <sheetData sheetId="1" refreshError="1"/>
      <sheetData sheetId="2">
        <row r="18">
          <cell r="B18">
            <v>0</v>
          </cell>
        </row>
      </sheetData>
      <sheetData sheetId="3" refreshError="1"/>
      <sheetData sheetId="4" refreshError="1"/>
      <sheetData sheetId="5">
        <row r="141">
          <cell r="BW141">
            <v>166071</v>
          </cell>
        </row>
      </sheetData>
      <sheetData sheetId="6" refreshError="1"/>
      <sheetData sheetId="7" refreshError="1"/>
      <sheetData sheetId="8" refreshError="1"/>
      <sheetData sheetId="9" refreshError="1"/>
      <sheetData sheetId="10" refreshError="1"/>
      <sheetData sheetId="11" refreshError="1"/>
      <sheetData sheetId="12">
        <row r="5">
          <cell r="B5">
            <v>0</v>
          </cell>
        </row>
      </sheetData>
      <sheetData sheetId="13">
        <row r="8">
          <cell r="B8">
            <v>0</v>
          </cell>
        </row>
      </sheetData>
      <sheetData sheetId="14">
        <row r="8">
          <cell r="B8">
            <v>54062</v>
          </cell>
        </row>
      </sheetData>
      <sheetData sheetId="15" refreshError="1"/>
      <sheetData sheetId="16" refreshError="1"/>
      <sheetData sheetId="17">
        <row r="275">
          <cell r="E275">
            <v>2785763</v>
          </cell>
        </row>
      </sheetData>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ummary"/>
      <sheetName val="Headcount Details-2020"/>
      <sheetName val="Headcount Details till 2019"/>
      <sheetName val="Raw Dump - 30 Sep 2020"/>
      <sheetName val="Separation - Q3 2020"/>
      <sheetName val="Additional Details"/>
    </sheetNames>
    <sheetDataSet>
      <sheetData sheetId="0"/>
      <sheetData sheetId="1">
        <row r="4">
          <cell r="AI4">
            <v>0.2187065381701101</v>
          </cell>
        </row>
      </sheetData>
      <sheetData sheetId="2"/>
      <sheetData sheetId="3"/>
      <sheetData sheetId="4"/>
      <sheetData sheetId="5"/>
      <sheetData sheetId="6">
        <row r="9">
          <cell r="C9">
            <v>31816</v>
          </cell>
        </row>
      </sheetData>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ummary"/>
      <sheetName val="Headcount Details-2020"/>
      <sheetName val="Headcount Details till 2019"/>
      <sheetName val="Raw Data - 31 Dec 2020"/>
      <sheetName val="Separation - Q4 2020"/>
      <sheetName val="Additional Details"/>
    </sheetNames>
    <sheetDataSet>
      <sheetData sheetId="0"/>
      <sheetData sheetId="1">
        <row r="4">
          <cell r="AJ4">
            <v>0.22339677692447238</v>
          </cell>
        </row>
        <row r="11">
          <cell r="RJ11">
            <v>0.23403179596651874</v>
          </cell>
        </row>
      </sheetData>
      <sheetData sheetId="2">
        <row r="4">
          <cell r="G4">
            <v>7692</v>
          </cell>
        </row>
      </sheetData>
      <sheetData sheetId="3"/>
      <sheetData sheetId="4"/>
      <sheetData sheetId="5"/>
      <sheetData sheetId="6">
        <row r="9">
          <cell r="C9">
            <v>31936</v>
          </cell>
        </row>
      </sheetData>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ummary"/>
      <sheetName val="Headcount Details-2020 onwards"/>
      <sheetName val="Headcount Details till 2019"/>
      <sheetName val="Raw Data - 31 March 2021"/>
      <sheetName val="Separation - Q1 2021"/>
      <sheetName val="Additional Details"/>
    </sheetNames>
    <sheetDataSet>
      <sheetData sheetId="0"/>
      <sheetData sheetId="1">
        <row r="4">
          <cell r="AL4">
            <v>0.26809255500268453</v>
          </cell>
        </row>
      </sheetData>
      <sheetData sheetId="2"/>
      <sheetData sheetId="3"/>
      <sheetData sheetId="4"/>
      <sheetData sheetId="5"/>
      <sheetData sheetId="6">
        <row r="9">
          <cell r="C9">
            <v>31631</v>
          </cell>
        </row>
      </sheetData>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ummary"/>
      <sheetName val="Headcount Details-2020 onwards"/>
      <sheetName val="Headcount Details till 2019"/>
      <sheetName val="Raw Data - 30 June 2021"/>
      <sheetName val="Separation - Q2 2021"/>
      <sheetName val="Additional Details"/>
    </sheetNames>
    <sheetDataSet>
      <sheetData sheetId="0"/>
      <sheetData sheetId="1">
        <row r="4">
          <cell r="AM4">
            <v>0.29480874988485051</v>
          </cell>
        </row>
      </sheetData>
      <sheetData sheetId="2"/>
      <sheetData sheetId="3"/>
      <sheetData sheetId="4"/>
      <sheetData sheetId="5"/>
      <sheetData sheetId="6">
        <row r="9">
          <cell r="C9">
            <v>32994</v>
          </cell>
        </row>
      </sheetData>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ummary"/>
      <sheetName val="Headcount Details-2020 onwards"/>
      <sheetName val="Headcount Details till 2019"/>
      <sheetName val="Raw Data - 30 Sep 2021"/>
      <sheetName val="Separation - Q3 2021"/>
      <sheetName val="Additional Details"/>
    </sheetNames>
    <sheetDataSet>
      <sheetData sheetId="0" refreshError="1"/>
      <sheetData sheetId="1">
        <row r="4">
          <cell r="AN4">
            <v>0.29731422620433601</v>
          </cell>
        </row>
      </sheetData>
      <sheetData sheetId="2" refreshError="1"/>
      <sheetData sheetId="3" refreshError="1"/>
      <sheetData sheetId="4" refreshError="1"/>
      <sheetData sheetId="5" refreshError="1"/>
      <sheetData sheetId="6">
        <row r="9">
          <cell r="C9">
            <v>34548</v>
          </cell>
        </row>
      </sheetData>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ummary"/>
      <sheetName val="Headcount Details-2020 onwards"/>
      <sheetName val="Headcount Details till 2019"/>
      <sheetName val="Raw Data - 31 Dec 2021"/>
      <sheetName val="Separation - Q4 2021"/>
      <sheetName val="Additional Details"/>
    </sheetNames>
    <sheetDataSet>
      <sheetData sheetId="0"/>
      <sheetData sheetId="1">
        <row r="11">
          <cell r="TV11">
            <v>0.29391266675770744</v>
          </cell>
          <cell r="TZ11">
            <v>0.28288000000000002</v>
          </cell>
        </row>
      </sheetData>
      <sheetData sheetId="2">
        <row r="4">
          <cell r="H4">
            <v>9869</v>
          </cell>
        </row>
      </sheetData>
      <sheetData sheetId="3"/>
      <sheetData sheetId="4"/>
      <sheetData sheetId="5"/>
      <sheetData sheetId="6">
        <row r="9">
          <cell r="C9">
            <v>36936</v>
          </cell>
        </row>
      </sheetData>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ummary"/>
      <sheetName val="Headcount Details-2020 onwards"/>
      <sheetName val="Headcount Details till 2019"/>
      <sheetName val="Raw Data - 31 Mar 2022"/>
      <sheetName val="Separation - Q1 2022"/>
      <sheetName val="Additional Details"/>
    </sheetNames>
    <sheetDataSet>
      <sheetData sheetId="0" refreshError="1"/>
      <sheetData sheetId="1" refreshError="1"/>
      <sheetData sheetId="2" refreshError="1"/>
      <sheetData sheetId="3" refreshError="1"/>
      <sheetData sheetId="4" refreshError="1"/>
      <sheetData sheetId="5" refreshError="1"/>
      <sheetData sheetId="6">
        <row r="8">
          <cell r="C8">
            <v>0.34057937472275257</v>
          </cell>
        </row>
        <row r="9">
          <cell r="C9">
            <v>39110</v>
          </cell>
        </row>
      </sheetData>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ummary"/>
      <sheetName val="Headcount Details-2020 onwards"/>
      <sheetName val="Headcount Details till 2019"/>
      <sheetName val="Raw Data - 30 June 2022"/>
      <sheetName val="Separation - Q2 2022"/>
      <sheetName val="Additional Details"/>
    </sheetNames>
    <sheetDataSet>
      <sheetData sheetId="0"/>
      <sheetData sheetId="1"/>
      <sheetData sheetId="2"/>
      <sheetData sheetId="3"/>
      <sheetData sheetId="4"/>
      <sheetData sheetId="5"/>
      <sheetData sheetId="6">
        <row r="8">
          <cell r="C8">
            <v>0.37968018909629725</v>
          </cell>
        </row>
        <row r="9">
          <cell r="C9">
            <v>40617</v>
          </cell>
        </row>
      </sheetData>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ummary"/>
      <sheetName val="Headcount Details-2020 onwards"/>
      <sheetName val="Headcount Details till 2019"/>
      <sheetName val="Raw Data - 30 September 2022"/>
      <sheetName val="Separation - Q3 2022"/>
      <sheetName val="Additional Details"/>
    </sheetNames>
    <sheetDataSet>
      <sheetData sheetId="0" refreshError="1"/>
      <sheetData sheetId="1" refreshError="1"/>
      <sheetData sheetId="2" refreshError="1"/>
      <sheetData sheetId="3" refreshError="1"/>
      <sheetData sheetId="4" refreshError="1"/>
      <sheetData sheetId="5" refreshError="1"/>
      <sheetData sheetId="6">
        <row r="8">
          <cell r="C8">
            <v>0.34208603380353286</v>
          </cell>
        </row>
        <row r="9">
          <cell r="C9">
            <v>43111</v>
          </cell>
        </row>
      </sheetData>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ummary"/>
      <sheetName val="Headcount Details-2020 onwards"/>
      <sheetName val="Headcount Details till 2019"/>
      <sheetName val="Raw Data - 31 December 2022"/>
      <sheetName val="Separation - Q4 2022"/>
      <sheetName val="Additional Details"/>
    </sheetNames>
    <sheetDataSet>
      <sheetData sheetId="0" refreshError="1"/>
      <sheetData sheetId="1">
        <row r="11">
          <cell r="F11">
            <v>0.31554772541370413</v>
          </cell>
          <cell r="J11">
            <v>0.24190978878072927</v>
          </cell>
        </row>
      </sheetData>
      <sheetData sheetId="2" refreshError="1"/>
      <sheetData sheetId="3" refreshError="1"/>
      <sheetData sheetId="4" refreshError="1"/>
      <sheetData sheetId="5" refreshError="1"/>
      <sheetData sheetId="6">
        <row r="9">
          <cell r="C9">
            <v>45420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S"/>
      <sheetName val="Diluted EPS-YTD"/>
      <sheetName val="EPS workings"/>
      <sheetName val="Weighted Avg - QTD (4)"/>
      <sheetName val="Weighted Avg - YTD (1)"/>
      <sheetName val="Recon of common stock"/>
      <sheetName val="Dilutive effect Q4'19"/>
      <sheetName val="Dilutive effect Q3'19"/>
      <sheetName val="Dilutive effect Q2'19"/>
      <sheetName val="Dilutive effect Q4'20"/>
      <sheetName val="Dilutive effect Q3'20"/>
      <sheetName val="Dilutive effect Q4'20 -old"/>
      <sheetName val="Dilutive effect Q2'20"/>
      <sheetName val="EXL Qtry stock price"/>
      <sheetName val="RSA_Dec'18"/>
      <sheetName val="Dilution rules"/>
      <sheetName val="Dilutive effect Q1'20"/>
      <sheetName val="Options-Disclosure"/>
      <sheetName val="RS-Disclosure"/>
      <sheetName val="PRSU-Disclosure (2)"/>
      <sheetName val="Weighted Avg Assumptions"/>
      <sheetName val="10K note"/>
      <sheetName val="Available Pool New"/>
      <sheetName val="Weighted Avg - QTD (3)"/>
    </sheetNames>
    <sheetDataSet>
      <sheetData sheetId="0">
        <row r="5">
          <cell r="B5">
            <v>0.94990603015529052</v>
          </cell>
        </row>
        <row r="15">
          <cell r="B15">
            <v>33882013</v>
          </cell>
          <cell r="C15">
            <v>34273388</v>
          </cell>
        </row>
        <row r="16">
          <cell r="B16">
            <v>34370023</v>
          </cell>
          <cell r="C16">
            <v>34555164</v>
          </cell>
        </row>
      </sheetData>
      <sheetData sheetId="1"/>
      <sheetData sheetId="2">
        <row r="21">
          <cell r="B21">
            <v>289061</v>
          </cell>
        </row>
      </sheetData>
      <sheetData sheetId="3"/>
      <sheetData sheetId="4"/>
      <sheetData sheetId="5"/>
      <sheetData sheetId="6"/>
      <sheetData sheetId="7"/>
      <sheetData sheetId="8"/>
      <sheetData sheetId="9">
        <row r="15">
          <cell r="U15" t="str">
            <v>Calculated Weighted Balance Outstanding</v>
          </cell>
        </row>
      </sheetData>
      <sheetData sheetId="10"/>
      <sheetData sheetId="11"/>
      <sheetData sheetId="12"/>
      <sheetData sheetId="13"/>
      <sheetData sheetId="14"/>
      <sheetData sheetId="15"/>
      <sheetData sheetId="16"/>
      <sheetData sheetId="17">
        <row r="5">
          <cell r="B5">
            <v>0</v>
          </cell>
        </row>
      </sheetData>
      <sheetData sheetId="18">
        <row r="8">
          <cell r="B8">
            <v>0</v>
          </cell>
        </row>
      </sheetData>
      <sheetData sheetId="19">
        <row r="8">
          <cell r="B8">
            <v>61368</v>
          </cell>
        </row>
      </sheetData>
      <sheetData sheetId="20"/>
      <sheetData sheetId="21"/>
      <sheetData sheetId="22">
        <row r="349">
          <cell r="E349">
            <v>2333557</v>
          </cell>
        </row>
      </sheetData>
      <sheetData sheetId="23"/>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Q1'23 vs Q1'22"/>
      <sheetName val="Summary"/>
      <sheetName val="Headcount Details-2020 onwards"/>
      <sheetName val="Headcount Details till 2019"/>
      <sheetName val="Raw Data - 31 March 2023"/>
      <sheetName val="Separation - Q1 2023"/>
      <sheetName val="Additional Details"/>
    </sheetNames>
    <sheetDataSet>
      <sheetData sheetId="0"/>
      <sheetData sheetId="1"/>
      <sheetData sheetId="2">
        <row r="11">
          <cell r="F11">
            <v>0.25516099243690421</v>
          </cell>
        </row>
      </sheetData>
      <sheetData sheetId="3">
        <row r="4">
          <cell r="G4">
            <v>13237</v>
          </cell>
        </row>
      </sheetData>
      <sheetData sheetId="4"/>
      <sheetData sheetId="5"/>
      <sheetData sheetId="6"/>
      <sheetData sheetId="7">
        <row r="9">
          <cell r="C9">
            <v>47796</v>
          </cell>
        </row>
      </sheetData>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ummary"/>
      <sheetName val="Headcount Details-2020 onwards"/>
      <sheetName val="Headcount Details till 2019"/>
      <sheetName val="Raw Data - 30 June 2023"/>
      <sheetName val="Separation - Q2 2023"/>
      <sheetName val="Additional Details"/>
    </sheetNames>
    <sheetDataSet>
      <sheetData sheetId="0"/>
      <sheetData sheetId="1">
        <row r="11">
          <cell r="F11">
            <v>0.27278556766668072</v>
          </cell>
        </row>
      </sheetData>
      <sheetData sheetId="2">
        <row r="4">
          <cell r="H4">
            <v>13459</v>
          </cell>
        </row>
      </sheetData>
      <sheetData sheetId="3"/>
      <sheetData sheetId="4"/>
      <sheetData sheetId="5"/>
      <sheetData sheetId="6">
        <row r="9">
          <cell r="C9">
            <v>48831</v>
          </cell>
        </row>
      </sheetData>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ummary"/>
      <sheetName val="Headcount Details-2020 onwards"/>
      <sheetName val="Headcount Details till 2019"/>
      <sheetName val="Raw Data - 30 September 2023"/>
      <sheetName val="Separation - Q3 2023"/>
      <sheetName val="Additional Details"/>
    </sheetNames>
    <sheetDataSet>
      <sheetData sheetId="0"/>
      <sheetData sheetId="1"/>
      <sheetData sheetId="2"/>
      <sheetData sheetId="3"/>
      <sheetData sheetId="4"/>
      <sheetData sheetId="5"/>
      <sheetData sheetId="6">
        <row r="8">
          <cell r="C8">
            <v>0.26944651220829302</v>
          </cell>
        </row>
        <row r="9">
          <cell r="C9">
            <v>50450</v>
          </cell>
        </row>
      </sheetData>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ummary"/>
      <sheetName val="Headcount Details-2020 onwards"/>
      <sheetName val="Headcount Details till 2019"/>
      <sheetName val="Raw Data - 31 December 2023"/>
      <sheetName val="Separation - Q4 2023"/>
      <sheetName val="Additional Details"/>
    </sheetNames>
    <sheetDataSet>
      <sheetData sheetId="0" refreshError="1"/>
      <sheetData sheetId="1">
        <row r="11">
          <cell r="F11">
            <v>0.25781439922207866</v>
          </cell>
          <cell r="J11">
            <v>0.22695995453092543</v>
          </cell>
        </row>
      </sheetData>
      <sheetData sheetId="2">
        <row r="24">
          <cell r="J24">
            <v>9137</v>
          </cell>
        </row>
      </sheetData>
      <sheetData sheetId="3" refreshError="1"/>
      <sheetData sheetId="4" refreshError="1"/>
      <sheetData sheetId="5" refreshError="1"/>
      <sheetData sheetId="6" refreshError="1">
        <row r="9">
          <cell r="C9">
            <v>53951</v>
          </cell>
        </row>
      </sheetData>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ummary"/>
      <sheetName val="Headcount Details-2020 onwards"/>
      <sheetName val="Headcount Details till 2019"/>
      <sheetName val="Raw Data - 31 March 2024"/>
      <sheetName val="Separation - Q1 2024"/>
      <sheetName val="Additional Details"/>
    </sheetNames>
    <sheetDataSet>
      <sheetData sheetId="0"/>
      <sheetData sheetId="1"/>
      <sheetData sheetId="2"/>
      <sheetData sheetId="3"/>
      <sheetData sheetId="4"/>
      <sheetData sheetId="5"/>
      <sheetData sheetId="6">
        <row r="8">
          <cell r="C8">
            <v>0.26200000000000001</v>
          </cell>
        </row>
        <row r="9">
          <cell r="C9">
            <v>55062</v>
          </cell>
        </row>
      </sheetData>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ummary"/>
      <sheetName val="Headcount Details-2020 onwards"/>
      <sheetName val="Headcount Details till 2019"/>
      <sheetName val="Raw Data - 30 June 2024"/>
      <sheetName val="Separation - Q2 2024"/>
      <sheetName val="Additional Details"/>
    </sheetNames>
    <sheetDataSet>
      <sheetData sheetId="0"/>
      <sheetData sheetId="1"/>
      <sheetData sheetId="2"/>
      <sheetData sheetId="3"/>
      <sheetData sheetId="4"/>
      <sheetData sheetId="5"/>
      <sheetData sheetId="6">
        <row r="8">
          <cell r="C8">
            <v>0.29532130564696091</v>
          </cell>
        </row>
        <row r="9">
          <cell r="C9">
            <v>55942</v>
          </cell>
        </row>
      </sheetData>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p 10 20 30 Q3'19VsQ2'19"/>
      <sheetName val="Console RSOB Q3'2019_Revenue"/>
    </sheetNames>
    <sheetDataSet>
      <sheetData sheetId="0">
        <row r="9">
          <cell r="H9">
            <v>7.5242799743906075E-2</v>
          </cell>
        </row>
        <row r="10">
          <cell r="H10">
            <v>0.14878314416660995</v>
          </cell>
        </row>
        <row r="11">
          <cell r="H11">
            <v>0.21674863331481722</v>
          </cell>
        </row>
        <row r="12">
          <cell r="H12">
            <v>0.35706193682575654</v>
          </cell>
        </row>
      </sheetData>
      <sheetData sheetId="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p 10 20 30 Q4'19VsQ3'19"/>
      <sheetName val="Console RSOB Revenue Dump_Q4'19"/>
      <sheetName val="Qlik Dump_Q4'19"/>
    </sheetNames>
    <sheetDataSet>
      <sheetData sheetId="0">
        <row r="5">
          <cell r="N5">
            <v>8.1402448811873057E-2</v>
          </cell>
        </row>
        <row r="6">
          <cell r="N6">
            <v>0.16350984859168816</v>
          </cell>
        </row>
        <row r="7">
          <cell r="N7">
            <v>0.22833874714387031</v>
          </cell>
        </row>
        <row r="8">
          <cell r="N8">
            <v>0.36199840679369394</v>
          </cell>
        </row>
      </sheetData>
      <sheetData sheetId="1" refreshError="1"/>
      <sheetData sheetId="2"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TD_Dec'19_ Top10,20&amp;30_Clients"/>
      <sheetName val="Qlik_YTD2019-Revenue Dump"/>
      <sheetName val="YTD"/>
    </sheetNames>
    <sheetDataSet>
      <sheetData sheetId="0">
        <row r="5">
          <cell r="R5">
            <v>7.996062015913441E-2</v>
          </cell>
        </row>
        <row r="6">
          <cell r="R6">
            <v>0.15225578197830744</v>
          </cell>
        </row>
        <row r="7">
          <cell r="R7">
            <v>0.21954984667495586</v>
          </cell>
        </row>
        <row r="8">
          <cell r="R8">
            <v>0.36146546649661448</v>
          </cell>
        </row>
      </sheetData>
      <sheetData sheetId="1" refreshError="1"/>
      <sheetData sheetId="2"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ientWise Summary_Q'1'2020"/>
      <sheetName val="Console RSOB_Rev Dump_Q1'20"/>
      <sheetName val="OSI"/>
    </sheetNames>
    <sheetDataSet>
      <sheetData sheetId="0">
        <row r="4">
          <cell r="M4">
            <v>8.0666291683971769E-2</v>
          </cell>
        </row>
        <row r="5">
          <cell r="M5">
            <v>0.17756147197119954</v>
          </cell>
        </row>
        <row r="6">
          <cell r="M6">
            <v>0.24349506187494788</v>
          </cell>
        </row>
        <row r="7">
          <cell r="M7">
            <v>0.37293535284921092</v>
          </cell>
        </row>
      </sheetData>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S"/>
      <sheetName val="Diluted EPS-YTD"/>
      <sheetName val="EPS workings"/>
      <sheetName val="Weighted Avg - QTD"/>
      <sheetName val="Weighted Avg - YTD"/>
      <sheetName val="Recon of common stock"/>
      <sheetName val="Dilutive effect Q4'21"/>
      <sheetName val="Dilutive effect Q3'21"/>
      <sheetName val="Dilutive effect Q2'21"/>
      <sheetName val="EXL Qtry stock price"/>
      <sheetName val="Dilutive effect Q1'21"/>
      <sheetName val="Options-Disclosure"/>
      <sheetName val="RS-Disclosure"/>
      <sheetName val="Weighted Avg Assumptions"/>
      <sheetName val="PRSU-Disclosure (2)"/>
      <sheetName val="Available Pool New"/>
    </sheetNames>
    <sheetDataSet>
      <sheetData sheetId="0">
        <row r="7">
          <cell r="C7">
            <v>3.4204346001247599</v>
          </cell>
        </row>
        <row r="15">
          <cell r="B15">
            <v>33446852</v>
          </cell>
          <cell r="C15">
            <v>33549275</v>
          </cell>
        </row>
        <row r="16">
          <cell r="B16">
            <v>33968189</v>
          </cell>
          <cell r="C16">
            <v>34244478</v>
          </cell>
        </row>
      </sheetData>
      <sheetData sheetId="1">
        <row r="16">
          <cell r="E16">
            <v>286510.29459143284</v>
          </cell>
        </row>
      </sheetData>
      <sheetData sheetId="2">
        <row r="21">
          <cell r="B21">
            <v>10705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4">
          <cell r="H4">
            <v>1.85</v>
          </cell>
        </row>
      </sheetData>
      <sheetData sheetId="12">
        <row r="8">
          <cell r="B8">
            <v>550690</v>
          </cell>
        </row>
      </sheetData>
      <sheetData sheetId="13" refreshError="1"/>
      <sheetData sheetId="14">
        <row r="8">
          <cell r="B8">
            <v>0</v>
          </cell>
        </row>
      </sheetData>
      <sheetData sheetId="15">
        <row r="367">
          <cell r="G367">
            <v>-121180</v>
          </cell>
        </row>
      </sheetData>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p 10,20 30_Q-2,Q-1 &amp; H-1'2020"/>
    </sheetNames>
    <sheetDataSet>
      <sheetData sheetId="0">
        <row r="4">
          <cell r="L4">
            <v>8.9891554169399771E-2</v>
          </cell>
        </row>
        <row r="5">
          <cell r="L5">
            <v>0.1974545126171123</v>
          </cell>
        </row>
        <row r="6">
          <cell r="L6">
            <v>0.26353252217925593</v>
          </cell>
        </row>
        <row r="7">
          <cell r="L7">
            <v>0.38745042926556528</v>
          </cell>
        </row>
      </sheetData>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p 10,20 30_Q-3,Q-2 &amp; YTD'2020"/>
    </sheetNames>
    <sheetDataSet>
      <sheetData sheetId="0">
        <row r="4">
          <cell r="M4">
            <v>8.4717007371973033E-2</v>
          </cell>
        </row>
        <row r="5">
          <cell r="M5">
            <v>0.19667141217386097</v>
          </cell>
        </row>
        <row r="6">
          <cell r="M6">
            <v>0.25893702285417286</v>
          </cell>
        </row>
        <row r="7">
          <cell r="M7">
            <v>0.38677134006324027</v>
          </cell>
        </row>
      </sheetData>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p 10,20 30_Q-4,Q-3 &amp; YTD'2020"/>
    </sheetNames>
    <sheetDataSet>
      <sheetData sheetId="0">
        <row r="4">
          <cell r="O4">
            <v>8.2128349430730371E-2</v>
          </cell>
          <cell r="Q4">
            <v>8.7893571549537419E-2</v>
          </cell>
        </row>
        <row r="5">
          <cell r="O5">
            <v>0.19182918602069332</v>
          </cell>
          <cell r="Q5">
            <v>0.20412117815548159</v>
          </cell>
        </row>
        <row r="6">
          <cell r="O6">
            <v>0.25396202207835289</v>
          </cell>
          <cell r="Q6">
            <v>0.26637160193390208</v>
          </cell>
        </row>
        <row r="7">
          <cell r="O7">
            <v>0.37386473773063189</v>
          </cell>
          <cell r="Q7">
            <v>0.37850956690687021</v>
          </cell>
        </row>
      </sheetData>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RSOB_Rev Dump_Q1'2021"/>
      <sheetName val="Qlik Rev Dump-Q1'21"/>
    </sheetNames>
    <sheetDataSet>
      <sheetData sheetId="0">
        <row r="4">
          <cell r="O4">
            <v>8.2573813172722055E-2</v>
          </cell>
        </row>
        <row r="5">
          <cell r="O5">
            <v>0.19682799792728145</v>
          </cell>
        </row>
        <row r="6">
          <cell r="O6">
            <v>0.26503966246249155</v>
          </cell>
        </row>
        <row r="7">
          <cell r="O7">
            <v>0.39280543210797381</v>
          </cell>
        </row>
      </sheetData>
      <sheetData sheetId="1"/>
      <sheetData sheetId="2"/>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s>
    <sheetDataSet>
      <sheetData sheetId="0">
        <row r="4">
          <cell r="N4">
            <v>7.2942283209148681E-2</v>
          </cell>
          <cell r="O4">
            <v>7.2942283209148681E-2</v>
          </cell>
        </row>
        <row r="5">
          <cell r="O5">
            <v>0.18612988897315338</v>
          </cell>
        </row>
        <row r="6">
          <cell r="O6">
            <v>0.24937191673295264</v>
          </cell>
        </row>
        <row r="7">
          <cell r="O7">
            <v>0.37829173543400607</v>
          </cell>
        </row>
      </sheetData>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s>
    <sheetDataSet>
      <sheetData sheetId="0">
        <row r="4">
          <cell r="H4">
            <v>0.38651250204940735</v>
          </cell>
          <cell r="L4">
            <v>7.7332515560155815E-2</v>
          </cell>
        </row>
        <row r="5">
          <cell r="L5">
            <v>0.1837367368366993</v>
          </cell>
        </row>
        <row r="6">
          <cell r="L6">
            <v>0.25311726064773865</v>
          </cell>
        </row>
        <row r="7">
          <cell r="L7">
            <v>0.38651250204940735</v>
          </cell>
        </row>
      </sheetData>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ummary incl CV"/>
    </sheetNames>
    <sheetDataSet>
      <sheetData sheetId="0" refreshError="1">
        <row r="4">
          <cell r="W4">
            <v>7.6672052583416167E-2</v>
          </cell>
          <cell r="Z4">
            <v>8.0701826775208776E-2</v>
          </cell>
        </row>
        <row r="5">
          <cell r="W5">
            <v>0.18740996099057888</v>
          </cell>
          <cell r="Z5">
            <v>0.18387836907072522</v>
          </cell>
        </row>
        <row r="6">
          <cell r="W6">
            <v>0.2520823855353348</v>
          </cell>
          <cell r="Z6">
            <v>0.24958701817168855</v>
          </cell>
        </row>
        <row r="7">
          <cell r="W7">
            <v>0.38120342608068464</v>
          </cell>
          <cell r="Z7">
            <v>0.37369405006205575</v>
          </cell>
        </row>
      </sheetData>
      <sheetData sheetId="1">
        <row r="5">
          <cell r="H5">
            <v>0.187</v>
          </cell>
        </row>
      </sheetData>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p 10,20,30"/>
    </sheetNames>
    <sheetDataSet>
      <sheetData sheetId="0">
        <row r="4">
          <cell r="L4">
            <v>8.0545732206175391E-2</v>
          </cell>
        </row>
        <row r="5">
          <cell r="L5">
            <v>0.17278516058807039</v>
          </cell>
        </row>
        <row r="6">
          <cell r="L6">
            <v>0.24162594438343749</v>
          </cell>
        </row>
        <row r="7">
          <cell r="L7">
            <v>0.362362235076923</v>
          </cell>
        </row>
      </sheetData>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RSOB Pvt"/>
      <sheetName val="RSOB_Rev Dump_Q2'2022"/>
      <sheetName val="Power BI-pvt"/>
      <sheetName val="PowerBI Rev Dump-Q2'22"/>
    </sheetNames>
    <sheetDataSet>
      <sheetData sheetId="0">
        <row r="4">
          <cell r="N4">
            <v>7.373476496833492E-2</v>
          </cell>
        </row>
        <row r="5">
          <cell r="N5">
            <v>0.16869183068986821</v>
          </cell>
        </row>
        <row r="6">
          <cell r="N6">
            <v>0.23810419909738464</v>
          </cell>
        </row>
        <row r="7">
          <cell r="N7">
            <v>0.36212131172504652</v>
          </cell>
        </row>
      </sheetData>
      <sheetData sheetId="1" refreshError="1"/>
      <sheetData sheetId="2" refreshError="1"/>
      <sheetData sheetId="3" refreshError="1"/>
      <sheetData sheetId="4" refreshError="1"/>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s>
    <sheetDataSet>
      <sheetData sheetId="0">
        <row r="5">
          <cell r="F5">
            <v>0.34158587825673331</v>
          </cell>
          <cell r="K5">
            <v>6.6654494331300676E-2</v>
          </cell>
        </row>
        <row r="6">
          <cell r="K6">
            <v>0.15346954938992724</v>
          </cell>
        </row>
        <row r="7">
          <cell r="K7">
            <v>0.22274688856274488</v>
          </cell>
        </row>
        <row r="8">
          <cell r="K8">
            <v>0.34187408577290018</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S"/>
      <sheetName val="Diluted EPS-YTD"/>
      <sheetName val="EPS workings"/>
      <sheetName val="Weighted Avg - QTD"/>
      <sheetName val="Weighted Avg - YTD"/>
      <sheetName val="Dilutive effect Q1'22"/>
      <sheetName val="Recon of common stock"/>
      <sheetName val="Dilutive effect Q3'21"/>
      <sheetName val="Dilutive effect Q2'21"/>
      <sheetName val="EXL Qtry stock price"/>
      <sheetName val="Dilutive effect Q1'21"/>
      <sheetName val="Options-Disclosure"/>
      <sheetName val="RSU-Disclosure"/>
      <sheetName val="Weighted Avg Assumptions"/>
      <sheetName val="PRSU-Disclosure"/>
      <sheetName val="Available Pool New"/>
      <sheetName val="RS-Disclosure"/>
      <sheetName val="PRSU-Disclosure (2)"/>
    </sheetNames>
    <sheetDataSet>
      <sheetData sheetId="0">
        <row r="7">
          <cell r="B7">
            <v>1.0817568805321489</v>
          </cell>
        </row>
        <row r="15">
          <cell r="B15">
            <v>33442038</v>
          </cell>
        </row>
        <row r="16">
          <cell r="B16">
            <v>33894868</v>
          </cell>
        </row>
      </sheetData>
      <sheetData sheetId="1">
        <row r="16">
          <cell r="C16">
            <v>452829.75219762354</v>
          </cell>
        </row>
      </sheetData>
      <sheetData sheetId="2">
        <row r="21">
          <cell r="B21">
            <v>1082</v>
          </cell>
        </row>
      </sheetData>
      <sheetData sheetId="3"/>
      <sheetData sheetId="4"/>
      <sheetData sheetId="5"/>
      <sheetData sheetId="6"/>
      <sheetData sheetId="7"/>
      <sheetData sheetId="8"/>
      <sheetData sheetId="9"/>
      <sheetData sheetId="10"/>
      <sheetData sheetId="11">
        <row r="5">
          <cell r="B5">
            <v>0</v>
          </cell>
        </row>
      </sheetData>
      <sheetData sheetId="12">
        <row r="8">
          <cell r="B8">
            <v>370958</v>
          </cell>
        </row>
      </sheetData>
      <sheetData sheetId="13"/>
      <sheetData sheetId="14">
        <row r="8">
          <cell r="B8">
            <v>52702</v>
          </cell>
        </row>
      </sheetData>
      <sheetData sheetId="15"/>
      <sheetData sheetId="16"/>
      <sheetData sheetId="17"/>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s>
    <sheetDataSet>
      <sheetData sheetId="0">
        <row r="4">
          <cell r="K4">
            <v>6.7503964859730203E-2</v>
          </cell>
        </row>
        <row r="5">
          <cell r="K5">
            <v>0.15854227778015331</v>
          </cell>
        </row>
        <row r="6">
          <cell r="K6">
            <v>0.22632745544697888</v>
          </cell>
        </row>
        <row r="7">
          <cell r="K7">
            <v>0.3380918081110692</v>
          </cell>
        </row>
      </sheetData>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op 10 Change"/>
    </sheetNames>
    <sheetDataSet>
      <sheetData sheetId="0">
        <row r="4">
          <cell r="L4">
            <v>7.185738820838046E-2</v>
          </cell>
        </row>
        <row r="5">
          <cell r="L5">
            <v>0.16305737552960911</v>
          </cell>
        </row>
        <row r="6">
          <cell r="L6">
            <v>0.22868386638633081</v>
          </cell>
        </row>
        <row r="7">
          <cell r="L7">
            <v>0.34901761710985973</v>
          </cell>
        </row>
      </sheetData>
      <sheetData sheetId="1" refreshError="1"/>
    </sheetDataSet>
  </externalBook>
</externalLink>
</file>

<file path=xl/externalLinks/externalLink1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ditional clients"/>
      <sheetName val="OSI Cleint wise"/>
      <sheetName val="OSI Revenue DumpQ1'23"/>
      <sheetName val="Summary"/>
      <sheetName val="RSOB Revenue Pvt Q1'23"/>
      <sheetName val="BI pvt"/>
    </sheetNames>
    <sheetDataSet>
      <sheetData sheetId="0"/>
      <sheetData sheetId="1"/>
      <sheetData sheetId="2"/>
      <sheetData sheetId="3">
        <row r="4">
          <cell r="L4">
            <v>7.0908437780770286E-2</v>
          </cell>
        </row>
        <row r="5">
          <cell r="L5">
            <v>0.15588143026561296</v>
          </cell>
        </row>
        <row r="6">
          <cell r="L6">
            <v>0.22440770703796106</v>
          </cell>
        </row>
        <row r="7">
          <cell r="L7">
            <v>0.34751782125228747</v>
          </cell>
        </row>
      </sheetData>
      <sheetData sheetId="4"/>
      <sheetData sheetId="5"/>
    </sheetDataSet>
  </externalBook>
</externalLink>
</file>

<file path=xl/externalLinks/externalLink1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RSOB Revenue Pvt"/>
      <sheetName val="BI pvt"/>
    </sheetNames>
    <sheetDataSet>
      <sheetData sheetId="0">
        <row r="4">
          <cell r="L4">
            <v>6.9615094398895447E-2</v>
          </cell>
        </row>
        <row r="5">
          <cell r="L5">
            <v>0.16250070580575421</v>
          </cell>
        </row>
        <row r="6">
          <cell r="L6">
            <v>0.22723109463880042</v>
          </cell>
        </row>
        <row r="7">
          <cell r="L7">
            <v>0.33796241673065225</v>
          </cell>
        </row>
      </sheetData>
      <sheetData sheetId="1" refreshError="1"/>
      <sheetData sheetId="2" refreshError="1"/>
    </sheetDataSet>
  </externalBook>
</externalLink>
</file>

<file path=xl/externalLinks/externalLink1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PVT BI Q3'23"/>
      <sheetName val="PVT RSOB Q3'23"/>
    </sheetNames>
    <sheetDataSet>
      <sheetData sheetId="0">
        <row r="4">
          <cell r="L4">
            <v>7.8091668497308905E-2</v>
          </cell>
        </row>
        <row r="5">
          <cell r="L5">
            <v>0.16722046255800513</v>
          </cell>
        </row>
        <row r="6">
          <cell r="L6">
            <v>0.23395962509420576</v>
          </cell>
        </row>
        <row r="7">
          <cell r="L7">
            <v>0.34597982789781712</v>
          </cell>
        </row>
      </sheetData>
      <sheetData sheetId="1" refreshError="1"/>
      <sheetData sheetId="2" refreshError="1"/>
    </sheetDataSet>
  </externalBook>
</externalLink>
</file>

<file path=xl/externalLinks/externalLink1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PVT BI Q4'23"/>
      <sheetName val="BI dump"/>
      <sheetName val="PVT RSOB Q4'23"/>
      <sheetName val="Q4'23 dump"/>
    </sheetNames>
    <sheetDataSet>
      <sheetData sheetId="0">
        <row r="4">
          <cell r="L4">
            <v>7.8855065686714257E-2</v>
          </cell>
        </row>
        <row r="5">
          <cell r="L5">
            <v>0.16818497037413888</v>
          </cell>
        </row>
        <row r="6">
          <cell r="L6">
            <v>0.23198909883992508</v>
          </cell>
        </row>
        <row r="7">
          <cell r="L7">
            <v>0.34527151387314675</v>
          </cell>
        </row>
      </sheetData>
      <sheetData sheetId="1" refreshError="1"/>
      <sheetData sheetId="2" refreshError="1"/>
      <sheetData sheetId="3" refreshError="1"/>
      <sheetData sheetId="4" refreshError="1"/>
    </sheetDataSet>
  </externalBook>
</externalLink>
</file>

<file path=xl/externalLinks/externalLink1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PVT RSOB YTD Dec'23"/>
      <sheetName val="PVT BI YTD Sep'23"/>
    </sheetNames>
    <sheetDataSet>
      <sheetData sheetId="0">
        <row r="4">
          <cell r="L4">
            <v>7.4415383272984026E-2</v>
          </cell>
        </row>
        <row r="5">
          <cell r="L5">
            <v>0.16350724464389876</v>
          </cell>
        </row>
        <row r="6">
          <cell r="L6">
            <v>0.22944132292111202</v>
          </cell>
        </row>
        <row r="7">
          <cell r="L7">
            <v>0.34048363890672384</v>
          </cell>
        </row>
      </sheetData>
      <sheetData sheetId="1"/>
      <sheetData sheetId="2"/>
    </sheetDataSet>
  </externalBook>
</externalLink>
</file>

<file path=xl/externalLinks/externalLink1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SI RSOB Q1'24"/>
      <sheetName val="OSI Client wise"/>
      <sheetName val="Summary"/>
      <sheetName val="RSOB Client wise Q1'24"/>
      <sheetName val="RSOB Q1'24"/>
      <sheetName val="BI Cleint wise Q1'24"/>
      <sheetName val="BI Dump Q1'24"/>
    </sheetNames>
    <sheetDataSet>
      <sheetData sheetId="0" refreshError="1"/>
      <sheetData sheetId="1" refreshError="1"/>
      <sheetData sheetId="2">
        <row r="4">
          <cell r="L4">
            <v>7.785771667738392E-2</v>
          </cell>
        </row>
        <row r="5">
          <cell r="L5">
            <v>0.16489090563209613</v>
          </cell>
        </row>
        <row r="6">
          <cell r="L6">
            <v>0.22821667844100751</v>
          </cell>
        </row>
        <row r="7">
          <cell r="L7">
            <v>0.33295603994573136</v>
          </cell>
        </row>
      </sheetData>
      <sheetData sheetId="3" refreshError="1"/>
      <sheetData sheetId="4" refreshError="1"/>
      <sheetData sheetId="5" refreshError="1"/>
      <sheetData sheetId="6" refreshError="1"/>
    </sheetDataSet>
  </externalBook>
</externalLink>
</file>

<file path=xl/externalLinks/externalLink1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RSOB Q2'24 PVT"/>
      <sheetName val="BI Rev Q2'24 PVT"/>
    </sheetNames>
    <sheetDataSet>
      <sheetData sheetId="0">
        <row r="4">
          <cell r="L4">
            <v>7.8659448217442071E-2</v>
          </cell>
        </row>
        <row r="5">
          <cell r="L5">
            <v>0.17102236759077949</v>
          </cell>
        </row>
        <row r="6">
          <cell r="L6">
            <v>0.22949196987625539</v>
          </cell>
        </row>
        <row r="7">
          <cell r="L7">
            <v>0.33028520566529995</v>
          </cell>
        </row>
      </sheetData>
      <sheetData sheetId="1"/>
      <sheetData sheetId="2"/>
    </sheetDataSet>
  </externalBook>
</externalLink>
</file>

<file path=xl/externalLinks/externalLink1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Summary"/>
      <sheetName val="Sheet1"/>
      <sheetName val="Sheet2"/>
      <sheetName val="Sheet3"/>
    </sheetNames>
    <sheetDataSet>
      <sheetData sheetId="0">
        <row r="172">
          <cell r="M172">
            <v>70.87</v>
          </cell>
          <cell r="N172">
            <v>70.353333333333339</v>
          </cell>
        </row>
        <row r="175">
          <cell r="N175">
            <v>1.2212333333333334</v>
          </cell>
        </row>
        <row r="177">
          <cell r="N177">
            <v>51.589999999999996</v>
          </cell>
        </row>
      </sheetData>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S"/>
      <sheetName val="Diluted EPS-YTD"/>
      <sheetName val="EPS workings"/>
      <sheetName val="Weighted Avg - QTD"/>
      <sheetName val="Weighted Avg - YTD"/>
      <sheetName val="Dilutive effect Q2'22"/>
      <sheetName val="Dilutive effect Q2'21"/>
      <sheetName val="Dilutive effect Q3'22"/>
      <sheetName val="EXL Qtry stock price"/>
      <sheetName val="Dilutive effect Q1'21"/>
      <sheetName val="Dilutive effect Q1'22"/>
      <sheetName val="Recon of common stock"/>
      <sheetName val="Options-Disclosure"/>
      <sheetName val="RSU-Disclosure"/>
      <sheetName val="Weighted Avg Assumptions"/>
      <sheetName val="PRSU-Disclosure"/>
      <sheetName val="Available Pool New"/>
    </sheetNames>
    <sheetDataSet>
      <sheetData sheetId="0">
        <row r="5">
          <cell r="B5">
            <v>1.0387075892557684</v>
          </cell>
        </row>
        <row r="15">
          <cell r="B15">
            <v>33403411</v>
          </cell>
        </row>
        <row r="16">
          <cell r="B16">
            <v>33830539</v>
          </cell>
        </row>
      </sheetData>
      <sheetData sheetId="1"/>
      <sheetData sheetId="2">
        <row r="17">
          <cell r="B17">
            <v>0</v>
          </cell>
        </row>
      </sheetData>
      <sheetData sheetId="3"/>
      <sheetData sheetId="4"/>
      <sheetData sheetId="5"/>
      <sheetData sheetId="6"/>
      <sheetData sheetId="7"/>
      <sheetData sheetId="8"/>
      <sheetData sheetId="9"/>
      <sheetData sheetId="10"/>
      <sheetData sheetId="11"/>
      <sheetData sheetId="12">
        <row r="5">
          <cell r="B5">
            <v>0</v>
          </cell>
        </row>
      </sheetData>
      <sheetData sheetId="13">
        <row r="7">
          <cell r="F7">
            <v>0</v>
          </cell>
        </row>
      </sheetData>
      <sheetData sheetId="14"/>
      <sheetData sheetId="15">
        <row r="8">
          <cell r="B8">
            <v>52702</v>
          </cell>
        </row>
      </sheetData>
      <sheetData sheetId="16"/>
    </sheetDataSet>
  </externalBook>
</externalLink>
</file>

<file path=xl/externalLinks/externalLink1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Summary"/>
      <sheetName val="Sheet1"/>
      <sheetName val="Sheet2"/>
      <sheetName val="Sheet3"/>
    </sheetNames>
    <sheetDataSet>
      <sheetData sheetId="0">
        <row r="172">
          <cell r="T172">
            <v>71.346666666666664</v>
          </cell>
          <cell r="U172">
            <v>70.358333333333348</v>
          </cell>
        </row>
        <row r="175">
          <cell r="T175">
            <v>1.3024</v>
          </cell>
          <cell r="U175">
            <v>1.2786416666666667</v>
          </cell>
        </row>
        <row r="177">
          <cell r="T177">
            <v>50.728333333333332</v>
          </cell>
          <cell r="U177">
            <v>51.565000000000005</v>
          </cell>
        </row>
      </sheetData>
      <sheetData sheetId="1"/>
      <sheetData sheetId="2"/>
      <sheetData sheetId="3"/>
    </sheetDataSet>
  </externalBook>
</externalLink>
</file>

<file path=xl/externalLinks/externalLink1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Summary"/>
      <sheetName val="Sheet1"/>
      <sheetName val="Sheet2"/>
      <sheetName val="Sheet3"/>
    </sheetNames>
    <sheetDataSet>
      <sheetData sheetId="0">
        <row r="185">
          <cell r="F185">
            <v>73.081666666666663</v>
          </cell>
        </row>
        <row r="188">
          <cell r="F188">
            <v>1.2763666666666669</v>
          </cell>
        </row>
        <row r="190">
          <cell r="F190">
            <v>50.826666666666661</v>
          </cell>
        </row>
      </sheetData>
      <sheetData sheetId="1"/>
      <sheetData sheetId="2"/>
      <sheetData sheetId="3"/>
    </sheetDataSet>
  </externalBook>
</externalLink>
</file>

<file path=xl/externalLinks/externalLink1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Summary"/>
      <sheetName val="Sheet1"/>
      <sheetName val="Sheet2"/>
      <sheetName val="Sheet3"/>
    </sheetNames>
    <sheetDataSet>
      <sheetData sheetId="0">
        <row r="185">
          <cell r="E185">
            <v>75.674999999999997</v>
          </cell>
          <cell r="J185">
            <v>75.408333333333331</v>
          </cell>
        </row>
        <row r="188">
          <cell r="J188">
            <v>1.2370666666666665</v>
          </cell>
        </row>
        <row r="190">
          <cell r="J190">
            <v>50.279999999999994</v>
          </cell>
        </row>
      </sheetData>
      <sheetData sheetId="1"/>
      <sheetData sheetId="2"/>
      <sheetData sheetId="3"/>
    </sheetDataSet>
  </externalBook>
</externalLink>
</file>

<file path=xl/externalLinks/externalLink1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Summary"/>
      <sheetName val="Sheet1"/>
      <sheetName val="Sheet2"/>
      <sheetName val="Sheet3"/>
    </sheetNames>
    <sheetDataSet>
      <sheetData sheetId="0">
        <row r="172">
          <cell r="Q172">
            <v>71.38</v>
          </cell>
        </row>
        <row r="185">
          <cell r="N185">
            <v>74.061666666666667</v>
          </cell>
        </row>
        <row r="188">
          <cell r="N188">
            <v>1.3096333333333332</v>
          </cell>
        </row>
        <row r="190">
          <cell r="N190">
            <v>48.71</v>
          </cell>
        </row>
      </sheetData>
      <sheetData sheetId="1"/>
      <sheetData sheetId="2"/>
      <sheetData sheetId="3"/>
    </sheetDataSet>
  </externalBook>
</externalLink>
</file>

<file path=xl/externalLinks/externalLink1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Summary"/>
      <sheetName val="Sheet1"/>
      <sheetName val="Sheet2"/>
      <sheetName val="Sheet3"/>
    </sheetNames>
    <sheetDataSet>
      <sheetData sheetId="0">
        <row r="172">
          <cell r="Q172">
            <v>71.38</v>
          </cell>
        </row>
        <row r="185">
          <cell r="T185">
            <v>73.73833333333333</v>
          </cell>
          <cell r="U185">
            <v>74.072500000000005</v>
          </cell>
        </row>
        <row r="188">
          <cell r="T188">
            <v>1.3313333333333333</v>
          </cell>
          <cell r="U188">
            <v>1.2886</v>
          </cell>
        </row>
        <row r="190">
          <cell r="T190">
            <v>48.161000000000001</v>
          </cell>
          <cell r="U190">
            <v>49.494416666666666</v>
          </cell>
        </row>
      </sheetData>
      <sheetData sheetId="1" refreshError="1"/>
      <sheetData sheetId="2" refreshError="1"/>
      <sheetData sheetId="3" refreshError="1"/>
    </sheetDataSet>
  </externalBook>
</externalLink>
</file>

<file path=xl/externalLinks/externalLink1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Summary"/>
      <sheetName val="Sheet1"/>
      <sheetName val="Sheet2"/>
      <sheetName val="Sheet3"/>
    </sheetNames>
    <sheetDataSet>
      <sheetData sheetId="0">
        <row r="185">
          <cell r="J185">
            <v>75.408333333333331</v>
          </cell>
        </row>
        <row r="202">
          <cell r="F202">
            <v>73.173333333333346</v>
          </cell>
        </row>
        <row r="205">
          <cell r="F205">
            <v>1.3805333333333332</v>
          </cell>
        </row>
        <row r="207">
          <cell r="F207">
            <v>48.386666666666663</v>
          </cell>
        </row>
      </sheetData>
      <sheetData sheetId="1" refreshError="1"/>
      <sheetData sheetId="2" refreshError="1"/>
      <sheetData sheetId="3" refreshError="1"/>
    </sheetDataSet>
  </externalBook>
</externalLink>
</file>

<file path=xl/externalLinks/externalLink1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Summary"/>
      <sheetName val="Sheet1"/>
      <sheetName val="Sheet2"/>
      <sheetName val="Sheet3"/>
    </sheetNames>
    <sheetDataSet>
      <sheetData sheetId="0">
        <row r="185">
          <cell r="Q185">
            <v>73.064999999999998</v>
          </cell>
        </row>
        <row r="202">
          <cell r="J202">
            <v>73.665000000000006</v>
          </cell>
        </row>
        <row r="205">
          <cell r="J205">
            <v>1.3984333333333332</v>
          </cell>
        </row>
        <row r="207">
          <cell r="J207">
            <v>48.198333333333331</v>
          </cell>
        </row>
      </sheetData>
      <sheetData sheetId="1" refreshError="1"/>
      <sheetData sheetId="2" refreshError="1"/>
      <sheetData sheetId="3" refreshError="1"/>
    </sheetDataSet>
  </externalBook>
</externalLink>
</file>

<file path=xl/externalLinks/externalLink1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Summary"/>
      <sheetName val="Sheet1"/>
      <sheetName val="Sheet2"/>
      <sheetName val="Sheet3"/>
    </sheetNames>
    <sheetDataSet>
      <sheetData sheetId="0">
        <row r="185">
          <cell r="Q185">
            <v>73.064999999999998</v>
          </cell>
        </row>
        <row r="202">
          <cell r="N202">
            <v>73.879166666666663</v>
          </cell>
        </row>
        <row r="205">
          <cell r="N205">
            <v>1.3710666666666667</v>
          </cell>
        </row>
        <row r="207">
          <cell r="N207">
            <v>50.243333333333332</v>
          </cell>
        </row>
      </sheetData>
      <sheetData sheetId="1" refreshError="1"/>
      <sheetData sheetId="2" refreshError="1"/>
      <sheetData sheetId="3" refreshError="1"/>
    </sheetDataSet>
  </externalBook>
</externalLink>
</file>

<file path=xl/externalLinks/externalLink1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Summary"/>
      <sheetName val="Sheet1"/>
      <sheetName val="Sheet2"/>
      <sheetName val="Sheet3"/>
    </sheetNames>
    <sheetDataSet>
      <sheetData sheetId="0">
        <row r="202">
          <cell r="C202">
            <v>72.95</v>
          </cell>
          <cell r="T202">
            <v>74.788333333333341</v>
          </cell>
          <cell r="U202">
            <v>73.87645833333336</v>
          </cell>
        </row>
        <row r="205">
          <cell r="T205">
            <v>1.3503999999999998</v>
          </cell>
          <cell r="U205">
            <v>1.3751083333333334</v>
          </cell>
        </row>
        <row r="207">
          <cell r="T207">
            <v>50.601333333333336</v>
          </cell>
          <cell r="U207">
            <v>49.357416666666673</v>
          </cell>
        </row>
      </sheetData>
      <sheetData sheetId="1" refreshError="1"/>
      <sheetData sheetId="2" refreshError="1"/>
      <sheetData sheetId="3" refreshError="1"/>
    </sheetDataSet>
  </externalBook>
</externalLink>
</file>

<file path=xl/externalLinks/externalLink1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Summary"/>
      <sheetName val="Sheet1"/>
      <sheetName val="Sheet2"/>
      <sheetName val="Sheet3"/>
    </sheetNames>
    <sheetDataSet>
      <sheetData sheetId="0">
        <row r="202">
          <cell r="Q202">
            <v>74.33</v>
          </cell>
        </row>
        <row r="219">
          <cell r="F219">
            <v>75.245833333333323</v>
          </cell>
        </row>
        <row r="222">
          <cell r="F222">
            <v>1.3318000000000001</v>
          </cell>
        </row>
        <row r="224">
          <cell r="F224">
            <v>51.32</v>
          </cell>
        </row>
      </sheetData>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S"/>
      <sheetName val="Diluted EPS-YTD"/>
      <sheetName val="EPS workings"/>
      <sheetName val="Weighted Avg - QTD"/>
      <sheetName val="Weighted Avg - YTD"/>
      <sheetName val="Dilutive effect Q3'22"/>
      <sheetName val="Dilutive effect Q2'22"/>
      <sheetName val="Dilutive effect Q2'21"/>
      <sheetName val="EXL Qtry stock price"/>
      <sheetName val="Dilutive effect Q1'21"/>
      <sheetName val="Dilutive effect Q1'22"/>
      <sheetName val="Recon of common stock"/>
      <sheetName val="Options-Disclosure"/>
      <sheetName val="RSU-Disclosure"/>
      <sheetName val="Weighted Avg Assumptions"/>
      <sheetName val="PRSU-Disclosure"/>
      <sheetName val="Available Pool New"/>
    </sheetNames>
    <sheetDataSet>
      <sheetData sheetId="0">
        <row r="15">
          <cell r="B15">
            <v>33237833</v>
          </cell>
        </row>
        <row r="16">
          <cell r="B16">
            <v>33777749</v>
          </cell>
        </row>
      </sheetData>
      <sheetData sheetId="1"/>
      <sheetData sheetId="2">
        <row r="18">
          <cell r="B18">
            <v>935.8804347826084</v>
          </cell>
        </row>
      </sheetData>
      <sheetData sheetId="3"/>
      <sheetData sheetId="4"/>
      <sheetData sheetId="5"/>
      <sheetData sheetId="6"/>
      <sheetData sheetId="7"/>
      <sheetData sheetId="8"/>
      <sheetData sheetId="9"/>
      <sheetData sheetId="10"/>
      <sheetData sheetId="11"/>
      <sheetData sheetId="12">
        <row r="5">
          <cell r="B5">
            <v>0</v>
          </cell>
        </row>
      </sheetData>
      <sheetData sheetId="13">
        <row r="8">
          <cell r="B8">
            <v>356983</v>
          </cell>
        </row>
      </sheetData>
      <sheetData sheetId="14"/>
      <sheetData sheetId="15">
        <row r="8">
          <cell r="B8">
            <v>53122</v>
          </cell>
        </row>
      </sheetData>
      <sheetData sheetId="16"/>
    </sheetDataSet>
  </externalBook>
</externalLink>
</file>

<file path=xl/externalLinks/externalLink1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Summary"/>
      <sheetName val="Sheet1"/>
      <sheetName val="Sheet2"/>
      <sheetName val="Sheet3"/>
    </sheetNames>
    <sheetDataSet>
      <sheetData sheetId="0">
        <row r="219">
          <cell r="I219">
            <v>78.967500000000001</v>
          </cell>
          <cell r="J219">
            <v>77.677499999999995</v>
          </cell>
        </row>
        <row r="222">
          <cell r="J222">
            <v>1.2416666666666665</v>
          </cell>
        </row>
        <row r="224">
          <cell r="J224">
            <v>53.178333333333335</v>
          </cell>
        </row>
      </sheetData>
      <sheetData sheetId="1" refreshError="1"/>
      <sheetData sheetId="2" refreshError="1"/>
      <sheetData sheetId="3" refreshError="1"/>
    </sheetDataSet>
  </externalBook>
</externalLink>
</file>

<file path=xl/externalLinks/externalLink1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Summary"/>
      <sheetName val="Sheet1"/>
      <sheetName val="Sheet2"/>
      <sheetName val="Sheet3"/>
    </sheetNames>
    <sheetDataSet>
      <sheetData sheetId="0">
        <row r="219">
          <cell r="M219">
            <v>81.34</v>
          </cell>
          <cell r="N219">
            <v>80.013333333333335</v>
          </cell>
        </row>
        <row r="222">
          <cell r="N222">
            <v>1.1623999999999999</v>
          </cell>
        </row>
        <row r="224">
          <cell r="N224">
            <v>56.633333333333333</v>
          </cell>
        </row>
      </sheetData>
      <sheetData sheetId="1"/>
      <sheetData sheetId="2"/>
      <sheetData sheetId="3"/>
    </sheetDataSet>
  </externalBook>
</externalLink>
</file>

<file path=xl/externalLinks/externalLink1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Summary"/>
      <sheetName val="Sheet1"/>
      <sheetName val="Sheet2"/>
      <sheetName val="Sheet3"/>
    </sheetNames>
    <sheetDataSet>
      <sheetData sheetId="0">
        <row r="202">
          <cell r="Q202">
            <v>74.33</v>
          </cell>
        </row>
        <row r="219">
          <cell r="T219">
            <v>82.30749999999999</v>
          </cell>
          <cell r="U219">
            <v>78.811041666666668</v>
          </cell>
        </row>
        <row r="222">
          <cell r="T222">
            <v>1.1877000000000002</v>
          </cell>
          <cell r="U222">
            <v>1.2308916666666667</v>
          </cell>
        </row>
        <row r="224">
          <cell r="T224">
            <v>56.761666666666663</v>
          </cell>
          <cell r="U224">
            <v>54.473333333333336</v>
          </cell>
        </row>
      </sheetData>
      <sheetData sheetId="1"/>
      <sheetData sheetId="2"/>
      <sheetData sheetId="3"/>
    </sheetDataSet>
  </externalBook>
</externalLink>
</file>

<file path=xl/externalLinks/externalLink1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Summary"/>
      <sheetName val="Sheet1"/>
      <sheetName val="Sheet2"/>
      <sheetName val="Sheet3"/>
    </sheetNames>
    <sheetDataSet>
      <sheetData sheetId="0">
        <row r="219">
          <cell r="Q219">
            <v>82.72</v>
          </cell>
        </row>
        <row r="236">
          <cell r="F236">
            <v>82.25</v>
          </cell>
        </row>
        <row r="239">
          <cell r="F239">
            <v>1.2261</v>
          </cell>
        </row>
        <row r="241">
          <cell r="F241">
            <v>54.776666666666664</v>
          </cell>
        </row>
      </sheetData>
      <sheetData sheetId="1" refreshError="1"/>
      <sheetData sheetId="2" refreshError="1"/>
      <sheetData sheetId="3" refreshError="1"/>
    </sheetDataSet>
  </externalBook>
</externalLink>
</file>

<file path=xl/externalLinks/externalLink1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Summary"/>
      <sheetName val="Sheet1"/>
      <sheetName val="Sheet2"/>
      <sheetName val="Sheet3"/>
    </sheetNames>
    <sheetDataSet>
      <sheetData sheetId="0">
        <row r="236">
          <cell r="I236">
            <v>82.037499999999994</v>
          </cell>
          <cell r="J236">
            <v>82.195000000000007</v>
          </cell>
        </row>
        <row r="239">
          <cell r="J239">
            <v>1.2528666666666666</v>
          </cell>
        </row>
        <row r="241">
          <cell r="J241">
            <v>55.576666666666675</v>
          </cell>
        </row>
      </sheetData>
      <sheetData sheetId="1" refreshError="1"/>
      <sheetData sheetId="2" refreshError="1"/>
      <sheetData sheetId="3" refreshError="1"/>
    </sheetDataSet>
  </externalBook>
</externalLink>
</file>

<file path=xl/externalLinks/externalLink1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Summary"/>
      <sheetName val="Sheet1"/>
      <sheetName val="Sheet2"/>
      <sheetName val="Sheet3"/>
    </sheetNames>
    <sheetDataSet>
      <sheetData sheetId="0">
        <row r="236">
          <cell r="M236">
            <v>83.04</v>
          </cell>
          <cell r="N236">
            <v>82.69</v>
          </cell>
        </row>
        <row r="239">
          <cell r="N239">
            <v>1.2577</v>
          </cell>
        </row>
        <row r="241">
          <cell r="N241">
            <v>56.016666666666673</v>
          </cell>
        </row>
      </sheetData>
      <sheetData sheetId="1"/>
      <sheetData sheetId="2"/>
      <sheetData sheetId="3"/>
    </sheetDataSet>
  </externalBook>
</externalLink>
</file>

<file path=xl/externalLinks/externalLink1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Summary"/>
      <sheetName val="Sheet1"/>
      <sheetName val="Sheet2"/>
      <sheetName val="Sheet3"/>
    </sheetNames>
    <sheetDataSet>
      <sheetData sheetId="0">
        <row r="224">
          <cell r="Q224">
            <v>55.755000000000003</v>
          </cell>
        </row>
        <row r="236">
          <cell r="T236">
            <v>83.28416666666665</v>
          </cell>
          <cell r="U236">
            <v>82.604791666666657</v>
          </cell>
        </row>
        <row r="239">
          <cell r="T239">
            <v>1.2513666666666665</v>
          </cell>
          <cell r="U239">
            <v>1.2470083333333333</v>
          </cell>
        </row>
        <row r="241">
          <cell r="T241">
            <v>55.861666666666672</v>
          </cell>
          <cell r="U241">
            <v>55.557916666666664</v>
          </cell>
        </row>
      </sheetData>
      <sheetData sheetId="1"/>
      <sheetData sheetId="2"/>
      <sheetData sheetId="3"/>
    </sheetDataSet>
  </externalBook>
</externalLink>
</file>

<file path=xl/externalLinks/externalLink1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Summary"/>
      <sheetName val="Sheet1"/>
      <sheetName val="Sheet2"/>
      <sheetName val="Sheet3"/>
    </sheetNames>
    <sheetDataSet>
      <sheetData sheetId="0">
        <row r="236">
          <cell r="E236">
            <v>83.4</v>
          </cell>
          <cell r="F236">
            <v>83.118333333333325</v>
          </cell>
        </row>
        <row r="239">
          <cell r="F239">
            <v>1.2652666666666665</v>
          </cell>
        </row>
        <row r="241">
          <cell r="F241">
            <v>56.241666666666667</v>
          </cell>
        </row>
      </sheetData>
      <sheetData sheetId="1" refreshError="1"/>
      <sheetData sheetId="2" refreshError="1"/>
      <sheetData sheetId="3" refreshError="1"/>
    </sheetDataSet>
  </externalBook>
</externalLink>
</file>

<file path=xl/externalLinks/externalLink1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Summary"/>
      <sheetName val="Sheet1"/>
      <sheetName val="Sheet2"/>
      <sheetName val="Sheet3"/>
    </sheetNames>
    <sheetDataSet>
      <sheetData sheetId="0">
        <row r="219">
          <cell r="Q219">
            <v>83.207499999999996</v>
          </cell>
        </row>
        <row r="236">
          <cell r="J236">
            <v>83.423333333333332</v>
          </cell>
        </row>
        <row r="239">
          <cell r="J239">
            <v>1.2634666666666667</v>
          </cell>
        </row>
        <row r="241">
          <cell r="J241">
            <v>58.293333333333329</v>
          </cell>
        </row>
      </sheetData>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S"/>
      <sheetName val="Diluted EPS-YTD"/>
      <sheetName val="EPS workings"/>
      <sheetName val="Weighted Avg - QTD"/>
      <sheetName val="Weighted Avg - YTD"/>
      <sheetName val="Dilutive effect Q2'22"/>
      <sheetName val="Dilutive effect Q2'21"/>
      <sheetName val="EXL Qtry stock price"/>
      <sheetName val="Dilutive effect Q1'21"/>
      <sheetName val="Dilutive effect Q1'22"/>
      <sheetName val="Dilutive effect Q4'22"/>
      <sheetName val="Dilutive effect Q3'22"/>
      <sheetName val="Recon of common stock"/>
      <sheetName val="Options-Disclosure"/>
      <sheetName val="RSU-Disclosure"/>
      <sheetName val="Weighted Avg Assumptions"/>
      <sheetName val="PRSU-Disclosure"/>
      <sheetName val="Available Pool New"/>
    </sheetNames>
    <sheetDataSet>
      <sheetData sheetId="0">
        <row r="7">
          <cell r="C7">
            <v>4.2894452038804287</v>
          </cell>
        </row>
        <row r="15">
          <cell r="B15">
            <v>33241208</v>
          </cell>
          <cell r="C15">
            <v>33330317</v>
          </cell>
        </row>
        <row r="16">
          <cell r="B16">
            <v>33835497</v>
          </cell>
          <cell r="C16">
            <v>33833858</v>
          </cell>
        </row>
      </sheetData>
      <sheetData sheetId="1"/>
      <sheetData sheetId="2">
        <row r="21">
          <cell r="B21">
            <v>566</v>
          </cell>
        </row>
      </sheetData>
      <sheetData sheetId="3"/>
      <sheetData sheetId="4"/>
      <sheetData sheetId="5"/>
      <sheetData sheetId="6"/>
      <sheetData sheetId="7"/>
      <sheetData sheetId="8"/>
      <sheetData sheetId="9"/>
      <sheetData sheetId="10"/>
      <sheetData sheetId="11"/>
      <sheetData sheetId="12"/>
      <sheetData sheetId="13">
        <row r="5">
          <cell r="B5">
            <v>0</v>
          </cell>
        </row>
      </sheetData>
      <sheetData sheetId="14">
        <row r="8">
          <cell r="B8">
            <v>358764</v>
          </cell>
        </row>
      </sheetData>
      <sheetData sheetId="15"/>
      <sheetData sheetId="16">
        <row r="8">
          <cell r="B8">
            <v>53122</v>
          </cell>
        </row>
      </sheetData>
      <sheetData sheetId="17">
        <row r="503">
          <cell r="E503">
            <v>1324755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napshot- 10K Checks"/>
      <sheetName val="Master Sheet"/>
      <sheetName val="Index"/>
      <sheetName val="Balance Sheets"/>
      <sheetName val="Statements of Income"/>
      <sheetName val="Reclass Adjustment"/>
      <sheetName val="SCI"/>
      <sheetName val="SCI (Tax grossing)"/>
      <sheetName val="AOCI"/>
      <sheetName val="AOCI (Tax grossing)"/>
      <sheetName val="Shareholders Equity Q2'20 (9M)"/>
      <sheetName val="Shareholders Equity Q3'17"/>
      <sheetName val="Shareholders Equity 10K "/>
      <sheetName val="Shareholders Equity Q2'20 (3M)"/>
      <sheetName val="Statements of Cash Flow"/>
      <sheetName val="3. Quarterly Financial Data"/>
      <sheetName val="Other income (expense), net"/>
      <sheetName val="Cash &amp; cash equivalent"/>
      <sheetName val="CL,NCL,OCA &amp; OA"/>
      <sheetName val="Revenues,Net"/>
      <sheetName val="EPS"/>
      <sheetName val="MD&amp;A Section- Three months"/>
      <sheetName val="Segment Information "/>
      <sheetName val="Statement of opts data(Item 6)"/>
      <sheetName val="Geographical"/>
      <sheetName val="Reimb Revenue- Unbilled"/>
      <sheetName val="MD&amp;A Section- Year End"/>
      <sheetName val="Data - 8K"/>
      <sheetName val="Pro forma (Bus. Com (1)"/>
      <sheetName val="Business Com (2)"/>
      <sheetName val="Business Com"/>
      <sheetName val="Goodwill (2)"/>
      <sheetName val="Goodwill"/>
      <sheetName val="Intangibles"/>
      <sheetName val="MD&amp;A Section- Three Months End"/>
      <sheetName val="MD&amp;A Section- Nine Months End"/>
      <sheetName val="Goodwill &amp; Intangibles"/>
      <sheetName val="Emp Benefits"/>
      <sheetName val="6. Fair Value Measurements"/>
      <sheetName val="Derivatives 1"/>
      <sheetName val="Derivatives 3"/>
      <sheetName val="Derivatives 2 (b)"/>
      <sheetName val="Derivatives 1 "/>
      <sheetName val="Derivatives 2 (a)"/>
      <sheetName val="Derivatives 2 (b) "/>
      <sheetName val="FA"/>
      <sheetName val="Lease disclosure"/>
      <sheetName val="12. Leases"/>
      <sheetName val="Income Tax"/>
      <sheetName val="Contractual Obligati &amp; Note 19 "/>
      <sheetName val="Contingencies"/>
      <sheetName val="Sheet1"/>
      <sheetName val="MD&amp;A"/>
      <sheetName val="MD&amp;A (9m)"/>
      <sheetName val="MD&amp;A (PY)"/>
      <sheetName val="Liquidity &amp; CR"/>
      <sheetName val="Item 2"/>
      <sheetName val="18. Capital Structure"/>
      <sheetName val="21. Stock Based Compensation"/>
      <sheetName val="Borrowings &amp; Credit Arrangement"/>
      <sheetName val="Commitment &amp; Contingencies"/>
      <sheetName val="Equity compensation plan Item 5"/>
      <sheetName val="24. Impairment &amp; Restructuring"/>
      <sheetName val="High and Low"/>
    </sheetNames>
    <sheetDataSet>
      <sheetData sheetId="0">
        <row r="52">
          <cell r="B52">
            <v>-87509</v>
          </cell>
        </row>
      </sheetData>
      <sheetData sheetId="1">
        <row r="8">
          <cell r="B8" t="str">
            <v>Twelve months ended December 31,</v>
          </cell>
        </row>
      </sheetData>
      <sheetData sheetId="2"/>
      <sheetData sheetId="3">
        <row r="9">
          <cell r="C9">
            <v>218530</v>
          </cell>
        </row>
        <row r="10">
          <cell r="C10">
            <v>184286</v>
          </cell>
        </row>
        <row r="11">
          <cell r="C11">
            <v>4690</v>
          </cell>
        </row>
        <row r="12">
          <cell r="C12">
            <v>147635</v>
          </cell>
        </row>
        <row r="13">
          <cell r="C13">
            <v>11344</v>
          </cell>
        </row>
        <row r="14">
          <cell r="C14">
            <v>5684</v>
          </cell>
        </row>
        <row r="15">
          <cell r="C15">
            <v>37109</v>
          </cell>
        </row>
        <row r="17">
          <cell r="C17">
            <v>92875</v>
          </cell>
        </row>
        <row r="18">
          <cell r="C18">
            <v>91918</v>
          </cell>
        </row>
        <row r="19">
          <cell r="C19">
            <v>2299</v>
          </cell>
        </row>
        <row r="20">
          <cell r="C20">
            <v>7749</v>
          </cell>
        </row>
        <row r="21">
          <cell r="C21">
            <v>59594</v>
          </cell>
        </row>
        <row r="22">
          <cell r="C22">
            <v>349088</v>
          </cell>
        </row>
        <row r="23">
          <cell r="C23">
            <v>32099</v>
          </cell>
        </row>
        <row r="24">
          <cell r="C24">
            <v>2957</v>
          </cell>
        </row>
        <row r="28">
          <cell r="C28">
            <v>6992</v>
          </cell>
        </row>
        <row r="29">
          <cell r="C29">
            <v>25000</v>
          </cell>
        </row>
        <row r="30">
          <cell r="C30">
            <v>32649</v>
          </cell>
        </row>
        <row r="31">
          <cell r="C31">
            <v>67645</v>
          </cell>
        </row>
        <row r="32">
          <cell r="C32">
            <v>66410</v>
          </cell>
        </row>
        <row r="33">
          <cell r="C33">
            <v>18894</v>
          </cell>
        </row>
        <row r="34">
          <cell r="C34">
            <v>3488</v>
          </cell>
        </row>
        <row r="37">
          <cell r="C37">
            <v>201961</v>
          </cell>
        </row>
        <row r="39">
          <cell r="C39">
            <v>1790</v>
          </cell>
        </row>
        <row r="40">
          <cell r="C40">
            <v>847</v>
          </cell>
        </row>
        <row r="41">
          <cell r="C41">
            <v>84874</v>
          </cell>
        </row>
        <row r="42">
          <cell r="C42">
            <v>18135</v>
          </cell>
        </row>
        <row r="47">
          <cell r="C47">
            <v>39</v>
          </cell>
        </row>
        <row r="48">
          <cell r="C48">
            <v>420976</v>
          </cell>
        </row>
        <row r="49">
          <cell r="C49">
            <v>641379</v>
          </cell>
        </row>
        <row r="50">
          <cell r="C50">
            <v>-74984</v>
          </cell>
        </row>
        <row r="52">
          <cell r="C52">
            <v>-268238</v>
          </cell>
        </row>
      </sheetData>
      <sheetData sheetId="4">
        <row r="7">
          <cell r="J7">
            <v>958434</v>
          </cell>
        </row>
        <row r="8">
          <cell r="J8">
            <v>623936</v>
          </cell>
        </row>
        <row r="11">
          <cell r="J11">
            <v>113891</v>
          </cell>
        </row>
        <row r="12">
          <cell r="J12">
            <v>60123</v>
          </cell>
        </row>
        <row r="13">
          <cell r="J13">
            <v>50462</v>
          </cell>
        </row>
        <row r="14">
          <cell r="J14">
            <v>0</v>
          </cell>
        </row>
        <row r="17">
          <cell r="J17">
            <v>4432</v>
          </cell>
        </row>
        <row r="18">
          <cell r="J18">
            <v>-11190</v>
          </cell>
        </row>
        <row r="19">
          <cell r="J19">
            <v>12065</v>
          </cell>
        </row>
        <row r="21">
          <cell r="J21">
            <v>25626</v>
          </cell>
        </row>
        <row r="23">
          <cell r="J23">
            <v>227</v>
          </cell>
        </row>
      </sheetData>
      <sheetData sheetId="5">
        <row r="4">
          <cell r="A4" t="str">
            <v>Balance as on Dec 31, 2019</v>
          </cell>
        </row>
      </sheetData>
      <sheetData sheetId="6"/>
      <sheetData sheetId="7">
        <row r="4">
          <cell r="J4">
            <v>89476</v>
          </cell>
        </row>
      </sheetData>
      <sheetData sheetId="8"/>
      <sheetData sheetId="9">
        <row r="17">
          <cell r="B17">
            <v>-84105</v>
          </cell>
        </row>
      </sheetData>
      <sheetData sheetId="10"/>
      <sheetData sheetId="11"/>
      <sheetData sheetId="12">
        <row r="30">
          <cell r="B30">
            <v>36790751</v>
          </cell>
        </row>
      </sheetData>
      <sheetData sheetId="13"/>
      <sheetData sheetId="14">
        <row r="7">
          <cell r="C7">
            <v>89476</v>
          </cell>
        </row>
        <row r="9">
          <cell r="C9">
            <v>50513</v>
          </cell>
        </row>
        <row r="10">
          <cell r="C10">
            <v>28235</v>
          </cell>
        </row>
        <row r="11">
          <cell r="C11">
            <v>27146</v>
          </cell>
        </row>
        <row r="12">
          <cell r="C12">
            <v>-7174</v>
          </cell>
        </row>
        <row r="13">
          <cell r="C13">
            <v>402</v>
          </cell>
        </row>
        <row r="14">
          <cell r="C14">
            <v>2697</v>
          </cell>
        </row>
        <row r="15">
          <cell r="C15">
            <v>297</v>
          </cell>
        </row>
        <row r="16">
          <cell r="C16">
            <v>227</v>
          </cell>
        </row>
        <row r="18">
          <cell r="C18">
            <v>0</v>
          </cell>
        </row>
        <row r="21">
          <cell r="C21">
            <v>24696</v>
          </cell>
        </row>
        <row r="22">
          <cell r="C22">
            <v>-5133</v>
          </cell>
        </row>
        <row r="23">
          <cell r="C23">
            <v>696</v>
          </cell>
        </row>
        <row r="24">
          <cell r="C24">
            <v>6505</v>
          </cell>
        </row>
        <row r="25">
          <cell r="C25">
            <v>243</v>
          </cell>
        </row>
        <row r="26">
          <cell r="C26">
            <v>18222</v>
          </cell>
        </row>
        <row r="27">
          <cell r="C27">
            <v>335</v>
          </cell>
        </row>
        <row r="28">
          <cell r="C28">
            <v>-9895</v>
          </cell>
        </row>
        <row r="29">
          <cell r="C29">
            <v>-26589</v>
          </cell>
        </row>
        <row r="32">
          <cell r="C32">
            <v>-42224</v>
          </cell>
          <cell r="E32">
            <v>-40545</v>
          </cell>
          <cell r="G32">
            <v>-40789</v>
          </cell>
        </row>
        <row r="33">
          <cell r="C33">
            <v>916</v>
          </cell>
          <cell r="E33">
            <v>407</v>
          </cell>
          <cell r="G33">
            <v>352</v>
          </cell>
        </row>
        <row r="34">
          <cell r="C34">
            <v>-700</v>
          </cell>
        </row>
        <row r="35">
          <cell r="C35">
            <v>0</v>
          </cell>
        </row>
        <row r="36">
          <cell r="C36">
            <v>0</v>
          </cell>
        </row>
        <row r="37">
          <cell r="C37">
            <v>-102462</v>
          </cell>
        </row>
        <row r="38">
          <cell r="C38">
            <v>126154</v>
          </cell>
        </row>
        <row r="41">
          <cell r="C41">
            <v>-249</v>
          </cell>
        </row>
        <row r="42">
          <cell r="C42">
            <v>110000</v>
          </cell>
        </row>
        <row r="43">
          <cell r="C43">
            <v>-120867</v>
          </cell>
        </row>
        <row r="44">
          <cell r="C44">
            <v>0</v>
          </cell>
        </row>
        <row r="48">
          <cell r="C48">
            <v>0</v>
          </cell>
        </row>
        <row r="49">
          <cell r="C49">
            <v>-79949</v>
          </cell>
        </row>
        <row r="50">
          <cell r="C50">
            <v>1501</v>
          </cell>
        </row>
        <row r="52">
          <cell r="C52">
            <v>3382</v>
          </cell>
        </row>
      </sheetData>
      <sheetData sheetId="15">
        <row r="6">
          <cell r="B6">
            <v>245990</v>
          </cell>
        </row>
      </sheetData>
      <sheetData sheetId="16">
        <row r="4">
          <cell r="I4">
            <v>2595</v>
          </cell>
        </row>
      </sheetData>
      <sheetData sheetId="17">
        <row r="5">
          <cell r="C5">
            <v>218530</v>
          </cell>
        </row>
      </sheetData>
      <sheetData sheetId="18">
        <row r="7">
          <cell r="C7">
            <v>39951</v>
          </cell>
        </row>
      </sheetData>
      <sheetData sheetId="19">
        <row r="5">
          <cell r="C5">
            <v>147635</v>
          </cell>
        </row>
      </sheetData>
      <sheetData sheetId="20">
        <row r="7">
          <cell r="K7">
            <v>89476</v>
          </cell>
        </row>
      </sheetData>
      <sheetData sheetId="21"/>
      <sheetData sheetId="22">
        <row r="6">
          <cell r="B6">
            <v>341770</v>
          </cell>
          <cell r="C6">
            <v>101315</v>
          </cell>
          <cell r="D6">
            <v>152670</v>
          </cell>
          <cell r="E6">
            <v>362679</v>
          </cell>
        </row>
        <row r="8">
          <cell r="B8">
            <v>109886</v>
          </cell>
          <cell r="C8">
            <v>28172</v>
          </cell>
          <cell r="D8">
            <v>63211</v>
          </cell>
          <cell r="E8">
            <v>133229</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B4">
            <v>38203</v>
          </cell>
        </row>
        <row r="59">
          <cell r="B59">
            <v>14412</v>
          </cell>
        </row>
      </sheetData>
      <sheetData sheetId="37">
        <row r="7">
          <cell r="I7">
            <v>2706</v>
          </cell>
        </row>
      </sheetData>
      <sheetData sheetId="38">
        <row r="7">
          <cell r="B7">
            <v>160441</v>
          </cell>
        </row>
      </sheetData>
      <sheetData sheetId="39"/>
      <sheetData sheetId="40"/>
      <sheetData sheetId="41">
        <row r="6">
          <cell r="C6">
            <v>12665</v>
          </cell>
        </row>
      </sheetData>
      <sheetData sheetId="42">
        <row r="4">
          <cell r="D4">
            <v>9740</v>
          </cell>
        </row>
      </sheetData>
      <sheetData sheetId="43"/>
      <sheetData sheetId="44">
        <row r="6">
          <cell r="C6">
            <v>12665</v>
          </cell>
        </row>
      </sheetData>
      <sheetData sheetId="45">
        <row r="6">
          <cell r="E6">
            <v>107109</v>
          </cell>
        </row>
      </sheetData>
      <sheetData sheetId="46">
        <row r="4">
          <cell r="C4">
            <v>91918</v>
          </cell>
        </row>
      </sheetData>
      <sheetData sheetId="47"/>
      <sheetData sheetId="48">
        <row r="9">
          <cell r="G9">
            <v>30893</v>
          </cell>
        </row>
      </sheetData>
      <sheetData sheetId="49">
        <row r="9">
          <cell r="D9">
            <v>0.3</v>
          </cell>
        </row>
      </sheetData>
      <sheetData sheetId="50"/>
      <sheetData sheetId="51"/>
      <sheetData sheetId="52"/>
      <sheetData sheetId="53"/>
      <sheetData sheetId="54"/>
      <sheetData sheetId="55">
        <row r="5">
          <cell r="C5">
            <v>127</v>
          </cell>
        </row>
      </sheetData>
      <sheetData sheetId="56"/>
      <sheetData sheetId="57">
        <row r="4">
          <cell r="F4">
            <v>28052</v>
          </cell>
        </row>
      </sheetData>
      <sheetData sheetId="58">
        <row r="4">
          <cell r="B4">
            <v>6300</v>
          </cell>
        </row>
        <row r="7">
          <cell r="B7">
            <v>28235</v>
          </cell>
        </row>
      </sheetData>
      <sheetData sheetId="59">
        <row r="4">
          <cell r="D4">
            <v>200000</v>
          </cell>
        </row>
      </sheetData>
      <sheetData sheetId="60">
        <row r="6">
          <cell r="B6">
            <v>6100</v>
          </cell>
        </row>
      </sheetData>
      <sheetData sheetId="61"/>
      <sheetData sheetId="62"/>
      <sheetData sheetId="6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S"/>
      <sheetName val="Diluted EPS-YTD"/>
      <sheetName val="EPS workings"/>
      <sheetName val="Weighted Avg - QTD"/>
      <sheetName val="Weighted Avg - YTD"/>
      <sheetName val="Dilutive effect Q2'22"/>
      <sheetName val="Dilutive effect Q2'21"/>
      <sheetName val="EXL Qtry stock price"/>
      <sheetName val="Dilutive effect Q1'21"/>
      <sheetName val="Dilutive effect Q1'22"/>
      <sheetName val="Dilutive effect Q1'23"/>
      <sheetName val="Dilutive effect Q3'22"/>
      <sheetName val="Recon of common stock"/>
      <sheetName val="Options-Disclosure"/>
      <sheetName val="RSU-Disclosure"/>
      <sheetName val="Weighted Avg Assumptions"/>
      <sheetName val="PRSU-Disclosure"/>
      <sheetName val="Available Pool New"/>
    </sheetNames>
    <sheetDataSet>
      <sheetData sheetId="0" refreshError="1">
        <row r="9">
          <cell r="B9">
            <v>33439564</v>
          </cell>
          <cell r="C9">
            <v>33439564</v>
          </cell>
        </row>
        <row r="10">
          <cell r="C10">
            <v>33931480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S"/>
      <sheetName val="Diluted EPS-YTD"/>
      <sheetName val="EPS workings"/>
      <sheetName val="Weighted Avg - QTD"/>
      <sheetName val="Weighted Avg - YTD"/>
      <sheetName val="Dilutive effect Q2'22"/>
      <sheetName val="Dilutive effect Q2'21"/>
      <sheetName val="EXL Qtry stock price"/>
      <sheetName val="Dilutive effect Q1'21"/>
      <sheetName val="Dilutive effect Q1'22"/>
      <sheetName val="Dilutive effect Q2'23"/>
      <sheetName val="Dilutive effect Q1'23"/>
      <sheetName val="Dilutive effect Q3'22"/>
      <sheetName val="Recon of common stock"/>
      <sheetName val="Options-Disclosure"/>
      <sheetName val="RSU-Disclosure"/>
      <sheetName val="Weighted Avg Assumptions"/>
      <sheetName val="PRSU-Disclosure"/>
      <sheetName val="Available Pool New"/>
    </sheetNames>
    <sheetDataSet>
      <sheetData sheetId="0" refreshError="1">
        <row r="9">
          <cell r="B9">
            <v>33355354</v>
          </cell>
        </row>
        <row r="10">
          <cell r="B10">
            <v>33688449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S"/>
      <sheetName val="Diluted EPS-YTD"/>
      <sheetName val="EPS workings"/>
      <sheetName val="Weighted Avg - QTD"/>
      <sheetName val="Weighted Avg - YTD"/>
      <sheetName val="Dilutive effect Q2'22"/>
      <sheetName val="Dilutive effect Q2'21"/>
      <sheetName val="EXL Qtry stock price"/>
      <sheetName val="Dilutive effect Q1'21"/>
      <sheetName val="Dilutive effect Q1'22"/>
      <sheetName val="Dilutive effect Q3'23"/>
      <sheetName val="Dilutive effect Q2'23"/>
      <sheetName val="Dilutive effect Q1'23"/>
      <sheetName val="Recon of common stock"/>
      <sheetName val="Options-Disclosure"/>
      <sheetName val="RSU-Disclosure"/>
      <sheetName val="Weighted Avg Assumptions"/>
      <sheetName val="PRSU-Disclosure"/>
      <sheetName val="Available Pool New"/>
    </sheetNames>
    <sheetDataSet>
      <sheetData sheetId="0">
        <row r="9">
          <cell r="C9">
            <v>166159619</v>
          </cell>
        </row>
        <row r="10">
          <cell r="C10">
            <v>167688374</v>
          </cell>
        </row>
      </sheetData>
      <sheetData sheetId="1"/>
      <sheetData sheetId="2">
        <row r="18">
          <cell r="B18">
            <v>2899034.836956522</v>
          </cell>
        </row>
      </sheetData>
      <sheetData sheetId="3"/>
      <sheetData sheetId="4"/>
      <sheetData sheetId="5"/>
      <sheetData sheetId="6"/>
      <sheetData sheetId="7"/>
      <sheetData sheetId="8"/>
      <sheetData sheetId="9"/>
      <sheetData sheetId="10"/>
      <sheetData sheetId="11"/>
      <sheetData sheetId="12"/>
      <sheetData sheetId="13"/>
      <sheetData sheetId="14">
        <row r="5">
          <cell r="B5">
            <v>1790695</v>
          </cell>
        </row>
      </sheetData>
      <sheetData sheetId="15">
        <row r="8">
          <cell r="B8">
            <v>1193615</v>
          </cell>
        </row>
      </sheetData>
      <sheetData sheetId="16"/>
      <sheetData sheetId="17">
        <row r="8">
          <cell r="B8">
            <v>219740</v>
          </cell>
        </row>
      </sheetData>
      <sheetData sheetId="1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S"/>
      <sheetName val="Diluted EPS-YTD"/>
      <sheetName val="EPS workings"/>
      <sheetName val="Weighted Avg - QTD"/>
      <sheetName val="Weighted Avg - YTD"/>
      <sheetName val="Dilutive effect Q2'22"/>
      <sheetName val="Dilutive effect Q2'21"/>
      <sheetName val="EXL Qtry stock price"/>
      <sheetName val="Dilutive effect Q1'21"/>
      <sheetName val="Dilutive effect Q1'22"/>
      <sheetName val="Recon of common stock"/>
      <sheetName val="Dilutive effect Q4'23"/>
      <sheetName val="Dilutive effect Q3'23"/>
      <sheetName val="Dilutive effect Q2'23"/>
      <sheetName val="Dilutive effect Q1'23"/>
      <sheetName val="Options-Disclosure"/>
      <sheetName val="RSU-Disclosure"/>
      <sheetName val="Weighted Avg Assumptions"/>
      <sheetName val="PRSU-Disclosure"/>
      <sheetName val="Available Pool New"/>
    </sheetNames>
    <sheetDataSet>
      <sheetData sheetId="0">
        <row r="9">
          <cell r="C9">
            <v>165254017</v>
          </cell>
          <cell r="D9">
            <v>166341213</v>
          </cell>
        </row>
        <row r="10">
          <cell r="C10">
            <v>166880836</v>
          </cell>
          <cell r="D10">
            <v>168160928</v>
          </cell>
        </row>
      </sheetData>
      <sheetData sheetId="1"/>
      <sheetData sheetId="2">
        <row r="21">
          <cell r="B21">
            <v>1628932</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
          <cell r="B5">
            <v>1790695</v>
          </cell>
        </row>
      </sheetData>
      <sheetData sheetId="16">
        <row r="8">
          <cell r="B8">
            <v>1258712</v>
          </cell>
        </row>
      </sheetData>
      <sheetData sheetId="17"/>
      <sheetData sheetId="18">
        <row r="8">
          <cell r="B8">
            <v>219740</v>
          </cell>
        </row>
      </sheetData>
      <sheetData sheetId="1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S"/>
      <sheetName val="Diluted EPS-YTD"/>
      <sheetName val="EPS workings"/>
      <sheetName val="ASR"/>
      <sheetName val="Weighted Avg - QTD"/>
      <sheetName val="Weighted Avg - YTD"/>
      <sheetName val="Dilutive effect Q2'22"/>
      <sheetName val="Dilutive effect Q2'21"/>
      <sheetName val="EXL Qtry stock price"/>
      <sheetName val="Dilutive effect Q1'21"/>
      <sheetName val="Dilutive effect Q1'22"/>
      <sheetName val="Dilutive effect Q4'23"/>
      <sheetName val="Dilutive effect Q3'23"/>
      <sheetName val="Dilutive effect Q2'23"/>
      <sheetName val="Dilutive effect Q1'24"/>
      <sheetName val="Recon of common stock"/>
      <sheetName val="Options-Disclosure"/>
      <sheetName val="RSU-Disclosure"/>
      <sheetName val="Weighted Avg Assumptions"/>
      <sheetName val="PRSU-Disclosure"/>
      <sheetName val="Available Pool New"/>
    </sheetNames>
    <sheetDataSet>
      <sheetData sheetId="0">
        <row r="9">
          <cell r="C9">
            <v>165082387</v>
          </cell>
        </row>
        <row r="10">
          <cell r="C10">
            <v>166726853</v>
          </cell>
        </row>
      </sheetData>
      <sheetData sheetId="1"/>
      <sheetData sheetId="2">
        <row r="21">
          <cell r="B21">
            <v>3181304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ow r="5">
          <cell r="B5">
            <v>0</v>
          </cell>
        </row>
      </sheetData>
      <sheetData sheetId="17">
        <row r="8">
          <cell r="B8">
            <v>1410824</v>
          </cell>
        </row>
      </sheetData>
      <sheetData sheetId="18"/>
      <sheetData sheetId="19">
        <row r="8">
          <cell r="B8">
            <v>344535</v>
          </cell>
        </row>
      </sheetData>
      <sheetData sheetId="2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S"/>
      <sheetName val="Diluted EPS-YTD"/>
      <sheetName val="EPS workings"/>
      <sheetName val="ASR - Q1"/>
      <sheetName val="ASR - Q2"/>
      <sheetName val="Weighted Avg - QTD"/>
      <sheetName val="Weighted Avg - YTD"/>
      <sheetName val="EXL Qtry stock price"/>
      <sheetName val="Dilutive effect Q4'23"/>
      <sheetName val="Dilutive effect Q3'23"/>
      <sheetName val="Dilutive effect Q2'24"/>
      <sheetName val="Dilutive effect Q1'24"/>
      <sheetName val="Recon of common stock"/>
      <sheetName val="Options-Disclosure"/>
      <sheetName val="RSU-Disclosure"/>
      <sheetName val="PRSU-Disclosure"/>
      <sheetName val="Available Pool New"/>
    </sheetNames>
    <sheetDataSet>
      <sheetData sheetId="0">
        <row r="9">
          <cell r="C9">
            <v>162794138</v>
          </cell>
        </row>
        <row r="10">
          <cell r="C10">
            <v>163961754</v>
          </cell>
        </row>
      </sheetData>
      <sheetData sheetId="1"/>
      <sheetData sheetId="2">
        <row r="17">
          <cell r="B17">
            <v>3314536</v>
          </cell>
        </row>
      </sheetData>
      <sheetData sheetId="3"/>
      <sheetData sheetId="4"/>
      <sheetData sheetId="5"/>
      <sheetData sheetId="6"/>
      <sheetData sheetId="7"/>
      <sheetData sheetId="8"/>
      <sheetData sheetId="9"/>
      <sheetData sheetId="10"/>
      <sheetData sheetId="11"/>
      <sheetData sheetId="12"/>
      <sheetData sheetId="13">
        <row r="5">
          <cell r="B5">
            <v>0</v>
          </cell>
        </row>
      </sheetData>
      <sheetData sheetId="14">
        <row r="8">
          <cell r="B8">
            <v>1526836</v>
          </cell>
        </row>
      </sheetData>
      <sheetData sheetId="15">
        <row r="8">
          <cell r="B8">
            <v>344535</v>
          </cell>
        </row>
      </sheetData>
      <sheetData sheetId="1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sheetName val="Entries"/>
      <sheetName val="BS 2022"/>
      <sheetName val="Manual Reclass"/>
      <sheetName val="Prov and Advance knock off "/>
      <sheetName val="SEC P &amp; L YTD"/>
      <sheetName val="SEC P &amp; L Q3 22"/>
      <sheetName val="SEC P &amp; L Q2 22"/>
      <sheetName val="SEC P &amp; L Q1 22"/>
      <sheetName val="SEC P &amp; L Q4 22"/>
      <sheetName val="SEC P &amp; L Dec 22"/>
      <sheetName val="SEC P &amp; L Nov 22"/>
      <sheetName val="SEC P &amp; L Oct 22"/>
      <sheetName val="SEC P &amp; L Sep 22"/>
      <sheetName val="SEC P &amp; L Aug 22"/>
      <sheetName val="SEC P &amp; L Jul 22"/>
      <sheetName val="SEC P &amp; L Jun 22"/>
      <sheetName val="SEC P &amp; L May 22"/>
      <sheetName val="SEC P &amp; L Apr 22"/>
      <sheetName val="SEC P &amp; L Mar 22"/>
      <sheetName val="SEC P &amp; L Feb 22"/>
      <sheetName val="SEC P &amp; L Jan 22"/>
      <sheetName val="BS Dump Sep 22"/>
      <sheetName val="BS_Dtl_Sep 22"/>
      <sheetName val="P&amp;L Jul 22"/>
      <sheetName val="P&amp;L Jan 22"/>
      <sheetName val="P&amp;L Feb 22"/>
      <sheetName val="P&amp;L Mar 22"/>
      <sheetName val="P&amp;L Apr 22"/>
      <sheetName val="P&amp;L May 22"/>
      <sheetName val="P&amp;L Nov 21"/>
      <sheetName val="P&amp;L Sep 22"/>
      <sheetName val="P&amp;L Aug 22"/>
      <sheetName val="P&amp;L Jun 22"/>
      <sheetName val="Detailed P&amp;L- PTD"/>
      <sheetName val="P&amp;L Oct 21"/>
      <sheetName val="P&amp;L Dec 21"/>
      <sheetName val="P&amp;L YTD 22"/>
      <sheetName val="Detailed P&amp;L- YTD"/>
      <sheetName val="Trial YTD"/>
      <sheetName val="Manual Entries"/>
    </sheetNames>
    <sheetDataSet>
      <sheetData sheetId="0"/>
      <sheetData sheetId="1"/>
      <sheetData sheetId="2">
        <row r="11">
          <cell r="B11">
            <v>5210885.6500000004</v>
          </cell>
        </row>
        <row r="15">
          <cell r="AO15">
            <v>648</v>
          </cell>
        </row>
        <row r="16">
          <cell r="AO16">
            <v>13723</v>
          </cell>
        </row>
        <row r="18">
          <cell r="AO18">
            <v>19040</v>
          </cell>
        </row>
        <row r="19">
          <cell r="AO19">
            <v>21098</v>
          </cell>
        </row>
        <row r="28">
          <cell r="AO28">
            <v>61193</v>
          </cell>
        </row>
        <row r="29">
          <cell r="AO29">
            <v>3369</v>
          </cell>
        </row>
        <row r="51">
          <cell r="AO51">
            <v>35153</v>
          </cell>
        </row>
        <row r="52">
          <cell r="AO52">
            <v>300</v>
          </cell>
        </row>
        <row r="53">
          <cell r="AO53">
            <v>1790</v>
          </cell>
        </row>
      </sheetData>
      <sheetData sheetId="3">
        <row r="42">
          <cell r="C42">
            <v>-164.43</v>
          </cell>
        </row>
      </sheetData>
      <sheetData sheetId="4"/>
      <sheetData sheetId="5">
        <row r="6">
          <cell r="AN6">
            <v>1037341376.36</v>
          </cell>
        </row>
      </sheetData>
      <sheetData sheetId="6">
        <row r="2">
          <cell r="A2" t="str">
            <v>EXL HOLDING &amp; ITS SUBSIDIARIES</v>
          </cell>
        </row>
      </sheetData>
      <sheetData sheetId="7"/>
      <sheetData sheetId="8"/>
      <sheetData sheetId="9"/>
      <sheetData sheetId="10"/>
      <sheetData sheetId="11"/>
      <sheetData sheetId="12"/>
      <sheetData sheetId="13">
        <row r="8">
          <cell r="C8">
            <v>14595773.68</v>
          </cell>
        </row>
      </sheetData>
      <sheetData sheetId="14"/>
      <sheetData sheetId="15"/>
      <sheetData sheetId="16"/>
      <sheetData sheetId="17"/>
      <sheetData sheetId="18"/>
      <sheetData sheetId="19"/>
      <sheetData sheetId="20"/>
      <sheetData sheetId="21"/>
      <sheetData sheetId="22">
        <row r="1">
          <cell r="A1" t="str">
            <v>EXL Holding RSOB</v>
          </cell>
        </row>
        <row r="48">
          <cell r="AL48">
            <v>31354695.710000001</v>
          </cell>
        </row>
      </sheetData>
      <sheetData sheetId="23">
        <row r="1">
          <cell r="B1" t="str">
            <v>EXL Holding RSOB</v>
          </cell>
        </row>
      </sheetData>
      <sheetData sheetId="24"/>
      <sheetData sheetId="25"/>
      <sheetData sheetId="26"/>
      <sheetData sheetId="27"/>
      <sheetData sheetId="28"/>
      <sheetData sheetId="29"/>
      <sheetData sheetId="30"/>
      <sheetData sheetId="31">
        <row r="307">
          <cell r="AL307">
            <v>-414566.94</v>
          </cell>
        </row>
      </sheetData>
      <sheetData sheetId="32"/>
      <sheetData sheetId="33"/>
      <sheetData sheetId="34"/>
      <sheetData sheetId="35"/>
      <sheetData sheetId="36"/>
      <sheetData sheetId="37">
        <row r="283">
          <cell r="AL283">
            <v>29118356.469999999</v>
          </cell>
        </row>
      </sheetData>
      <sheetData sheetId="38">
        <row r="1">
          <cell r="B1" t="str">
            <v>EXL Holding RSOB</v>
          </cell>
        </row>
      </sheetData>
      <sheetData sheetId="39">
        <row r="66">
          <cell r="AL66">
            <v>-6248349.6299999999</v>
          </cell>
        </row>
      </sheetData>
      <sheetData sheetId="4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sheetName val="Entries"/>
      <sheetName val="BS 2022"/>
      <sheetName val="Manual Reclass"/>
      <sheetName val="Prov and Advance knock off "/>
      <sheetName val="SEC P &amp; L YTD"/>
      <sheetName val="SEC P &amp; L Q4 22"/>
      <sheetName val="SEC P &amp; L Q3 22"/>
      <sheetName val="SEC P &amp; L Q2 22"/>
      <sheetName val="SEC P &amp; L Q1 22"/>
      <sheetName val="SEC P &amp; L Dec 22"/>
      <sheetName val="SEC P &amp; L Nov 22"/>
      <sheetName val="SEC P &amp; L Oct 22"/>
      <sheetName val="SEC P &amp; L Sep 22"/>
      <sheetName val="SEC P &amp; L Aug 22"/>
      <sheetName val="SEC P &amp; L Jul 22"/>
      <sheetName val="SEC P &amp; L Jun 22"/>
      <sheetName val="SEC P &amp; L May 22"/>
      <sheetName val="SEC P &amp; L Apr 22"/>
      <sheetName val="SEC P &amp; L Mar 22"/>
      <sheetName val="SEC P &amp; L Feb 22"/>
      <sheetName val="SEC P &amp; L Jan 22"/>
      <sheetName val="BS Dump Dec 22"/>
      <sheetName val="BS_Dtl_Dec 22"/>
      <sheetName val="P&amp;L Jul 22"/>
      <sheetName val="P&amp;L Jan 22"/>
      <sheetName val="P&amp;L Feb 22"/>
      <sheetName val="P&amp;L Mar 22"/>
      <sheetName val="P&amp;L Apr 22"/>
      <sheetName val="P&amp;L May 22"/>
      <sheetName val="P&amp;L Nov 22"/>
      <sheetName val="P&amp;L Sep 22"/>
      <sheetName val="P&amp;L Aug 22"/>
      <sheetName val="P&amp;L Jun 22"/>
      <sheetName val="P&amp;L Oct 22"/>
      <sheetName val="P&amp;L Dec 22"/>
      <sheetName val="Detailed P&amp;L- PTD"/>
      <sheetName val="P&amp;L YTD 22"/>
      <sheetName val="Detailed P&amp;L- YTD"/>
      <sheetName val="Trial YTD"/>
      <sheetName val="Manual Entries"/>
    </sheetNames>
    <sheetDataSet>
      <sheetData sheetId="0">
        <row r="15">
          <cell r="D15">
            <v>0.23179383316281382</v>
          </cell>
        </row>
      </sheetData>
      <sheetData sheetId="1"/>
      <sheetData sheetId="2">
        <row r="1">
          <cell r="A1" t="str">
            <v>ExlService Holdings Consolidated</v>
          </cell>
        </row>
        <row r="16">
          <cell r="AM16">
            <v>50979280.609464377</v>
          </cell>
        </row>
        <row r="50">
          <cell r="AM50">
            <v>41291623.049999997</v>
          </cell>
        </row>
      </sheetData>
      <sheetData sheetId="3">
        <row r="22">
          <cell r="G22">
            <v>2945474.12</v>
          </cell>
        </row>
      </sheetData>
      <sheetData sheetId="4"/>
      <sheetData sheetId="5">
        <row r="6">
          <cell r="AN6">
            <v>1412043976.8099999</v>
          </cell>
        </row>
      </sheetData>
      <sheetData sheetId="6">
        <row r="2">
          <cell r="A2" t="str">
            <v>EXL HOLDING &amp; ITS SUBSIDIARIES</v>
          </cell>
        </row>
      </sheetData>
      <sheetData sheetId="7"/>
      <sheetData sheetId="8"/>
      <sheetData sheetId="9"/>
      <sheetData sheetId="10">
        <row r="28">
          <cell r="AO28">
            <v>4248</v>
          </cell>
        </row>
      </sheetData>
      <sheetData sheetId="11"/>
      <sheetData sheetId="12"/>
      <sheetData sheetId="13"/>
      <sheetData sheetId="14"/>
      <sheetData sheetId="15"/>
      <sheetData sheetId="16"/>
      <sheetData sheetId="17"/>
      <sheetData sheetId="18"/>
      <sheetData sheetId="19"/>
      <sheetData sheetId="20"/>
      <sheetData sheetId="21"/>
      <sheetData sheetId="22">
        <row r="1">
          <cell r="A1" t="str">
            <v>EXL Holding RSOB</v>
          </cell>
        </row>
        <row r="69">
          <cell r="AL69">
            <v>31341456.73</v>
          </cell>
        </row>
        <row r="70">
          <cell r="AL70">
            <v>3437983.26</v>
          </cell>
        </row>
      </sheetData>
      <sheetData sheetId="23">
        <row r="1">
          <cell r="B1" t="str">
            <v>EXL Holding RSOB</v>
          </cell>
        </row>
      </sheetData>
      <sheetData sheetId="24"/>
      <sheetData sheetId="25"/>
      <sheetData sheetId="26"/>
      <sheetData sheetId="27"/>
      <sheetData sheetId="28"/>
      <sheetData sheetId="29"/>
      <sheetData sheetId="30"/>
      <sheetData sheetId="31"/>
      <sheetData sheetId="32"/>
      <sheetData sheetId="33"/>
      <sheetData sheetId="34"/>
      <sheetData sheetId="35">
        <row r="307">
          <cell r="AL307">
            <v>-7664417.4800000004</v>
          </cell>
        </row>
      </sheetData>
      <sheetData sheetId="36">
        <row r="1">
          <cell r="A1" t="str">
            <v>EXL Holding RSOB</v>
          </cell>
        </row>
      </sheetData>
      <sheetData sheetId="37">
        <row r="39">
          <cell r="AL39">
            <v>11535291.91</v>
          </cell>
        </row>
      </sheetData>
      <sheetData sheetId="38">
        <row r="1">
          <cell r="B1" t="str">
            <v>EXL Holding RSOB</v>
          </cell>
        </row>
      </sheetData>
      <sheetData sheetId="39">
        <row r="66">
          <cell r="AL66">
            <v>-200149.69</v>
          </cell>
        </row>
      </sheetData>
      <sheetData sheetId="4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sheetName val="Entries"/>
      <sheetName val="BS 2023"/>
      <sheetName val="Manual Reclass"/>
      <sheetName val="Prov and Advance knock off "/>
      <sheetName val="SEC P &amp; L YTD"/>
      <sheetName val="SEC P &amp; L Q4 22"/>
      <sheetName val="SEC P &amp; L Q3 22"/>
      <sheetName val="SEC P &amp; L Q2 22"/>
      <sheetName val="SEC P &amp; L Q1 23"/>
      <sheetName val="SEC P &amp; L Dec 22"/>
      <sheetName val="SEC P &amp; L Nov 22"/>
      <sheetName val="SEC P &amp; L Oct 22"/>
      <sheetName val="SEC P &amp; L Sep 22"/>
      <sheetName val="SEC P &amp; L Aug 22"/>
      <sheetName val="SEC P &amp; L Jul 22"/>
      <sheetName val="SEC P &amp; L Jun 22"/>
      <sheetName val="SEC P &amp; L May 22"/>
      <sheetName val="SEC P &amp; L Apr 22"/>
      <sheetName val="SEC P &amp; L Mar 23"/>
      <sheetName val="SEC P &amp; L Feb 23"/>
      <sheetName val="SEC P &amp; L Jan 23"/>
      <sheetName val="BS Dump Mar 23"/>
      <sheetName val="BS_Dtl_Mar 23"/>
      <sheetName val="P&amp;L Jan 23"/>
      <sheetName val="P&amp;L Feb 23"/>
      <sheetName val="P&amp;L Mar 23"/>
      <sheetName val="P&amp;L Apr 22"/>
      <sheetName val="P&amp;L May 22"/>
      <sheetName val="P&amp;L Jun 22"/>
      <sheetName val="P&amp;L Jul 22"/>
      <sheetName val="P&amp;L Aug 22"/>
      <sheetName val="P&amp;L Sep 22"/>
      <sheetName val="P&amp;L Oct 22"/>
      <sheetName val="P&amp;L Nov 22"/>
      <sheetName val="P&amp;L Dec 22"/>
      <sheetName val="Detailed P&amp;L- PTD"/>
      <sheetName val="P&amp;L YTD 23"/>
      <sheetName val="Detailed P&amp;L- YTD"/>
      <sheetName val="Trial YTD"/>
      <sheetName val="Manual Entries"/>
    </sheetNames>
    <sheetDataSet>
      <sheetData sheetId="0">
        <row r="20">
          <cell r="D20">
            <v>0.13582769015484419</v>
          </cell>
        </row>
      </sheetData>
      <sheetData sheetId="1"/>
      <sheetData sheetId="2">
        <row r="1">
          <cell r="A1" t="str">
            <v>ExlService Holdings Consolidated</v>
          </cell>
        </row>
      </sheetData>
      <sheetData sheetId="3">
        <row r="22">
          <cell r="G22">
            <v>0</v>
          </cell>
        </row>
      </sheetData>
      <sheetData sheetId="4"/>
      <sheetData sheetId="5">
        <row r="6">
          <cell r="AN6">
            <v>400643057.95999998</v>
          </cell>
        </row>
      </sheetData>
      <sheetData sheetId="6"/>
      <sheetData sheetId="7"/>
      <sheetData sheetId="8"/>
      <sheetData sheetId="9">
        <row r="2">
          <cell r="A2" t="str">
            <v>EXL HOLDING &amp; ITS SUBSIDIARIES</v>
          </cell>
        </row>
      </sheetData>
      <sheetData sheetId="10"/>
      <sheetData sheetId="11"/>
      <sheetData sheetId="12"/>
      <sheetData sheetId="13"/>
      <sheetData sheetId="14"/>
      <sheetData sheetId="15"/>
      <sheetData sheetId="16"/>
      <sheetData sheetId="17"/>
      <sheetData sheetId="18"/>
      <sheetData sheetId="19">
        <row r="8">
          <cell r="C8">
            <v>11965328.460000001</v>
          </cell>
        </row>
      </sheetData>
      <sheetData sheetId="20">
        <row r="39">
          <cell r="AO39">
            <v>17589</v>
          </cell>
        </row>
      </sheetData>
      <sheetData sheetId="21">
        <row r="39">
          <cell r="AO39">
            <v>11801</v>
          </cell>
        </row>
      </sheetData>
      <sheetData sheetId="22">
        <row r="1">
          <cell r="A1" t="str">
            <v>EXL Holding RSOB</v>
          </cell>
        </row>
        <row r="69">
          <cell r="AL69">
            <v>32055075.530000001</v>
          </cell>
        </row>
        <row r="70">
          <cell r="AL70">
            <v>3503925.35</v>
          </cell>
        </row>
      </sheetData>
      <sheetData sheetId="23">
        <row r="1">
          <cell r="B1" t="str">
            <v>EXL Holding RSOB</v>
          </cell>
        </row>
      </sheetData>
      <sheetData sheetId="24"/>
      <sheetData sheetId="25"/>
      <sheetData sheetId="26">
        <row r="20">
          <cell r="B20">
            <v>19692387.370000001</v>
          </cell>
        </row>
      </sheetData>
      <sheetData sheetId="27"/>
      <sheetData sheetId="28"/>
      <sheetData sheetId="29"/>
      <sheetData sheetId="30"/>
      <sheetData sheetId="31"/>
      <sheetData sheetId="32"/>
      <sheetData sheetId="33"/>
      <sheetData sheetId="34"/>
      <sheetData sheetId="35"/>
      <sheetData sheetId="36">
        <row r="1">
          <cell r="A1" t="str">
            <v>EXL Holding RSOB</v>
          </cell>
        </row>
      </sheetData>
      <sheetData sheetId="37">
        <row r="1">
          <cell r="A1" t="str">
            <v>EXL Holding RSOB</v>
          </cell>
        </row>
      </sheetData>
      <sheetData sheetId="38">
        <row r="1">
          <cell r="B1" t="str">
            <v>EXL Holding RSOB</v>
          </cell>
        </row>
      </sheetData>
      <sheetData sheetId="39"/>
      <sheetData sheetId="4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sheetName val="Entries"/>
      <sheetName val="BS 2023"/>
      <sheetName val="Manual Reclass"/>
      <sheetName val="Prov and Advance knock off "/>
      <sheetName val="SEC P &amp; L YTD"/>
      <sheetName val="SEC P &amp; L Q4 22"/>
      <sheetName val="SEC P &amp; L Q3 22"/>
      <sheetName val="SEC P &amp; L Q2 23"/>
      <sheetName val="SEC P &amp; L Q1 23"/>
      <sheetName val="SEC P &amp; L Dec 22"/>
      <sheetName val="SEC P &amp; L Nov 22"/>
      <sheetName val="SEC P &amp; L Oct 22"/>
      <sheetName val="SEC P &amp; L Sep 22"/>
      <sheetName val="SEC P &amp; L Aug 22"/>
      <sheetName val="SEC P &amp; L Jul 22"/>
      <sheetName val="SEC P &amp; L Jun 23"/>
      <sheetName val="SEC P &amp; L May 23"/>
      <sheetName val="SEC P &amp; L Apr 23"/>
      <sheetName val="SEC P &amp; L Mar 23"/>
      <sheetName val="SEC P &amp; L Feb 23"/>
      <sheetName val="SEC P &amp; L Jan 23"/>
      <sheetName val="BS Dump Jun 23"/>
      <sheetName val="BS_Dtl_Jun 23"/>
      <sheetName val="P&amp;L Jan 23"/>
      <sheetName val="P&amp;L Feb 23"/>
      <sheetName val="P&amp;L Mar 23"/>
      <sheetName val="P&amp;L Apr 23"/>
      <sheetName val="P&amp;L May 23"/>
      <sheetName val="P&amp;L Jun 23"/>
      <sheetName val="P&amp;L Jul 22"/>
      <sheetName val="P&amp;L Aug 22"/>
      <sheetName val="P&amp;L Sep 22"/>
      <sheetName val="P&amp;L Oct 22"/>
      <sheetName val="P&amp;L Nov 22"/>
      <sheetName val="P&amp;L Dec 22"/>
      <sheetName val="Detailed P&amp;L- PTD"/>
      <sheetName val="P&amp;L YTD 23"/>
      <sheetName val="Detailed P&amp;L- YTD"/>
      <sheetName val="Trial YTD"/>
      <sheetName val="Manual Entries"/>
      <sheetName val="BS_Dtl_Jul 23"/>
    </sheetNames>
    <sheetDataSet>
      <sheetData sheetId="0">
        <row r="16">
          <cell r="E16">
            <v>0.19060190576235311</v>
          </cell>
        </row>
      </sheetData>
      <sheetData sheetId="1"/>
      <sheetData sheetId="2">
        <row r="1">
          <cell r="A1" t="str">
            <v>ExlService Holdings Consolidated</v>
          </cell>
        </row>
      </sheetData>
      <sheetData sheetId="3">
        <row r="22">
          <cell r="G22">
            <v>4283411.890000008</v>
          </cell>
        </row>
      </sheetData>
      <sheetData sheetId="4"/>
      <sheetData sheetId="5">
        <row r="6">
          <cell r="AN6">
            <v>805639221.87999988</v>
          </cell>
        </row>
      </sheetData>
      <sheetData sheetId="6"/>
      <sheetData sheetId="7"/>
      <sheetData sheetId="8">
        <row r="1">
          <cell r="A1"/>
        </row>
      </sheetData>
      <sheetData sheetId="9"/>
      <sheetData sheetId="10"/>
      <sheetData sheetId="11"/>
      <sheetData sheetId="12"/>
      <sheetData sheetId="13"/>
      <sheetData sheetId="14"/>
      <sheetData sheetId="15"/>
      <sheetData sheetId="16">
        <row r="8">
          <cell r="C8">
            <v>13823676.34</v>
          </cell>
        </row>
      </sheetData>
      <sheetData sheetId="17">
        <row r="39">
          <cell r="AO39">
            <v>20308</v>
          </cell>
        </row>
      </sheetData>
      <sheetData sheetId="18"/>
      <sheetData sheetId="19"/>
      <sheetData sheetId="20"/>
      <sheetData sheetId="21"/>
      <sheetData sheetId="22">
        <row r="1">
          <cell r="A1" t="str">
            <v>EXL Holding RSOB</v>
          </cell>
        </row>
        <row r="69">
          <cell r="AL69">
            <v>12515530.85</v>
          </cell>
        </row>
        <row r="70">
          <cell r="AL70">
            <v>3569925.35</v>
          </cell>
        </row>
      </sheetData>
      <sheetData sheetId="23">
        <row r="1">
          <cell r="B1" t="str">
            <v>EXL Holding RSOB</v>
          </cell>
        </row>
      </sheetData>
      <sheetData sheetId="24"/>
      <sheetData sheetId="25"/>
      <sheetData sheetId="26"/>
      <sheetData sheetId="27"/>
      <sheetData sheetId="28"/>
      <sheetData sheetId="29">
        <row r="120">
          <cell r="B120">
            <v>3224048.19</v>
          </cell>
        </row>
      </sheetData>
      <sheetData sheetId="30"/>
      <sheetData sheetId="31"/>
      <sheetData sheetId="32"/>
      <sheetData sheetId="33"/>
      <sheetData sheetId="34"/>
      <sheetData sheetId="35"/>
      <sheetData sheetId="36">
        <row r="1">
          <cell r="A1" t="str">
            <v>EXL Holding RSOB</v>
          </cell>
        </row>
      </sheetData>
      <sheetData sheetId="37">
        <row r="1">
          <cell r="A1" t="str">
            <v>EXL Holding RSOB</v>
          </cell>
        </row>
      </sheetData>
      <sheetData sheetId="38">
        <row r="1">
          <cell r="B1" t="str">
            <v>EXL Holding RSOB</v>
          </cell>
        </row>
      </sheetData>
      <sheetData sheetId="39">
        <row r="1">
          <cell r="A1" t="str">
            <v>EXL Holding RSOB</v>
          </cell>
        </row>
      </sheetData>
      <sheetData sheetId="40"/>
      <sheetData sheetId="4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napshot- 10K Checks"/>
      <sheetName val="Master Sheet"/>
      <sheetName val="Index"/>
      <sheetName val="Balance Sheets"/>
      <sheetName val="Statements of Income"/>
      <sheetName val="OCI Movement"/>
      <sheetName val="SCI"/>
      <sheetName val="SCI (Tax grossing)"/>
      <sheetName val="AOCI"/>
      <sheetName val="AOCI (Tax grossing)"/>
      <sheetName val="Shareholders Equity Q2'20 (9M)"/>
      <sheetName val="Shareholders Equity Q3'17"/>
      <sheetName val="Shareholders Equity 10K "/>
      <sheetName val="Shareholders Equity Q2'20 (3M)"/>
      <sheetName val="Statements of Cash Flow"/>
      <sheetName val="3. Quarterly Financial Data"/>
      <sheetName val="Other income (expense), net"/>
      <sheetName val="Cash &amp; cash equivalent"/>
      <sheetName val="CL,NCL,OCA &amp; OA"/>
      <sheetName val="Revenues,Net"/>
      <sheetName val="EPS"/>
      <sheetName val="MD&amp;A Section- Three months"/>
      <sheetName val="Segment Information "/>
      <sheetName val="Statement of opts data(Item 6)"/>
      <sheetName val="Geographical"/>
      <sheetName val="Reimb Revenue- Unbilled"/>
      <sheetName val="MD&amp;A Section- Year End"/>
      <sheetName val="Data - 8K"/>
      <sheetName val="Pro forma (Bus. Com (1)"/>
      <sheetName val="Business Com (2)"/>
      <sheetName val="Business Com"/>
      <sheetName val="Goodwill (2)"/>
      <sheetName val="Goodwill"/>
      <sheetName val="Intangibles"/>
      <sheetName val="MD&amp;A Section- Three Months End"/>
      <sheetName val="MD&amp;A Section- Nine Months End"/>
      <sheetName val="Goodwill &amp; Intangibles"/>
      <sheetName val="Emp Benefits"/>
      <sheetName val="6. Fair Value Measurements"/>
      <sheetName val="Derivatives 1"/>
      <sheetName val="Derivatives 3"/>
      <sheetName val="Derivatives 2 (b)"/>
      <sheetName val="Derivatives 1 "/>
      <sheetName val="Derivatives 2 (a)"/>
      <sheetName val="Derivatives 2 (b) "/>
      <sheetName val="Derivatives 3(c)"/>
      <sheetName val="FA"/>
      <sheetName val="Lease disclosure"/>
      <sheetName val="12. Leases"/>
      <sheetName val="Income Tax"/>
      <sheetName val="Contractual Obligati &amp; Note 19 "/>
      <sheetName val="Contingencies"/>
      <sheetName val="Sheet1"/>
      <sheetName val="MD&amp;A"/>
      <sheetName val="MD&amp;A (9m)"/>
      <sheetName val="MD&amp;A (PY)"/>
      <sheetName val="Liquidity &amp; CR"/>
      <sheetName val="Item 2"/>
      <sheetName val="18. Capital Structure"/>
      <sheetName val="21. Stock Based Compensation"/>
      <sheetName val="Borrowings &amp; Credit Arrangement"/>
      <sheetName val="Commitment &amp; Contingencies"/>
      <sheetName val="Equity compensation plan Item 5"/>
      <sheetName val="Item 7A"/>
      <sheetName val="24. Impairment &amp; Restructuring"/>
      <sheetName val="High and Low"/>
    </sheetNames>
    <sheetDataSet>
      <sheetData sheetId="0">
        <row r="52">
          <cell r="B52">
            <v>-99777</v>
          </cell>
        </row>
      </sheetData>
      <sheetData sheetId="1" refreshError="1"/>
      <sheetData sheetId="2" refreshError="1"/>
      <sheetData sheetId="3">
        <row r="9">
          <cell r="C9">
            <v>135337</v>
          </cell>
        </row>
        <row r="10">
          <cell r="C10">
            <v>178538</v>
          </cell>
        </row>
        <row r="11">
          <cell r="C11">
            <v>6174</v>
          </cell>
        </row>
        <row r="12">
          <cell r="C12">
            <v>194232</v>
          </cell>
        </row>
        <row r="13">
          <cell r="C13">
            <v>14655</v>
          </cell>
        </row>
        <row r="14">
          <cell r="C14">
            <v>15199</v>
          </cell>
        </row>
        <row r="15">
          <cell r="C15">
            <v>34009</v>
          </cell>
        </row>
        <row r="17">
          <cell r="C17">
            <v>86008</v>
          </cell>
        </row>
        <row r="18">
          <cell r="C18">
            <v>76692</v>
          </cell>
        </row>
        <row r="19">
          <cell r="C19">
            <v>2299</v>
          </cell>
        </row>
        <row r="20">
          <cell r="C20">
            <v>21404</v>
          </cell>
        </row>
        <row r="21">
          <cell r="C21">
            <v>81082</v>
          </cell>
        </row>
        <row r="22">
          <cell r="C22">
            <v>403902</v>
          </cell>
        </row>
        <row r="23">
          <cell r="C23">
            <v>30369</v>
          </cell>
        </row>
        <row r="24">
          <cell r="C24">
            <v>3004</v>
          </cell>
        </row>
        <row r="29">
          <cell r="C29">
            <v>260016</v>
          </cell>
        </row>
        <row r="30">
          <cell r="C30">
            <v>20000</v>
          </cell>
        </row>
        <row r="31">
          <cell r="C31">
            <v>114285</v>
          </cell>
        </row>
        <row r="33">
          <cell r="C33">
            <v>18487</v>
          </cell>
        </row>
        <row r="37">
          <cell r="C37">
            <v>0</v>
          </cell>
        </row>
        <row r="39">
          <cell r="C39">
            <v>1790</v>
          </cell>
        </row>
        <row r="40">
          <cell r="C40">
            <v>965</v>
          </cell>
        </row>
        <row r="41">
          <cell r="C41">
            <v>68506</v>
          </cell>
        </row>
        <row r="42">
          <cell r="C42">
            <v>22801</v>
          </cell>
        </row>
        <row r="47">
          <cell r="C47">
            <v>40</v>
          </cell>
        </row>
        <row r="48">
          <cell r="C48">
            <v>395742</v>
          </cell>
        </row>
        <row r="49">
          <cell r="C49">
            <v>756137</v>
          </cell>
        </row>
        <row r="50">
          <cell r="C50">
            <v>-89474</v>
          </cell>
        </row>
        <row r="52">
          <cell r="C52">
            <v>-369289</v>
          </cell>
        </row>
      </sheetData>
      <sheetData sheetId="4">
        <row r="7">
          <cell r="J7">
            <v>1122293</v>
          </cell>
        </row>
        <row r="8">
          <cell r="J8">
            <v>690934</v>
          </cell>
        </row>
        <row r="11">
          <cell r="J11">
            <v>142040</v>
          </cell>
        </row>
        <row r="12">
          <cell r="J12">
            <v>84306</v>
          </cell>
        </row>
        <row r="13">
          <cell r="J13">
            <v>49132</v>
          </cell>
        </row>
        <row r="14">
          <cell r="J14">
            <v>0</v>
          </cell>
        </row>
        <row r="17">
          <cell r="J17">
            <v>4313</v>
          </cell>
        </row>
        <row r="18">
          <cell r="J18">
            <v>-7561</v>
          </cell>
        </row>
        <row r="19">
          <cell r="J19">
            <v>6773</v>
          </cell>
        </row>
        <row r="20">
          <cell r="J20">
            <v>-12845</v>
          </cell>
        </row>
        <row r="22">
          <cell r="J22">
            <v>31850</v>
          </cell>
        </row>
        <row r="24">
          <cell r="J24">
            <v>47</v>
          </cell>
        </row>
      </sheetData>
      <sheetData sheetId="5">
        <row r="4">
          <cell r="A4" t="str">
            <v>Balance as on Dec 31, 2020</v>
          </cell>
        </row>
      </sheetData>
      <sheetData sheetId="6" refreshError="1"/>
      <sheetData sheetId="7">
        <row r="6">
          <cell r="J6">
            <v>4663</v>
          </cell>
        </row>
      </sheetData>
      <sheetData sheetId="8" refreshError="1"/>
      <sheetData sheetId="9">
        <row r="17">
          <cell r="B17">
            <v>-87591</v>
          </cell>
        </row>
      </sheetData>
      <sheetData sheetId="10" refreshError="1"/>
      <sheetData sheetId="11" refreshError="1"/>
      <sheetData sheetId="12">
        <row r="56">
          <cell r="B56">
            <v>38480654</v>
          </cell>
        </row>
      </sheetData>
      <sheetData sheetId="13" refreshError="1"/>
      <sheetData sheetId="14">
        <row r="7">
          <cell r="C7">
            <v>114758</v>
          </cell>
        </row>
        <row r="9">
          <cell r="C9">
            <v>49656</v>
          </cell>
        </row>
        <row r="10">
          <cell r="C10">
            <v>38621</v>
          </cell>
        </row>
        <row r="11">
          <cell r="C11">
            <v>26326</v>
          </cell>
        </row>
        <row r="12">
          <cell r="C12">
            <v>5139</v>
          </cell>
        </row>
        <row r="13">
          <cell r="C13">
            <v>-3821</v>
          </cell>
        </row>
        <row r="14">
          <cell r="C14">
            <v>-20327</v>
          </cell>
        </row>
        <row r="15">
          <cell r="C15">
            <v>-464</v>
          </cell>
        </row>
        <row r="16">
          <cell r="C16">
            <v>12845</v>
          </cell>
        </row>
        <row r="17">
          <cell r="C17">
            <v>-47</v>
          </cell>
        </row>
        <row r="18">
          <cell r="C18">
            <v>1795</v>
          </cell>
        </row>
        <row r="19">
          <cell r="C19">
            <v>0</v>
          </cell>
        </row>
        <row r="20">
          <cell r="C20">
            <v>216</v>
          </cell>
        </row>
        <row r="22">
          <cell r="C22">
            <v>-37684</v>
          </cell>
        </row>
        <row r="23">
          <cell r="C23">
            <v>-1179</v>
          </cell>
        </row>
        <row r="24">
          <cell r="C24">
            <v>-12062</v>
          </cell>
        </row>
        <row r="25">
          <cell r="C25">
            <v>227</v>
          </cell>
        </row>
        <row r="26">
          <cell r="C26">
            <v>-614</v>
          </cell>
        </row>
        <row r="27">
          <cell r="C27">
            <v>-12733</v>
          </cell>
        </row>
        <row r="28">
          <cell r="C28">
            <v>46475</v>
          </cell>
        </row>
        <row r="29">
          <cell r="C29">
            <v>2934</v>
          </cell>
        </row>
        <row r="30">
          <cell r="C30">
            <v>-25674</v>
          </cell>
        </row>
        <row r="33">
          <cell r="C33">
            <v>-37248</v>
          </cell>
        </row>
        <row r="34">
          <cell r="C34">
            <v>1300</v>
          </cell>
        </row>
        <row r="35">
          <cell r="C35">
            <v>0</v>
          </cell>
        </row>
        <row r="36">
          <cell r="C36">
            <v>0</v>
          </cell>
        </row>
        <row r="37">
          <cell r="C37">
            <v>-76831</v>
          </cell>
        </row>
        <row r="38">
          <cell r="C38">
            <v>-96011</v>
          </cell>
        </row>
        <row r="39">
          <cell r="C39">
            <v>94520</v>
          </cell>
        </row>
        <row r="42">
          <cell r="C42">
            <v>-201</v>
          </cell>
        </row>
        <row r="43">
          <cell r="C43">
            <v>300000</v>
          </cell>
        </row>
        <row r="44">
          <cell r="C44">
            <v>-329031</v>
          </cell>
        </row>
        <row r="45">
          <cell r="C45">
            <v>0</v>
          </cell>
        </row>
        <row r="49">
          <cell r="C49">
            <v>0</v>
          </cell>
        </row>
        <row r="50">
          <cell r="C50">
            <v>-118357</v>
          </cell>
        </row>
        <row r="51">
          <cell r="C51">
            <v>710</v>
          </cell>
        </row>
        <row r="53">
          <cell r="C53">
            <v>-4947</v>
          </cell>
        </row>
      </sheetData>
      <sheetData sheetId="15" refreshError="1"/>
      <sheetData sheetId="16">
        <row r="4">
          <cell r="I4">
            <v>4891</v>
          </cell>
        </row>
      </sheetData>
      <sheetData sheetId="17">
        <row r="4">
          <cell r="C4" t="str">
            <v>December 31, 2021</v>
          </cell>
        </row>
      </sheetData>
      <sheetData sheetId="18">
        <row r="7">
          <cell r="C7">
            <v>44405</v>
          </cell>
        </row>
      </sheetData>
      <sheetData sheetId="19">
        <row r="5">
          <cell r="C5">
            <v>194232</v>
          </cell>
        </row>
      </sheetData>
      <sheetData sheetId="20">
        <row r="11">
          <cell r="K11">
            <v>286510</v>
          </cell>
        </row>
      </sheetData>
      <sheetData sheetId="21" refreshError="1"/>
      <sheetData sheetId="22">
        <row r="6">
          <cell r="B6">
            <v>381999</v>
          </cell>
          <cell r="C6">
            <v>112386</v>
          </cell>
          <cell r="D6">
            <v>167236</v>
          </cell>
          <cell r="E6">
            <v>460672</v>
          </cell>
        </row>
        <row r="8">
          <cell r="B8">
            <v>142470</v>
          </cell>
          <cell r="C8">
            <v>42626</v>
          </cell>
          <cell r="D8">
            <v>75499</v>
          </cell>
          <cell r="E8">
            <v>170764</v>
          </cell>
        </row>
        <row r="69">
          <cell r="E69">
            <v>0.85900829818951019</v>
          </cell>
        </row>
        <row r="71">
          <cell r="E71">
            <v>9.4212473926149412E-2</v>
          </cell>
        </row>
        <row r="72">
          <cell r="E72">
            <v>4.6779227884340364E-2</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8">
          <cell r="B8">
            <v>50499</v>
          </cell>
        </row>
        <row r="60">
          <cell r="B60">
            <v>12778</v>
          </cell>
        </row>
      </sheetData>
      <sheetData sheetId="37">
        <row r="7">
          <cell r="I7">
            <v>3512</v>
          </cell>
        </row>
      </sheetData>
      <sheetData sheetId="38">
        <row r="7">
          <cell r="B7">
            <v>5374</v>
          </cell>
        </row>
      </sheetData>
      <sheetData sheetId="39" refreshError="1"/>
      <sheetData sheetId="40" refreshError="1"/>
      <sheetData sheetId="41">
        <row r="19">
          <cell r="L19">
            <v>4313</v>
          </cell>
        </row>
      </sheetData>
      <sheetData sheetId="42">
        <row r="4">
          <cell r="D4">
            <v>8669</v>
          </cell>
        </row>
      </sheetData>
      <sheetData sheetId="43" refreshError="1"/>
      <sheetData sheetId="44">
        <row r="6">
          <cell r="C6">
            <v>4663</v>
          </cell>
        </row>
      </sheetData>
      <sheetData sheetId="45">
        <row r="3">
          <cell r="B3">
            <v>514580</v>
          </cell>
        </row>
      </sheetData>
      <sheetData sheetId="46">
        <row r="6">
          <cell r="E6">
            <v>116023</v>
          </cell>
        </row>
      </sheetData>
      <sheetData sheetId="47">
        <row r="4">
          <cell r="C4">
            <v>76692</v>
          </cell>
        </row>
      </sheetData>
      <sheetData sheetId="48" refreshError="1"/>
      <sheetData sheetId="49">
        <row r="9">
          <cell r="G9">
            <v>43759</v>
          </cell>
        </row>
      </sheetData>
      <sheetData sheetId="50" refreshError="1"/>
      <sheetData sheetId="51" refreshError="1"/>
      <sheetData sheetId="52" refreshError="1"/>
      <sheetData sheetId="53" refreshError="1"/>
      <sheetData sheetId="54" refreshError="1"/>
      <sheetData sheetId="55" refreshError="1"/>
      <sheetData sheetId="56">
        <row r="5">
          <cell r="C5">
            <v>225.5</v>
          </cell>
        </row>
      </sheetData>
      <sheetData sheetId="57" refreshError="1"/>
      <sheetData sheetId="58">
        <row r="4">
          <cell r="F4">
            <v>31309</v>
          </cell>
        </row>
      </sheetData>
      <sheetData sheetId="59">
        <row r="4">
          <cell r="B4">
            <v>7871</v>
          </cell>
        </row>
        <row r="7">
          <cell r="B7">
            <v>38621</v>
          </cell>
        </row>
      </sheetData>
      <sheetData sheetId="60">
        <row r="4">
          <cell r="D4">
            <v>200000</v>
          </cell>
        </row>
      </sheetData>
      <sheetData sheetId="61">
        <row r="6">
          <cell r="B6">
            <v>8100</v>
          </cell>
        </row>
      </sheetData>
      <sheetData sheetId="62" refreshError="1"/>
      <sheetData sheetId="63">
        <row r="3">
          <cell r="C3">
            <v>0.88200000000000001</v>
          </cell>
        </row>
      </sheetData>
      <sheetData sheetId="64" refreshError="1"/>
      <sheetData sheetId="6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sheetName val="Entries"/>
      <sheetName val="BS 2023"/>
      <sheetName val="Manual Reclass"/>
      <sheetName val="Prov and Advance knock off "/>
      <sheetName val="SEC P &amp; L YTD"/>
      <sheetName val="SEC P &amp; L Q4 22"/>
      <sheetName val="SEC P &amp; L Q3 23"/>
      <sheetName val="SEC P &amp; L Q2 23"/>
      <sheetName val="SEC P &amp; L Q1 23"/>
      <sheetName val="SEC P &amp; L Dec 22"/>
      <sheetName val="SEC P &amp; L Nov 22"/>
      <sheetName val="SEC P &amp; L Oct 22"/>
      <sheetName val="SEC P &amp; L Sep 23"/>
      <sheetName val="SEC P &amp; L Aug 23"/>
      <sheetName val="SEC P &amp; L Jul 23"/>
      <sheetName val="SEC P &amp; L Jun 23"/>
      <sheetName val="SEC P &amp; L May 23"/>
      <sheetName val="SEC P &amp; L Apr 23"/>
      <sheetName val="SEC P &amp; L Mar 23"/>
      <sheetName val="SEC P &amp; L Feb 23"/>
      <sheetName val="SEC P &amp; L Jan 23"/>
      <sheetName val="BS Dump Sep 23"/>
      <sheetName val="BS_Dtl_Sep 23"/>
      <sheetName val="P&amp;L Jan 23"/>
      <sheetName val="P&amp;L Feb 23"/>
      <sheetName val="P&amp;L Mar 23"/>
      <sheetName val="P&amp;L Apr 23"/>
      <sheetName val="P&amp;L May 23"/>
      <sheetName val="P&amp;L Jun 23"/>
      <sheetName val="P&amp;L Jul 23"/>
      <sheetName val="P&amp;L Aug 23"/>
      <sheetName val="P&amp;L Sep 23"/>
      <sheetName val="P&amp;L Oct 22"/>
      <sheetName val="P&amp;L Nov 22"/>
      <sheetName val="P&amp;L Dec 22"/>
      <sheetName val="Detailed P&amp;L- PTD"/>
      <sheetName val="P&amp;L YTD 23"/>
      <sheetName val="Detailed P&amp;L- YTD"/>
      <sheetName val="Trial YTD"/>
      <sheetName val="Manual Entries"/>
    </sheetNames>
    <sheetDataSet>
      <sheetData sheetId="0">
        <row r="16">
          <cell r="E16">
            <v>0.20766706099664181</v>
          </cell>
        </row>
      </sheetData>
      <sheetData sheetId="1"/>
      <sheetData sheetId="2">
        <row r="1">
          <cell r="A1" t="str">
            <v>ExlService Holdings Consolidated</v>
          </cell>
        </row>
      </sheetData>
      <sheetData sheetId="3">
        <row r="22">
          <cell r="G22">
            <v>11948400.369999997</v>
          </cell>
        </row>
      </sheetData>
      <sheetData sheetId="4"/>
      <sheetData sheetId="5">
        <row r="6">
          <cell r="AN6">
            <v>1216610000.6199999</v>
          </cell>
        </row>
      </sheetData>
      <sheetData sheetId="6"/>
      <sheetData sheetId="7">
        <row r="39">
          <cell r="AN39">
            <v>43875715.334012352</v>
          </cell>
        </row>
      </sheetData>
      <sheetData sheetId="8"/>
      <sheetData sheetId="9"/>
      <sheetData sheetId="10"/>
      <sheetData sheetId="11"/>
      <sheetData sheetId="12"/>
      <sheetData sheetId="13">
        <row r="8">
          <cell r="C8">
            <v>13393448.810000001</v>
          </cell>
        </row>
      </sheetData>
      <sheetData sheetId="14">
        <row r="8">
          <cell r="C8">
            <v>11002673.07</v>
          </cell>
        </row>
      </sheetData>
      <sheetData sheetId="15">
        <row r="8">
          <cell r="C8">
            <v>10651947.310000001</v>
          </cell>
        </row>
      </sheetData>
      <sheetData sheetId="16">
        <row r="13">
          <cell r="AH13">
            <v>124394.38</v>
          </cell>
        </row>
      </sheetData>
      <sheetData sheetId="17">
        <row r="13">
          <cell r="AH13">
            <v>117760.06</v>
          </cell>
        </row>
      </sheetData>
      <sheetData sheetId="18">
        <row r="13">
          <cell r="AH13">
            <v>90491.19</v>
          </cell>
        </row>
      </sheetData>
      <sheetData sheetId="19">
        <row r="13">
          <cell r="AH13">
            <v>138680.79</v>
          </cell>
        </row>
      </sheetData>
      <sheetData sheetId="20">
        <row r="8">
          <cell r="AH8">
            <v>812332.68</v>
          </cell>
        </row>
      </sheetData>
      <sheetData sheetId="21"/>
      <sheetData sheetId="22">
        <row r="1">
          <cell r="A1" t="str">
            <v>EXL Holding RSOB</v>
          </cell>
        </row>
        <row r="69">
          <cell r="AL69">
            <v>1078120.1299999999</v>
          </cell>
        </row>
        <row r="70">
          <cell r="AL70">
            <v>4194708.3499999996</v>
          </cell>
        </row>
      </sheetData>
      <sheetData sheetId="23">
        <row r="1">
          <cell r="B1" t="str">
            <v>EXL Holding RSOB</v>
          </cell>
        </row>
      </sheetData>
      <sheetData sheetId="24"/>
      <sheetData sheetId="25"/>
      <sheetData sheetId="26"/>
      <sheetData sheetId="27"/>
      <sheetData sheetId="28"/>
      <sheetData sheetId="29"/>
      <sheetData sheetId="30"/>
      <sheetData sheetId="31"/>
      <sheetData sheetId="32">
        <row r="120">
          <cell r="B120">
            <v>2720891.11</v>
          </cell>
        </row>
      </sheetData>
      <sheetData sheetId="33"/>
      <sheetData sheetId="34"/>
      <sheetData sheetId="35"/>
      <sheetData sheetId="36"/>
      <sheetData sheetId="37">
        <row r="1">
          <cell r="A1" t="str">
            <v>EXL Holding RSOB</v>
          </cell>
        </row>
      </sheetData>
      <sheetData sheetId="38">
        <row r="1">
          <cell r="B1" t="str">
            <v>EXL Holding RSOB</v>
          </cell>
        </row>
      </sheetData>
      <sheetData sheetId="39">
        <row r="1">
          <cell r="A1" t="str">
            <v>EXL Holding RSOB</v>
          </cell>
        </row>
      </sheetData>
      <sheetData sheetId="4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sheetName val="Entries"/>
      <sheetName val="Geo-wise LTAssets"/>
      <sheetName val="BS 2023"/>
      <sheetName val="Manual Reclass"/>
      <sheetName val="Prov and Advance knock off "/>
      <sheetName val="SEC P &amp; L YTD"/>
      <sheetName val="SEC P &amp; L Q4 23"/>
      <sheetName val="SEC P &amp; L Q3 23"/>
      <sheetName val="SEC P &amp; L Q2 23"/>
      <sheetName val="SEC P &amp; L Q1 23"/>
      <sheetName val="SEC P &amp; L Dec 23"/>
      <sheetName val="SEC P &amp; L Nov 23"/>
      <sheetName val="SEC P &amp; L Oct 23"/>
      <sheetName val="SEC P &amp; L Sep 23"/>
      <sheetName val="SEC P &amp; L Aug 23"/>
      <sheetName val="SEC P &amp; L Jul 23"/>
      <sheetName val="SEC P &amp; L Jun 23"/>
      <sheetName val="SEC P &amp; L May 23"/>
      <sheetName val="SEC P &amp; L Apr 23"/>
      <sheetName val="SEC P &amp; L Mar 23"/>
      <sheetName val="SEC P &amp; L Feb 23"/>
      <sheetName val="SEC P &amp; L Jan 23"/>
      <sheetName val="BS Dump Dec 23"/>
      <sheetName val="BS_Dtl_Dec 23"/>
      <sheetName val="P&amp;L Jan 23"/>
      <sheetName val="P&amp;L Feb 23"/>
      <sheetName val="P&amp;L Mar 23"/>
      <sheetName val="P&amp;L Apr 23"/>
      <sheetName val="P&amp;L May 23"/>
      <sheetName val="P&amp;L Jun 23"/>
      <sheetName val="P&amp;L Jul 23"/>
      <sheetName val="P&amp;L Aug 23"/>
      <sheetName val="P&amp;L Sep 23"/>
      <sheetName val="P&amp;L Oct 23"/>
      <sheetName val="P&amp;L Nov 23"/>
      <sheetName val="P&amp;L Dec 23"/>
      <sheetName val="Detailed P&amp;L- PTD"/>
      <sheetName val="P&amp;L YTD 23"/>
      <sheetName val="Detailed P&amp;L- YTD"/>
      <sheetName val="Trial YTD"/>
      <sheetName val="Manual Entries"/>
      <sheetName val="BS_Dtl_Mar 24"/>
    </sheetNames>
    <sheetDataSet>
      <sheetData sheetId="0">
        <row r="15">
          <cell r="D15">
            <v>0.23190531076789411</v>
          </cell>
        </row>
      </sheetData>
      <sheetData sheetId="1"/>
      <sheetData sheetId="2">
        <row r="2">
          <cell r="B2">
            <v>53812672.5</v>
          </cell>
        </row>
      </sheetData>
      <sheetData sheetId="3">
        <row r="1">
          <cell r="A1" t="str">
            <v>ExlService Holdings Consolidated</v>
          </cell>
        </row>
      </sheetData>
      <sheetData sheetId="4">
        <row r="22">
          <cell r="G22">
            <v>1212899.6699999981</v>
          </cell>
        </row>
      </sheetData>
      <sheetData sheetId="5"/>
      <sheetData sheetId="6">
        <row r="6">
          <cell r="K6">
            <v>70049750.030000001</v>
          </cell>
        </row>
      </sheetData>
      <sheetData sheetId="7">
        <row r="6">
          <cell r="A6" t="str">
            <v>Revenue</v>
          </cell>
        </row>
      </sheetData>
      <sheetData sheetId="8"/>
      <sheetData sheetId="9"/>
      <sheetData sheetId="10"/>
      <sheetData sheetId="11">
        <row r="39">
          <cell r="AO39">
            <v>11418</v>
          </cell>
        </row>
      </sheetData>
      <sheetData sheetId="12">
        <row r="39">
          <cell r="AO39">
            <v>15456</v>
          </cell>
        </row>
      </sheetData>
      <sheetData sheetId="13"/>
      <sheetData sheetId="14"/>
      <sheetData sheetId="15"/>
      <sheetData sheetId="16"/>
      <sheetData sheetId="17"/>
      <sheetData sheetId="18"/>
      <sheetData sheetId="19"/>
      <sheetData sheetId="20"/>
      <sheetData sheetId="21"/>
      <sheetData sheetId="22"/>
      <sheetData sheetId="23">
        <row r="1">
          <cell r="A1" t="str">
            <v>EXL Holding RSOB</v>
          </cell>
        </row>
        <row r="72">
          <cell r="AL72">
            <v>238951.76</v>
          </cell>
        </row>
        <row r="73">
          <cell r="AL73">
            <v>4191113.1</v>
          </cell>
        </row>
      </sheetData>
      <sheetData sheetId="24">
        <row r="1">
          <cell r="B1" t="str">
            <v>EXL Holding RSOB</v>
          </cell>
        </row>
      </sheetData>
      <sheetData sheetId="25">
        <row r="330">
          <cell r="J330">
            <v>-2618239.38</v>
          </cell>
        </row>
      </sheetData>
      <sheetData sheetId="26">
        <row r="330">
          <cell r="J330">
            <v>2196173.17</v>
          </cell>
        </row>
      </sheetData>
      <sheetData sheetId="27">
        <row r="330">
          <cell r="J330">
            <v>-4688131.79</v>
          </cell>
        </row>
      </sheetData>
      <sheetData sheetId="28">
        <row r="330">
          <cell r="J330">
            <v>2259145.17</v>
          </cell>
        </row>
      </sheetData>
      <sheetData sheetId="29">
        <row r="330">
          <cell r="J330">
            <v>1889168.23</v>
          </cell>
        </row>
      </sheetData>
      <sheetData sheetId="30">
        <row r="330">
          <cell r="J330">
            <v>-289570.63</v>
          </cell>
        </row>
      </sheetData>
      <sheetData sheetId="31">
        <row r="330">
          <cell r="J330">
            <v>-1989355.59</v>
          </cell>
        </row>
      </sheetData>
      <sheetData sheetId="32">
        <row r="330">
          <cell r="J330">
            <v>-2159394.48</v>
          </cell>
        </row>
      </sheetData>
      <sheetData sheetId="33">
        <row r="330">
          <cell r="J330">
            <v>-2316207.4300000002</v>
          </cell>
        </row>
      </sheetData>
      <sheetData sheetId="34">
        <row r="330">
          <cell r="J330">
            <v>-1877632.11</v>
          </cell>
        </row>
      </sheetData>
      <sheetData sheetId="35">
        <row r="330">
          <cell r="J330">
            <v>-1082053.31</v>
          </cell>
        </row>
      </sheetData>
      <sheetData sheetId="36">
        <row r="330">
          <cell r="J330">
            <v>14963790.42</v>
          </cell>
        </row>
      </sheetData>
      <sheetData sheetId="37">
        <row r="1">
          <cell r="A1" t="str">
            <v>EXL Holding RSOB</v>
          </cell>
        </row>
      </sheetData>
      <sheetData sheetId="38">
        <row r="39">
          <cell r="AL39">
            <v>14685644.689999999</v>
          </cell>
        </row>
      </sheetData>
      <sheetData sheetId="39">
        <row r="1">
          <cell r="B1" t="str">
            <v>EXL Holding RSOB</v>
          </cell>
        </row>
      </sheetData>
      <sheetData sheetId="40">
        <row r="1">
          <cell r="A1" t="str">
            <v>EXL Holding RSOB</v>
          </cell>
        </row>
      </sheetData>
      <sheetData sheetId="41"/>
      <sheetData sheetId="42">
        <row r="1">
          <cell r="B1" t="str">
            <v>EXL Holding RSOB</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sheetName val="Entries"/>
      <sheetName val="Geo-wise LTAssets"/>
      <sheetName val="BS 2024"/>
      <sheetName val="Manual Reclass"/>
      <sheetName val="Prov and Advance knock off "/>
      <sheetName val="SEC P &amp; L YTD"/>
      <sheetName val="SEC P &amp; L Q4 23"/>
      <sheetName val="SEC P &amp; L Q3 23"/>
      <sheetName val="SEC P &amp; L Q2 23"/>
      <sheetName val="SEC P &amp; L Q1 24"/>
      <sheetName val="SEC P &amp; L Dec 23"/>
      <sheetName val="SEC P &amp; L Nov 23"/>
      <sheetName val="SEC P &amp; L Oct 23"/>
      <sheetName val="SEC P &amp; L Sep 23"/>
      <sheetName val="SEC P &amp; L Aug 23"/>
      <sheetName val="SEC P &amp; L Jul 23"/>
      <sheetName val="SEC P &amp; L Jun 23"/>
      <sheetName val="SEC P &amp; L May 23"/>
      <sheetName val="SEC P &amp; L Apr 23"/>
      <sheetName val="SEC P &amp; L Mar 24"/>
      <sheetName val="SEC P &amp; L Feb 24"/>
      <sheetName val="SEC P &amp; L Jan 24"/>
      <sheetName val="BS Dump Mar 24"/>
      <sheetName val="BS_Dtl_Mar 24"/>
      <sheetName val="P&amp;L Jan 24"/>
      <sheetName val="P&amp;L Feb 24"/>
      <sheetName val="P&amp;L Mar 24"/>
      <sheetName val="P&amp;L Apr 23"/>
      <sheetName val="P&amp;L May 23"/>
      <sheetName val="P&amp;L Jun 23"/>
      <sheetName val="P&amp;L Jul 23"/>
      <sheetName val="P&amp;L Aug 23"/>
      <sheetName val="P&amp;L Sep 23"/>
      <sheetName val="P&amp;L Oct 23"/>
      <sheetName val="P&amp;L Nov 23"/>
      <sheetName val="P&amp;L Dec 23"/>
      <sheetName val="Detailed P&amp;L- PTD"/>
      <sheetName val="P&amp;L YTD 24"/>
      <sheetName val="Detailed P&amp;L- YTD"/>
      <sheetName val="Trial YTD"/>
      <sheetName val="Manual Entries"/>
    </sheetNames>
    <sheetDataSet>
      <sheetData sheetId="0">
        <row r="20">
          <cell r="D20">
            <v>0.21989710351427444</v>
          </cell>
        </row>
      </sheetData>
      <sheetData sheetId="1"/>
      <sheetData sheetId="2">
        <row r="2">
          <cell r="B2">
            <v>54600545.359999999</v>
          </cell>
        </row>
      </sheetData>
      <sheetData sheetId="3">
        <row r="1">
          <cell r="A1" t="str">
            <v>ExlService Holdings Consolidated</v>
          </cell>
        </row>
      </sheetData>
      <sheetData sheetId="4">
        <row r="22">
          <cell r="G22">
            <v>4894072.4500000048</v>
          </cell>
        </row>
      </sheetData>
      <sheetData sheetId="5"/>
      <sheetData sheetId="6">
        <row r="6">
          <cell r="AN6">
            <v>436507457.48000002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39">
          <cell r="AO39">
            <v>23908</v>
          </cell>
        </row>
      </sheetData>
      <sheetData sheetId="21"/>
      <sheetData sheetId="22"/>
      <sheetData sheetId="23">
        <row r="17">
          <cell r="AL17">
            <v>15073239.41</v>
          </cell>
        </row>
        <row r="72">
          <cell r="AL72">
            <v>240587.1</v>
          </cell>
        </row>
        <row r="73">
          <cell r="AL73">
            <v>4163524.19</v>
          </cell>
        </row>
      </sheetData>
      <sheetData sheetId="24">
        <row r="1">
          <cell r="B1" t="str">
            <v>EXL Holding RSOB</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1">
          <cell r="A1" t="str">
            <v>EXL Holding RSOB</v>
          </cell>
        </row>
      </sheetData>
      <sheetData sheetId="39">
        <row r="1">
          <cell r="B1" t="str">
            <v>EXL Holding RSOB</v>
          </cell>
        </row>
      </sheetData>
      <sheetData sheetId="40">
        <row r="1">
          <cell r="A1" t="str">
            <v>EXL Holding RSOB</v>
          </cell>
        </row>
      </sheetData>
      <sheetData sheetId="4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sheetName val="Entries"/>
      <sheetName val="Geo-wise LTAssets"/>
      <sheetName val="BS 2024"/>
      <sheetName val="Manual Reclass"/>
      <sheetName val="Prov and Advance knock off "/>
      <sheetName val="SEC P &amp; L YTD"/>
      <sheetName val="SEC P &amp; L Q4 23"/>
      <sheetName val="SEC P &amp; L Q3 23"/>
      <sheetName val="SEC P &amp; L Q2 24"/>
      <sheetName val="SEC P &amp; L Dec 23"/>
      <sheetName val="SEC P &amp; L Nov 23"/>
      <sheetName val="SEC P &amp; L Oct 23"/>
      <sheetName val="SEC P &amp; L Sep 23"/>
      <sheetName val="SEC P &amp; L Aug 23"/>
      <sheetName val="SEC P &amp; L Jul 23"/>
      <sheetName val="SEC P &amp; L Q1 24"/>
      <sheetName val="SEC P &amp; L Jun 24"/>
      <sheetName val="SEC P &amp; L May 24"/>
      <sheetName val="SEC P &amp; L Apr 24"/>
      <sheetName val="SEC P &amp; L Mar 24"/>
      <sheetName val="SEC P &amp; L Feb 24"/>
      <sheetName val="SEC P &amp; L Jan 24"/>
      <sheetName val="BS Dump Jun 24"/>
      <sheetName val="BS_Dtl_Jun 24"/>
      <sheetName val="P&amp;L Jan 24"/>
      <sheetName val="P&amp;L Feb 24"/>
      <sheetName val="P&amp;L Mar 24"/>
      <sheetName val="P&amp;L Apr 24"/>
      <sheetName val="P&amp;L Jun 24"/>
      <sheetName val="P&amp;L May 24"/>
      <sheetName val="P&amp;L Jul 23"/>
      <sheetName val="P&amp;L Aug 23"/>
      <sheetName val="P&amp;L Sep 23"/>
      <sheetName val="P&amp;L Oct 23"/>
      <sheetName val="P&amp;L Nov 23"/>
      <sheetName val="P&amp;L Dec 23"/>
      <sheetName val="Detailed P&amp;L- PTD"/>
      <sheetName val="P&amp;L YTD 24"/>
      <sheetName val="Detailed P&amp;L- YTD"/>
      <sheetName val="Trial YTD"/>
      <sheetName val="Manual Entries"/>
    </sheetNames>
    <sheetDataSet>
      <sheetData sheetId="0">
        <row r="16">
          <cell r="E16">
            <v>0.22603007664288521</v>
          </cell>
        </row>
      </sheetData>
      <sheetData sheetId="1"/>
      <sheetData sheetId="2">
        <row r="2">
          <cell r="B2">
            <v>61157219.159999996</v>
          </cell>
        </row>
      </sheetData>
      <sheetData sheetId="3">
        <row r="11">
          <cell r="B11">
            <v>9046253.8399999999</v>
          </cell>
        </row>
      </sheetData>
      <sheetData sheetId="4"/>
      <sheetData sheetId="5"/>
      <sheetData sheetId="6">
        <row r="6">
          <cell r="AO6">
            <v>884873</v>
          </cell>
        </row>
      </sheetData>
      <sheetData sheetId="7"/>
      <sheetData sheetId="8"/>
      <sheetData sheetId="9">
        <row r="39">
          <cell r="AN39">
            <v>45825515.941911206</v>
          </cell>
        </row>
      </sheetData>
      <sheetData sheetId="10"/>
      <sheetData sheetId="11"/>
      <sheetData sheetId="12"/>
      <sheetData sheetId="13"/>
      <sheetData sheetId="14"/>
      <sheetData sheetId="15"/>
      <sheetData sheetId="16"/>
      <sheetData sheetId="17">
        <row r="39">
          <cell r="AO39">
            <v>15543</v>
          </cell>
        </row>
      </sheetData>
      <sheetData sheetId="18">
        <row r="39">
          <cell r="AO39">
            <v>17535</v>
          </cell>
        </row>
      </sheetData>
      <sheetData sheetId="19">
        <row r="39">
          <cell r="AO39">
            <v>12747</v>
          </cell>
        </row>
      </sheetData>
      <sheetData sheetId="20"/>
      <sheetData sheetId="21"/>
      <sheetData sheetId="22"/>
      <sheetData sheetId="23">
        <row r="1">
          <cell r="A1" t="str">
            <v>EXL Holding RSOB</v>
          </cell>
        </row>
        <row r="72">
          <cell r="AL72">
            <v>9333009.4900000002</v>
          </cell>
        </row>
        <row r="73">
          <cell r="AL73">
            <v>5751710.4800000004</v>
          </cell>
        </row>
        <row r="74">
          <cell r="AL74">
            <v>4154694.24</v>
          </cell>
        </row>
        <row r="75">
          <cell r="AL75">
            <v>0.61</v>
          </cell>
        </row>
      </sheetData>
      <sheetData sheetId="24">
        <row r="1">
          <cell r="B1" t="str">
            <v>EXL Holding RSOB</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39">
          <cell r="AL39">
            <v>7807224.6200000001</v>
          </cell>
        </row>
      </sheetData>
      <sheetData sheetId="39">
        <row r="1">
          <cell r="B1" t="str">
            <v>EXL Holding RSOB</v>
          </cell>
        </row>
      </sheetData>
      <sheetData sheetId="40"/>
      <sheetData sheetId="4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sheetName val="Entries"/>
      <sheetName val="BS 2021"/>
      <sheetName val="Manual Reclass"/>
      <sheetName val="Prov and Advance knock off "/>
      <sheetName val="SEC P &amp; L YTD"/>
      <sheetName val="SEC P &amp; L Q4 21"/>
      <sheetName val="SEC P &amp; L Q3 21"/>
      <sheetName val="SEC P &amp; L Q2 21"/>
      <sheetName val="SEC P &amp; L Q1 21"/>
      <sheetName val="SEC P &amp; L Dec 21"/>
      <sheetName val="SEC P &amp; L Nov 21"/>
      <sheetName val="SEC P &amp; L Oct 21"/>
      <sheetName val="SEC P &amp; L Sep 21"/>
      <sheetName val="SEC P &amp; L Aug 21"/>
      <sheetName val="SEC P &amp; L Jul 21"/>
      <sheetName val="SEC P &amp; L Jun 21"/>
      <sheetName val="SEC P &amp; L May 21"/>
      <sheetName val="SEC P &amp; L Apr 21"/>
      <sheetName val="SEC P &amp; L Mar 21"/>
      <sheetName val="SEC P &amp; L Feb 21"/>
      <sheetName val="SEC P &amp; L Jan 21"/>
      <sheetName val="BS Dump Dec 21"/>
      <sheetName val="BS_Dtl_Dec 21"/>
      <sheetName val="P&amp;L Jul 21"/>
      <sheetName val="P&amp;L Jan 21"/>
      <sheetName val="P&amp;L Feb 21"/>
      <sheetName val="P&amp;L Mar 21"/>
      <sheetName val="P&amp;L Apr 21"/>
      <sheetName val="P&amp;L May 21"/>
      <sheetName val="P&amp;L Nov 21"/>
      <sheetName val="P&amp;L Sep 21"/>
      <sheetName val="P&amp;L Aug 21"/>
      <sheetName val="P&amp;L Jun 21"/>
      <sheetName val="Detailed P&amp;L- PTD"/>
      <sheetName val="P&amp;L Oct 21"/>
      <sheetName val="P&amp;L Dec 21"/>
      <sheetName val="P&amp;L YTD 21"/>
      <sheetName val="Detailed P&amp;L- YTD"/>
      <sheetName val="Trial YTD"/>
      <sheetName val="Manual Entries"/>
      <sheetName val="BS 2022"/>
    </sheetNames>
    <sheetDataSet>
      <sheetData sheetId="0">
        <row r="12">
          <cell r="D12">
            <v>-5282.8699999895525</v>
          </cell>
        </row>
      </sheetData>
      <sheetData sheetId="1"/>
      <sheetData sheetId="2">
        <row r="1">
          <cell r="A1" t="str">
            <v>ExlService Holdings Consolidated</v>
          </cell>
        </row>
      </sheetData>
      <sheetData sheetId="3">
        <row r="14">
          <cell r="F14">
            <v>0</v>
          </cell>
        </row>
      </sheetData>
      <sheetData sheetId="4"/>
      <sheetData sheetId="5">
        <row r="6">
          <cell r="AP6">
            <v>1122293206.9900002</v>
          </cell>
        </row>
      </sheetData>
      <sheetData sheetId="6">
        <row r="6">
          <cell r="C6">
            <v>50766216.859999999</v>
          </cell>
        </row>
      </sheetData>
      <sheetData sheetId="7">
        <row r="6">
          <cell r="C6">
            <v>54085636.950000003</v>
          </cell>
        </row>
      </sheetData>
      <sheetData sheetId="8">
        <row r="6">
          <cell r="C6">
            <v>50244551.400000006</v>
          </cell>
        </row>
      </sheetData>
      <sheetData sheetId="9">
        <row r="6">
          <cell r="C6">
            <v>44951370.349999994</v>
          </cell>
        </row>
      </sheetData>
      <sheetData sheetId="10">
        <row r="28">
          <cell r="AQ28">
            <v>1855</v>
          </cell>
        </row>
      </sheetData>
      <sheetData sheetId="11"/>
      <sheetData sheetId="12"/>
      <sheetData sheetId="13"/>
      <sheetData sheetId="14"/>
      <sheetData sheetId="15"/>
      <sheetData sheetId="16"/>
      <sheetData sheetId="17"/>
      <sheetData sheetId="18"/>
      <sheetData sheetId="19"/>
      <sheetData sheetId="20"/>
      <sheetData sheetId="21"/>
      <sheetData sheetId="22">
        <row r="8">
          <cell r="B8" t="str">
            <v>EXL INDIA</v>
          </cell>
        </row>
        <row r="44">
          <cell r="AN44">
            <v>185745.86</v>
          </cell>
        </row>
      </sheetData>
      <sheetData sheetId="23">
        <row r="1">
          <cell r="A1" t="str">
            <v>EXL Holding RSOB</v>
          </cell>
        </row>
      </sheetData>
      <sheetData sheetId="24">
        <row r="333">
          <cell r="B333">
            <v>4314349.9000000004</v>
          </cell>
        </row>
      </sheetData>
      <sheetData sheetId="25">
        <row r="333">
          <cell r="B333">
            <v>2513039.71</v>
          </cell>
        </row>
      </sheetData>
      <sheetData sheetId="26">
        <row r="333">
          <cell r="B333">
            <v>580132.30000000005</v>
          </cell>
        </row>
      </sheetData>
      <sheetData sheetId="27">
        <row r="333">
          <cell r="B333">
            <v>5136718.71</v>
          </cell>
        </row>
      </sheetData>
      <sheetData sheetId="28">
        <row r="333">
          <cell r="B333">
            <v>2322037.81</v>
          </cell>
        </row>
      </sheetData>
      <sheetData sheetId="29">
        <row r="333">
          <cell r="B333">
            <v>29225361.539999999</v>
          </cell>
        </row>
      </sheetData>
      <sheetData sheetId="30">
        <row r="333">
          <cell r="B333">
            <v>1423419.07</v>
          </cell>
        </row>
      </sheetData>
      <sheetData sheetId="31">
        <row r="333">
          <cell r="B333">
            <v>2310520.11</v>
          </cell>
        </row>
      </sheetData>
      <sheetData sheetId="32">
        <row r="333">
          <cell r="B333">
            <v>4277066.63</v>
          </cell>
        </row>
      </sheetData>
      <sheetData sheetId="33">
        <row r="333">
          <cell r="B333">
            <v>2559485.87</v>
          </cell>
        </row>
      </sheetData>
      <sheetData sheetId="34">
        <row r="1">
          <cell r="A1" t="str">
            <v>EXL Holding RSOB</v>
          </cell>
        </row>
      </sheetData>
      <sheetData sheetId="35">
        <row r="333">
          <cell r="B333">
            <v>2967987.64</v>
          </cell>
        </row>
      </sheetData>
      <sheetData sheetId="36">
        <row r="333">
          <cell r="B333">
            <v>-8193317.9100000001</v>
          </cell>
        </row>
      </sheetData>
      <sheetData sheetId="37">
        <row r="13">
          <cell r="AH13">
            <v>4691.6000000000004</v>
          </cell>
        </row>
      </sheetData>
      <sheetData sheetId="38">
        <row r="1">
          <cell r="A1" t="str">
            <v>EXL Holding RSOB</v>
          </cell>
        </row>
      </sheetData>
      <sheetData sheetId="39">
        <row r="1">
          <cell r="A1" t="str">
            <v>EXL Holding RSOB</v>
          </cell>
        </row>
      </sheetData>
      <sheetData sheetId="40"/>
      <sheetData sheetId="4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ysis"/>
      <sheetName val="Grossing up of Investment"/>
      <sheetName val="Cash Flow_SEC Format"/>
      <sheetName val="Cash Flow"/>
      <sheetName val="Other Adjustments"/>
      <sheetName val="EXL All Cash flow Statement_Sum"/>
      <sheetName val="Pivot_CTA_Jan'20 - Mar'20"/>
      <sheetName val="Working"/>
      <sheetName val="Working (2)"/>
      <sheetName val="Credit Facility"/>
      <sheetName val="Working (3)"/>
      <sheetName val="Convertible Note Issuance Cost "/>
      <sheetName val="Borrowings"/>
      <sheetName val="Def Issuance cost"/>
      <sheetName val="Debt issuance cost"/>
    </sheetNames>
    <sheetDataSet>
      <sheetData sheetId="0"/>
      <sheetData sheetId="1"/>
      <sheetData sheetId="2">
        <row r="5">
          <cell r="H5">
            <v>22412445.572940014</v>
          </cell>
        </row>
        <row r="8">
          <cell r="H8">
            <v>118055.79678140473</v>
          </cell>
        </row>
        <row r="9">
          <cell r="H9">
            <v>-95776.680793678679</v>
          </cell>
        </row>
        <row r="15">
          <cell r="H15">
            <v>0</v>
          </cell>
        </row>
        <row r="18">
          <cell r="H18">
            <v>-48460.460000000006</v>
          </cell>
        </row>
        <row r="19">
          <cell r="H19">
            <v>635499.63234162563</v>
          </cell>
        </row>
      </sheetData>
      <sheetData sheetId="3">
        <row r="12">
          <cell r="AV12">
            <v>181640.84994215582</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ysis"/>
      <sheetName val="Grossing up of Investment"/>
      <sheetName val="Cash Flow_SEC Format"/>
      <sheetName val="Cash Flow"/>
      <sheetName val="Other Adjustments"/>
      <sheetName val="EXL All Cash flow Statement_Sum"/>
      <sheetName val="Pivot_CTA_Jan'20 - June'20"/>
      <sheetName val="Working"/>
      <sheetName val="Working (2)"/>
      <sheetName val="Credit Facility"/>
      <sheetName val="Working (3)"/>
      <sheetName val="Convertible Note Issuance Cost "/>
      <sheetName val="Borrowings"/>
      <sheetName val="Def Issuance cost"/>
      <sheetName val="Debt issuance cost"/>
    </sheetNames>
    <sheetDataSet>
      <sheetData sheetId="0" refreshError="1"/>
      <sheetData sheetId="1" refreshError="1"/>
      <sheetData sheetId="2" refreshError="1">
        <row r="5">
          <cell r="A5" t="str">
            <v>Net profit / (loss)</v>
          </cell>
        </row>
        <row r="8">
          <cell r="G8">
            <v>236111.59356280946</v>
          </cell>
        </row>
        <row r="9">
          <cell r="G9">
            <v>-1246189.9169856962</v>
          </cell>
        </row>
        <row r="15">
          <cell r="G15">
            <v>0</v>
          </cell>
        </row>
        <row r="18">
          <cell r="G18">
            <v>-193779.83999999997</v>
          </cell>
        </row>
        <row r="19">
          <cell r="G19">
            <v>1289269.8791130728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ysis"/>
      <sheetName val="Grossing up of Investment"/>
      <sheetName val="Cash Flow_SEC Format"/>
      <sheetName val="Cash Flow"/>
      <sheetName val="Pivot_CTA_Jan'20 - Sep'20"/>
      <sheetName val="Other Adjustments"/>
      <sheetName val="EXL All Cash flow Statement_Sum"/>
      <sheetName val="Working"/>
      <sheetName val="Working (2)"/>
      <sheetName val="Credit Facility"/>
      <sheetName val="Working (3)"/>
      <sheetName val="Convertible Note Issuance Cost "/>
      <sheetName val="Borrowings"/>
      <sheetName val="Def Issuance cost"/>
      <sheetName val="Debt issuance cost"/>
    </sheetNames>
    <sheetDataSet>
      <sheetData sheetId="0" refreshError="1"/>
      <sheetData sheetId="1" refreshError="1"/>
      <sheetData sheetId="2" refreshError="1">
        <row r="7">
          <cell r="G7">
            <v>-1572363.94</v>
          </cell>
        </row>
        <row r="8">
          <cell r="G8">
            <v>354167.39034421416</v>
          </cell>
        </row>
        <row r="9">
          <cell r="G9">
            <v>-1078602.3145782463</v>
          </cell>
        </row>
        <row r="15">
          <cell r="G15">
            <v>0</v>
          </cell>
        </row>
        <row r="18">
          <cell r="G18">
            <v>-210631.13999999998</v>
          </cell>
        </row>
        <row r="19">
          <cell r="G19">
            <v>1943040.1258845199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ysis"/>
      <sheetName val="Grossing up of Investment"/>
      <sheetName val="Cash Flow_SEC Format"/>
      <sheetName val="Cash Flow"/>
      <sheetName val="Pivot_CTA_Jan'20 - Dec'20"/>
      <sheetName val="Other Adjustments"/>
      <sheetName val="EXL All Cash flow Statement_Sum"/>
      <sheetName val="Working"/>
      <sheetName val="Working (2)"/>
      <sheetName val="Credit Facility"/>
      <sheetName val="Working (3)"/>
      <sheetName val="Convertible Note Issuance Cost "/>
      <sheetName val="Borrowings"/>
      <sheetName val="Def Issuance cost"/>
      <sheetName val="Debt issuance cost"/>
    </sheetNames>
    <sheetDataSet>
      <sheetData sheetId="0"/>
      <sheetData sheetId="1"/>
      <sheetData sheetId="2">
        <row r="5">
          <cell r="G5">
            <v>89475583.821250007</v>
          </cell>
        </row>
        <row r="8">
          <cell r="G8">
            <v>472223.18712561892</v>
          </cell>
        </row>
        <row r="9">
          <cell r="G9">
            <v>-730875.1100578442</v>
          </cell>
        </row>
        <row r="15">
          <cell r="G15">
            <v>0</v>
          </cell>
        </row>
        <row r="18">
          <cell r="G18">
            <v>-282982.90999999992</v>
          </cell>
        </row>
        <row r="19">
          <cell r="G19">
            <v>2615606.2672506464</v>
          </cell>
        </row>
      </sheetData>
      <sheetData sheetId="3">
        <row r="21">
          <cell r="AJ21">
            <v>10165531.229999999</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ysis"/>
      <sheetName val="Grossing up of Investment"/>
      <sheetName val="Cash Flow_SEC Format"/>
      <sheetName val="Cash Flow"/>
      <sheetName val="EXL All Cash flow Statement_Sum"/>
      <sheetName val="Pivot_CTA_Jan'21 - Dec'21"/>
      <sheetName val="Other Adjustments"/>
      <sheetName val="Working"/>
      <sheetName val="Working (2)"/>
      <sheetName val="Credit Facility"/>
      <sheetName val="Working (3)"/>
      <sheetName val="Convertible Note Issuance Cost "/>
      <sheetName val="Borrowings"/>
      <sheetName val="Def Issuance cost"/>
      <sheetName val="Debt issuance cost"/>
    </sheetNames>
    <sheetDataSet>
      <sheetData sheetId="0"/>
      <sheetData sheetId="1"/>
      <sheetData sheetId="2">
        <row r="2">
          <cell r="C2" t="str">
            <v>March 2021 Manual Adjustments</v>
          </cell>
        </row>
        <row r="8">
          <cell r="H8">
            <v>118055.79678140473</v>
          </cell>
        </row>
        <row r="9">
          <cell r="H9">
            <v>107107</v>
          </cell>
        </row>
        <row r="15">
          <cell r="H15">
            <v>0</v>
          </cell>
        </row>
        <row r="18">
          <cell r="H18">
            <v>-6910.17</v>
          </cell>
        </row>
        <row r="19">
          <cell r="H19">
            <v>672566.14136612648</v>
          </cell>
        </row>
      </sheetData>
      <sheetData sheetId="3">
        <row r="21">
          <cell r="AJ21">
            <v>-2926872.0300000003</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napshot- 10K Checks"/>
      <sheetName val="Master Sheet"/>
      <sheetName val="Index"/>
      <sheetName val="Balance Sheets"/>
      <sheetName val="Statements of Income"/>
      <sheetName val="OCI Movement"/>
      <sheetName val="SCI"/>
      <sheetName val="SCI (Tax grossing)"/>
      <sheetName val="AOCI"/>
      <sheetName val="AOCI (Tax grossing)"/>
      <sheetName val="Shareholders Equity Q2'20 (9M)"/>
      <sheetName val="Shareholders Equity Q3'17"/>
      <sheetName val="Shareholders Equity 10K "/>
      <sheetName val="Shareholders Equity Q2'20 (3M)"/>
      <sheetName val="Statements of Cash Flow"/>
      <sheetName val="3. Quarterly Financial Data"/>
      <sheetName val="Other income (expense), net"/>
      <sheetName val="Cash &amp; cash equivalent"/>
      <sheetName val="Investments"/>
      <sheetName val="CL,NCL,OCA &amp; OA"/>
      <sheetName val="Revenues,Net"/>
      <sheetName val="EPS"/>
      <sheetName val="MD&amp;A Section- Three months"/>
      <sheetName val="Segment Information "/>
      <sheetName val="Statement of opts data(Item 6)"/>
      <sheetName val="Geographical"/>
      <sheetName val="Reimb Revenue- Unbilled"/>
      <sheetName val="MD&amp;A Section- Year End"/>
      <sheetName val="Data - 8K"/>
      <sheetName val="Pro forma (Bus. Com (1)"/>
      <sheetName val="Business Com (2)"/>
      <sheetName val="Business Com"/>
      <sheetName val="Goodwill (2)"/>
      <sheetName val="Goodwill"/>
      <sheetName val="Intangibles"/>
      <sheetName val="MD&amp;A Section- Three Months End"/>
      <sheetName val="MD&amp;A Section- Nine Months End"/>
      <sheetName val="Business Com (3)"/>
      <sheetName val="Goodwill &amp; Intangibles"/>
      <sheetName val="Emp Benefits"/>
      <sheetName val="Fair Value Measurements"/>
      <sheetName val="Derivatives 1"/>
      <sheetName val="Derivatives 3"/>
      <sheetName val="Derivatives 2 (b)"/>
      <sheetName val="Derivatives 1 "/>
      <sheetName val="Derivatives 2 (a)"/>
      <sheetName val="Derivatives 2 (b) "/>
      <sheetName val="Derivatives 3(c)"/>
      <sheetName val="FA"/>
      <sheetName val="Lease disclosure"/>
      <sheetName val="12. Leases"/>
      <sheetName val="Income Tax"/>
      <sheetName val="Contractual Obligati &amp; Note 19 "/>
      <sheetName val="Contingencies"/>
      <sheetName val="Sheet1"/>
      <sheetName val="MD&amp;A"/>
      <sheetName val="MD&amp;A (9m)"/>
      <sheetName val="MD&amp;A (PY)"/>
      <sheetName val="Liquidity &amp; CR"/>
      <sheetName val="Item 2"/>
      <sheetName val="18. Capital Structure"/>
      <sheetName val="21. Stock Based Compensation"/>
      <sheetName val="Borrowings &amp; Credit Arrangement"/>
      <sheetName val="Commitment &amp; Contingencies"/>
      <sheetName val="Equity compensation plan Item 5"/>
      <sheetName val="Item 7A"/>
      <sheetName val="24. Impairment &amp; Restructuring"/>
      <sheetName val="High and Low"/>
    </sheetNames>
    <sheetDataSet>
      <sheetData sheetId="0" refreshError="1"/>
      <sheetData sheetId="1" refreshError="1"/>
      <sheetData sheetId="2" refreshError="1"/>
      <sheetData sheetId="3" refreshError="1">
        <row r="9">
          <cell r="C9">
            <v>118669</v>
          </cell>
        </row>
        <row r="10">
          <cell r="C10">
            <v>179027</v>
          </cell>
        </row>
        <row r="11">
          <cell r="C11">
            <v>4897</v>
          </cell>
        </row>
        <row r="12">
          <cell r="C12">
            <v>259222</v>
          </cell>
        </row>
        <row r="15">
          <cell r="C15">
            <v>82828</v>
          </cell>
        </row>
        <row r="16">
          <cell r="C16">
            <v>55347</v>
          </cell>
        </row>
        <row r="17">
          <cell r="C17">
            <v>2055</v>
          </cell>
        </row>
        <row r="18">
          <cell r="C18">
            <v>55791</v>
          </cell>
        </row>
        <row r="19">
          <cell r="C19">
            <v>64819</v>
          </cell>
        </row>
        <row r="20">
          <cell r="C20">
            <v>405637</v>
          </cell>
        </row>
        <row r="21">
          <cell r="C21">
            <v>32069</v>
          </cell>
        </row>
        <row r="26">
          <cell r="C26">
            <v>7789</v>
          </cell>
        </row>
        <row r="27">
          <cell r="C27">
            <v>30000</v>
          </cell>
        </row>
        <row r="28">
          <cell r="C28">
            <v>18782</v>
          </cell>
        </row>
        <row r="29">
          <cell r="C29">
            <v>108100</v>
          </cell>
        </row>
        <row r="30">
          <cell r="C30">
            <v>95352</v>
          </cell>
        </row>
        <row r="31">
          <cell r="C31">
            <v>14978</v>
          </cell>
        </row>
        <row r="32">
          <cell r="C32">
            <v>2945</v>
          </cell>
        </row>
        <row r="35">
          <cell r="C35">
            <v>220000</v>
          </cell>
        </row>
        <row r="37">
          <cell r="C37">
            <v>547</v>
          </cell>
        </row>
        <row r="38">
          <cell r="C38">
            <v>48155</v>
          </cell>
        </row>
        <row r="44">
          <cell r="C44">
            <v>40</v>
          </cell>
        </row>
        <row r="45">
          <cell r="C45">
            <v>445108</v>
          </cell>
        </row>
        <row r="46">
          <cell r="C46">
            <v>899105</v>
          </cell>
        </row>
        <row r="47">
          <cell r="C47">
            <v>-144143</v>
          </cell>
        </row>
        <row r="49">
          <cell r="C49">
            <v>-441931</v>
          </cell>
        </row>
      </sheetData>
      <sheetData sheetId="4" refreshError="1">
        <row r="7">
          <cell r="J7">
            <v>1412044</v>
          </cell>
        </row>
        <row r="8">
          <cell r="J8">
            <v>896595</v>
          </cell>
        </row>
        <row r="11">
          <cell r="J11">
            <v>169016</v>
          </cell>
        </row>
        <row r="12">
          <cell r="J12">
            <v>97989</v>
          </cell>
        </row>
        <row r="13">
          <cell r="J13">
            <v>56282</v>
          </cell>
        </row>
        <row r="17">
          <cell r="J17">
            <v>6199</v>
          </cell>
        </row>
        <row r="18">
          <cell r="J18">
            <v>-8252</v>
          </cell>
        </row>
        <row r="19">
          <cell r="J19">
            <v>-10</v>
          </cell>
        </row>
        <row r="22">
          <cell r="J22">
            <v>47565</v>
          </cell>
        </row>
        <row r="24">
          <cell r="J24">
            <v>434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C7">
            <v>142968</v>
          </cell>
        </row>
        <row r="9">
          <cell r="C9">
            <v>56102</v>
          </cell>
        </row>
        <row r="10">
          <cell r="C10">
            <v>49366</v>
          </cell>
        </row>
        <row r="11">
          <cell r="C11">
            <v>21783</v>
          </cell>
        </row>
        <row r="12">
          <cell r="C12">
            <v>-1209</v>
          </cell>
        </row>
        <row r="13">
          <cell r="C13">
            <v>-16643</v>
          </cell>
        </row>
        <row r="14">
          <cell r="C14">
            <v>-19552</v>
          </cell>
        </row>
        <row r="15">
          <cell r="C15">
            <v>683</v>
          </cell>
        </row>
        <row r="17">
          <cell r="C17">
            <v>8250</v>
          </cell>
        </row>
        <row r="19">
          <cell r="C19">
            <v>0</v>
          </cell>
        </row>
        <row r="20">
          <cell r="C20">
            <v>0</v>
          </cell>
        </row>
        <row r="23">
          <cell r="C23">
            <v>-68121</v>
          </cell>
        </row>
        <row r="24">
          <cell r="C24">
            <v>-7709</v>
          </cell>
        </row>
        <row r="25">
          <cell r="C25">
            <v>8779</v>
          </cell>
        </row>
        <row r="26">
          <cell r="C26">
            <v>-10723</v>
          </cell>
        </row>
        <row r="27">
          <cell r="C27">
            <v>2385</v>
          </cell>
        </row>
        <row r="28">
          <cell r="C28">
            <v>2473</v>
          </cell>
        </row>
        <row r="29">
          <cell r="C29">
            <v>5551</v>
          </cell>
        </row>
        <row r="30">
          <cell r="C30">
            <v>14475</v>
          </cell>
        </row>
        <row r="31">
          <cell r="C31">
            <v>-23227</v>
          </cell>
        </row>
        <row r="34">
          <cell r="C34">
            <v>-44836</v>
          </cell>
        </row>
        <row r="35">
          <cell r="C35">
            <v>266</v>
          </cell>
        </row>
        <row r="36">
          <cell r="C36">
            <v>0</v>
          </cell>
        </row>
        <row r="37">
          <cell r="C37">
            <v>0</v>
          </cell>
        </row>
        <row r="38">
          <cell r="C38">
            <v>-3872</v>
          </cell>
        </row>
        <row r="39">
          <cell r="C39">
            <v>-212607</v>
          </cell>
        </row>
        <row r="40">
          <cell r="C40">
            <v>164503</v>
          </cell>
        </row>
        <row r="43">
          <cell r="C43">
            <v>-142</v>
          </cell>
        </row>
        <row r="44">
          <cell r="C44">
            <v>35000</v>
          </cell>
        </row>
        <row r="45">
          <cell r="C45">
            <v>-45000</v>
          </cell>
        </row>
        <row r="46">
          <cell r="C46">
            <v>0</v>
          </cell>
        </row>
        <row r="51">
          <cell r="C51">
            <v>-72642</v>
          </cell>
        </row>
        <row r="52">
          <cell r="C52">
            <v>0</v>
          </cell>
        </row>
        <row r="53">
          <cell r="C53">
            <v>1060</v>
          </cell>
        </row>
        <row r="55">
          <cell r="C55">
            <v>-6060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6">
          <cell r="B6">
            <v>448704</v>
          </cell>
          <cell r="C6">
            <v>97351</v>
          </cell>
          <cell r="D6">
            <v>218638</v>
          </cell>
          <cell r="E6">
            <v>647351</v>
          </cell>
        </row>
        <row r="8">
          <cell r="B8">
            <v>160970</v>
          </cell>
          <cell r="C8">
            <v>26400</v>
          </cell>
          <cell r="D8">
            <v>90621</v>
          </cell>
          <cell r="E8">
            <v>237458</v>
          </cell>
        </row>
        <row r="69">
          <cell r="E69">
            <v>0.8593761950760741</v>
          </cell>
        </row>
        <row r="71">
          <cell r="E71">
            <v>9.5344054434564368E-2</v>
          </cell>
        </row>
        <row r="72">
          <cell r="E72">
            <v>4.5279750489361524E-2</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row r="7">
          <cell r="B7">
            <v>50428</v>
          </cell>
        </row>
        <row r="58">
          <cell r="B58">
            <v>17109</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row r="4">
          <cell r="B4">
            <v>11535</v>
          </cell>
        </row>
        <row r="7">
          <cell r="B7">
            <v>49366</v>
          </cell>
        </row>
      </sheetData>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ysis"/>
      <sheetName val="Grossing up of Investment"/>
      <sheetName val="Cash Flow_SEC Format"/>
      <sheetName val="Cash Flow"/>
      <sheetName val="EXL All Cash flow Statement_Sum"/>
      <sheetName val="Pivot_CTA_Jan'21 - Dec'21"/>
      <sheetName val="Other Adjustments"/>
      <sheetName val="Working"/>
      <sheetName val="Working (2)"/>
      <sheetName val="Credit Facility"/>
      <sheetName val="Working (3)"/>
      <sheetName val="Convertible Note Issuance Cost "/>
      <sheetName val="Borrowings"/>
      <sheetName val="Def Issuance cost"/>
      <sheetName val="Debt issuance cost"/>
    </sheetNames>
    <sheetDataSet>
      <sheetData sheetId="0"/>
      <sheetData sheetId="1"/>
      <sheetData sheetId="2">
        <row r="5">
          <cell r="G5">
            <v>59950790.52471558</v>
          </cell>
        </row>
        <row r="8">
          <cell r="G8">
            <v>236112</v>
          </cell>
        </row>
        <row r="9">
          <cell r="G9">
            <v>105603.28000000014</v>
          </cell>
        </row>
        <row r="15">
          <cell r="G15">
            <v>0</v>
          </cell>
        </row>
        <row r="18">
          <cell r="G18">
            <v>-194325.33000000005</v>
          </cell>
        </row>
        <row r="19">
          <cell r="G19">
            <v>1364468.55</v>
          </cell>
        </row>
      </sheetData>
      <sheetData sheetId="3">
        <row r="22">
          <cell r="AJ22">
            <v>-8356307.29</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come Statement"/>
      <sheetName val="Balance Sheet"/>
      <sheetName val="Cashflow"/>
      <sheetName val="Revenues and Margins"/>
      <sheetName val="Other Metrics"/>
    </sheetNames>
    <sheetDataSet>
      <sheetData sheetId="0"/>
      <sheetData sheetId="1">
        <row r="8">
          <cell r="K8">
            <v>991346</v>
          </cell>
        </row>
      </sheetData>
      <sheetData sheetId="2">
        <row r="8">
          <cell r="J8">
            <v>119165</v>
          </cell>
        </row>
      </sheetData>
      <sheetData sheetId="3">
        <row r="8">
          <cell r="K8">
            <v>67659</v>
          </cell>
        </row>
        <row r="13">
          <cell r="K13">
            <v>26070</v>
          </cell>
          <cell r="L13">
            <v>0</v>
          </cell>
          <cell r="M13">
            <v>4778</v>
          </cell>
          <cell r="N13">
            <v>7726</v>
          </cell>
          <cell r="O13">
            <v>8346</v>
          </cell>
          <cell r="P13">
            <v>7385</v>
          </cell>
          <cell r="Q13">
            <v>28235</v>
          </cell>
          <cell r="R13">
            <v>7832</v>
          </cell>
          <cell r="S13">
            <v>10070</v>
          </cell>
          <cell r="T13">
            <v>10894</v>
          </cell>
          <cell r="U13">
            <v>9825</v>
          </cell>
          <cell r="V13">
            <v>38621</v>
          </cell>
          <cell r="W13">
            <v>11224</v>
          </cell>
          <cell r="X13">
            <v>13340</v>
          </cell>
          <cell r="Y13">
            <v>12186</v>
          </cell>
          <cell r="Z13">
            <v>12616</v>
          </cell>
          <cell r="AA13">
            <v>49366</v>
          </cell>
          <cell r="AB13">
            <v>14407</v>
          </cell>
          <cell r="AC13">
            <v>11511</v>
          </cell>
        </row>
        <row r="18">
          <cell r="K18">
            <v>0</v>
          </cell>
          <cell r="L18">
            <v>0</v>
          </cell>
          <cell r="M18">
            <v>0</v>
          </cell>
          <cell r="N18">
            <v>0</v>
          </cell>
          <cell r="O18">
            <v>0</v>
          </cell>
          <cell r="P18">
            <v>0</v>
          </cell>
          <cell r="Q18">
            <v>0</v>
          </cell>
          <cell r="R18">
            <v>0</v>
          </cell>
          <cell r="S18">
            <v>0</v>
          </cell>
          <cell r="T18">
            <v>0</v>
          </cell>
        </row>
        <row r="19">
          <cell r="K19">
            <v>-321</v>
          </cell>
          <cell r="L19">
            <v>0</v>
          </cell>
          <cell r="M19">
            <v>-6490</v>
          </cell>
          <cell r="N19">
            <v>3112</v>
          </cell>
          <cell r="O19">
            <v>2894</v>
          </cell>
          <cell r="P19">
            <v>886</v>
          </cell>
          <cell r="Q19">
            <v>402</v>
          </cell>
          <cell r="R19">
            <v>-1139</v>
          </cell>
          <cell r="S19">
            <v>-1495</v>
          </cell>
          <cell r="T19">
            <v>-1165</v>
          </cell>
          <cell r="U19">
            <v>-22</v>
          </cell>
          <cell r="V19">
            <v>-3821</v>
          </cell>
          <cell r="W19">
            <v>-3165</v>
          </cell>
          <cell r="X19">
            <v>-7115</v>
          </cell>
          <cell r="Y19">
            <v>-6533</v>
          </cell>
          <cell r="Z19">
            <v>170</v>
          </cell>
          <cell r="AA19">
            <v>-16643</v>
          </cell>
          <cell r="AB19">
            <v>2814</v>
          </cell>
          <cell r="AC19">
            <v>-1526</v>
          </cell>
        </row>
        <row r="20">
          <cell r="K20">
            <v>-10116</v>
          </cell>
          <cell r="L20">
            <v>0</v>
          </cell>
          <cell r="M20">
            <v>267</v>
          </cell>
          <cell r="N20">
            <v>-3109</v>
          </cell>
          <cell r="O20">
            <v>-1965</v>
          </cell>
          <cell r="P20">
            <v>-2367</v>
          </cell>
          <cell r="Q20">
            <v>-7174</v>
          </cell>
          <cell r="R20">
            <v>-1103</v>
          </cell>
          <cell r="S20">
            <v>7880</v>
          </cell>
          <cell r="T20">
            <v>-790</v>
          </cell>
          <cell r="U20">
            <v>-848</v>
          </cell>
          <cell r="V20">
            <v>5139</v>
          </cell>
          <cell r="W20">
            <v>-384</v>
          </cell>
          <cell r="X20">
            <v>109</v>
          </cell>
          <cell r="Y20">
            <v>-200</v>
          </cell>
          <cell r="Z20">
            <v>-734</v>
          </cell>
          <cell r="AA20">
            <v>-1209</v>
          </cell>
          <cell r="AB20">
            <v>8186</v>
          </cell>
          <cell r="AC20">
            <v>-964</v>
          </cell>
        </row>
      </sheetData>
      <sheetData sheetId="4">
        <row r="17">
          <cell r="W17">
            <v>180169</v>
          </cell>
        </row>
      </sheetData>
      <sheetData sheetId="5">
        <row r="6">
          <cell r="L6">
            <v>31728</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ysis"/>
      <sheetName val="Cash Flow_SEC Format"/>
      <sheetName val="Cash Flow"/>
      <sheetName val="Other Adjustments"/>
      <sheetName val="EXL Cash Flow Statement"/>
      <sheetName val="Inductis Cash Flow Statement"/>
      <sheetName val="EXL OPI Cash Flow Statement"/>
      <sheetName val="Pivot_CTA_Jan 19-Jun 19"/>
      <sheetName val="Working"/>
      <sheetName val="Working (2)"/>
      <sheetName val="Credit Facility"/>
      <sheetName val="Working (3)"/>
      <sheetName val="Convertible Note Issuance Cost "/>
      <sheetName val="Debt issuance cost"/>
      <sheetName val="Borrowings"/>
    </sheetNames>
    <sheetDataSet>
      <sheetData sheetId="0" refreshError="1"/>
      <sheetData sheetId="1" refreshError="1">
        <row r="7">
          <cell r="G7">
            <v>-2630975.3800000004</v>
          </cell>
        </row>
        <row r="19">
          <cell r="G19">
            <v>1218215.553493748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ysis"/>
      <sheetName val="Grossing up of Investment"/>
      <sheetName val="Cash Flow_SEC Format"/>
      <sheetName val="Cash Flow"/>
      <sheetName val="Other Adjustments"/>
      <sheetName val="EXL Cash Flow Statement"/>
      <sheetName val="Inductis Cash Flow Statement"/>
      <sheetName val="EXL OPI Cash Flow Statement"/>
      <sheetName val="Pivot_CTA_Jan'19 - Dec'19"/>
      <sheetName val="Working"/>
      <sheetName val="Working (2)"/>
      <sheetName val="Credit Facility"/>
      <sheetName val="Working (3)"/>
      <sheetName val="Convertible Note Issuance Cost "/>
      <sheetName val="Borrowings"/>
      <sheetName val="Def Issuance cost"/>
      <sheetName val="Debt issuance cost"/>
    </sheetNames>
    <sheetDataSet>
      <sheetData sheetId="0" refreshError="1"/>
      <sheetData sheetId="1" refreshError="1"/>
      <sheetData sheetId="2">
        <row r="7">
          <cell r="G7">
            <v>-12345641.880000003</v>
          </cell>
        </row>
        <row r="19">
          <cell r="G19">
            <v>2471454.8041504407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ysis"/>
      <sheetName val="Grossing up of Investment"/>
      <sheetName val="Cash Flow_SEC Format"/>
      <sheetName val="Cash Flow"/>
      <sheetName val="EXL All Cash flow Statement_Sum"/>
      <sheetName val="Pivot_CTA_Jan'22 - Sep'22"/>
      <sheetName val="Other Adjustments"/>
      <sheetName val="Working"/>
      <sheetName val="Working (2)"/>
      <sheetName val="Credit Facility"/>
      <sheetName val="Working (3)"/>
      <sheetName val="Convertible Note Issuance Cost "/>
      <sheetName val="New_26374 # Deferred Finance"/>
      <sheetName val="Borrowings"/>
      <sheetName val="Def Issuance cost"/>
      <sheetName val="Debt issuance cost"/>
    </sheetNames>
    <sheetDataSet>
      <sheetData sheetId="0"/>
      <sheetData sheetId="1"/>
      <sheetData sheetId="2">
        <row r="5">
          <cell r="I5">
            <v>111119111.71268936</v>
          </cell>
        </row>
        <row r="8">
          <cell r="I8">
            <v>200679.88</v>
          </cell>
        </row>
        <row r="9">
          <cell r="I9">
            <v>1437946.3662493026</v>
          </cell>
        </row>
        <row r="19">
          <cell r="I19">
            <v>-365519.2</v>
          </cell>
        </row>
        <row r="20">
          <cell r="I20">
            <v>-34318.19</v>
          </cell>
        </row>
      </sheetData>
      <sheetData sheetId="3"/>
      <sheetData sheetId="4"/>
      <sheetData sheetId="5"/>
      <sheetData sheetId="6">
        <row r="4">
          <cell r="K4" t="str">
            <v>USD Amount</v>
          </cell>
        </row>
      </sheetData>
      <sheetData sheetId="7"/>
      <sheetData sheetId="8"/>
      <sheetData sheetId="9"/>
      <sheetData sheetId="10"/>
      <sheetData sheetId="11"/>
      <sheetData sheetId="12"/>
      <sheetData sheetId="13"/>
      <sheetData sheetId="14"/>
      <sheetData sheetId="15"/>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ysis"/>
      <sheetName val="Grossing up of Investment"/>
      <sheetName val="Cash Flow_SEC Format"/>
      <sheetName val="Cash Flow"/>
      <sheetName val="EXL All Cash flow Statement_Sum"/>
      <sheetName val="Pivot_CTA"/>
      <sheetName val="Other Adjustments"/>
      <sheetName val="Working"/>
      <sheetName val="Working (2)"/>
      <sheetName val="Credit Facility"/>
      <sheetName val="Working (3)"/>
      <sheetName val="Convertible Note Issuance Cost "/>
      <sheetName val="New_26374 # Deferred Finance"/>
      <sheetName val="Borrowings"/>
      <sheetName val="Def Issuance cost"/>
      <sheetName val="Debt issuance cost"/>
    </sheetNames>
    <sheetDataSet>
      <sheetData sheetId="0" refreshError="1"/>
      <sheetData sheetId="1" refreshError="1"/>
      <sheetData sheetId="2">
        <row r="3">
          <cell r="A3" t="str">
            <v>CASH FLOWS STATEMENT for the period ended December 31, 2022</v>
          </cell>
        </row>
        <row r="8">
          <cell r="I8">
            <v>269149.90000000002</v>
          </cell>
        </row>
        <row r="9">
          <cell r="I9">
            <v>710736.72600484535</v>
          </cell>
        </row>
        <row r="19">
          <cell r="I19">
            <v>-434062.87</v>
          </cell>
        </row>
        <row r="20">
          <cell r="I20">
            <v>-37450.589999999997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ysis"/>
      <sheetName val="Cash Flow_SEC Format"/>
      <sheetName val="Cash Flow"/>
      <sheetName val="EXL All Cash flow Statement_Sum"/>
      <sheetName val="Grossing up of Investment"/>
      <sheetName val="Pivot_CTA"/>
      <sheetName val="Other Adjustments"/>
      <sheetName val="Working"/>
      <sheetName val="Working (2)"/>
      <sheetName val="Credit Facility"/>
      <sheetName val="Working (3)"/>
      <sheetName val="Convertible Note Issuance Cost "/>
      <sheetName val="New_26374 # Deferred Finance"/>
      <sheetName val="Borrowings"/>
      <sheetName val="Debt issuance cost"/>
    </sheetNames>
    <sheetDataSet>
      <sheetData sheetId="0" refreshError="1"/>
      <sheetData sheetId="1">
        <row r="5">
          <cell r="I5">
            <v>51330562.80214791</v>
          </cell>
        </row>
        <row r="8">
          <cell r="I8">
            <v>68470.02</v>
          </cell>
        </row>
        <row r="9">
          <cell r="I9">
            <v>1174957.2119420003</v>
          </cell>
        </row>
        <row r="19">
          <cell r="I19">
            <v>-65942.09</v>
          </cell>
        </row>
        <row r="20">
          <cell r="I20">
            <v>-15050.270000000002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ysis"/>
      <sheetName val="Drivers_PTD Jun'23 vs May'23"/>
      <sheetName val="Cash Flow_SEC Format"/>
      <sheetName val="Cash Flow"/>
      <sheetName val="EXL All Cash flow Statement_Sum"/>
      <sheetName val="Pivot_CTA"/>
      <sheetName val="Grossing up of Investment"/>
      <sheetName val="Other Adjustments"/>
      <sheetName val="Working"/>
      <sheetName val="Working (2)"/>
      <sheetName val="Credit Facility"/>
      <sheetName val="Working (3)"/>
      <sheetName val="Convertible Note Issuance Cost "/>
      <sheetName val="New_26374 # Deferred Finance"/>
      <sheetName val="Borrowings"/>
      <sheetName val="Debt issuance cost"/>
    </sheetNames>
    <sheetDataSet>
      <sheetData sheetId="0" refreshError="1"/>
      <sheetData sheetId="1" refreshError="1"/>
      <sheetData sheetId="2" refreshError="1">
        <row r="5">
          <cell r="I5">
            <v>100398857.88295707</v>
          </cell>
        </row>
        <row r="8">
          <cell r="I8">
            <v>136940.04</v>
          </cell>
        </row>
        <row r="9">
          <cell r="I9">
            <v>1284772.7891184462</v>
          </cell>
        </row>
        <row r="19">
          <cell r="I19">
            <v>-131942.09</v>
          </cell>
        </row>
        <row r="20">
          <cell r="I20">
            <v>-87759.039999999994</v>
          </cell>
        </row>
      </sheetData>
      <sheetData sheetId="3" refreshError="1"/>
      <sheetData sheetId="4" refreshError="1"/>
      <sheetData sheetId="5">
        <row r="4">
          <cell r="A4" t="str">
            <v>Accounts payable</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ysis"/>
      <sheetName val="Drivers_PTD"/>
      <sheetName val="Cash Flow_SEC Format"/>
      <sheetName val="Cash Flow"/>
      <sheetName val="EXL All Cash flow Statement_Sum"/>
      <sheetName val="Pivot_CTA"/>
      <sheetName val="Grossing up of Investment"/>
      <sheetName val="Other Adjustments"/>
      <sheetName val="Working"/>
      <sheetName val="Working (2)"/>
      <sheetName val="Credit Facility"/>
      <sheetName val="Working (3)"/>
      <sheetName val="Convertible Note Issuance Cost "/>
      <sheetName val="New_26374 # Deferred Finance"/>
      <sheetName val="Borrowings"/>
      <sheetName val="Debt issuance cost"/>
    </sheetNames>
    <sheetDataSet>
      <sheetData sheetId="0"/>
      <sheetData sheetId="1"/>
      <sheetData sheetId="2">
        <row r="7">
          <cell r="I7">
            <v>-26554518.060000002</v>
          </cell>
        </row>
        <row r="8">
          <cell r="I8">
            <v>205410.06</v>
          </cell>
        </row>
        <row r="9">
          <cell r="I9">
            <v>1380220.6697750008</v>
          </cell>
        </row>
        <row r="19">
          <cell r="I19">
            <v>-156725.09</v>
          </cell>
        </row>
        <row r="20">
          <cell r="I20">
            <v>-41755.669999999984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ysis"/>
      <sheetName val="Drivers_PTD"/>
      <sheetName val="Cash Flow_SEC Format"/>
      <sheetName val="Cash Flow"/>
      <sheetName val="EXL All Cash flow Statement_Sum"/>
      <sheetName val="Pivot_CTA"/>
      <sheetName val="Grossing up of Investment"/>
      <sheetName val="Other Adjustments"/>
      <sheetName val="Working"/>
      <sheetName val="Working (2)"/>
      <sheetName val="Credit Facility"/>
      <sheetName val="Working (3)"/>
      <sheetName val="Convertible Note Issuance Cost "/>
      <sheetName val="New_26374 # Deferred Finance"/>
      <sheetName val="Borrowings"/>
      <sheetName val="Debt issuance cost"/>
    </sheetNames>
    <sheetDataSet>
      <sheetData sheetId="0"/>
      <sheetData sheetId="1"/>
      <sheetData sheetId="2">
        <row r="7">
          <cell r="I7">
            <v>-31742076.050000001</v>
          </cell>
        </row>
        <row r="8">
          <cell r="I8">
            <v>273880.08</v>
          </cell>
        </row>
        <row r="9">
          <cell r="I9">
            <v>926545.04348622437</v>
          </cell>
        </row>
        <row r="19">
          <cell r="I19">
            <v>-153129.84</v>
          </cell>
        </row>
        <row r="20">
          <cell r="I20">
            <v>-99434.38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napshot- 10K Checks"/>
      <sheetName val="Master Sheet"/>
      <sheetName val="Index"/>
      <sheetName val="Balance Sheets"/>
      <sheetName val="Statements of Income"/>
      <sheetName val="OCI Movement"/>
      <sheetName val="SCI"/>
      <sheetName val="SCI (Tax grossing)"/>
      <sheetName val="AOCI"/>
      <sheetName val="AOCI (Tax grossing)"/>
      <sheetName val="Shareholders Equity Q2'20 (9M)"/>
      <sheetName val="Shareholders Equity Q3'17"/>
      <sheetName val="Income Tax"/>
      <sheetName val="Statements of Cash Flow"/>
      <sheetName val="Shareholders Equity 10K "/>
      <sheetName val="Shareholders Equity Q2'20 (3M)"/>
      <sheetName val="3. Quarterly Financial Data"/>
      <sheetName val="Liquidity &amp; CR"/>
      <sheetName val="Other income (expense), net"/>
      <sheetName val="Cash &amp; cash equivalent"/>
      <sheetName val="Investments"/>
      <sheetName val="CL,NCL,OCA &amp; OA"/>
      <sheetName val="Revenues,Net"/>
      <sheetName val="EPS"/>
      <sheetName val="MD&amp;A Section- Three months"/>
      <sheetName val="Segment Information "/>
      <sheetName val="Statement of opts data(Item 6)"/>
      <sheetName val="Geographical"/>
      <sheetName val="Reimb Revenue- Unbilled"/>
      <sheetName val="MD&amp;A Section- Year End"/>
      <sheetName val="Data - 8K"/>
      <sheetName val="Pro forma (Bus. Com (1)"/>
      <sheetName val="Business Com (2)"/>
      <sheetName val="Business Com"/>
      <sheetName val="Goodwill (2)"/>
      <sheetName val="Goodwill"/>
      <sheetName val="Intangibles"/>
      <sheetName val="MD&amp;A Section- Three Months End"/>
      <sheetName val="MD&amp;A Section- Nine Months End"/>
      <sheetName val="Business Com (3)"/>
      <sheetName val="Goodwill &amp; Intangibles"/>
      <sheetName val="Emp Benefits"/>
      <sheetName val="Fair Value Measurements"/>
      <sheetName val="Derivatives 1"/>
      <sheetName val="Derivatives 3"/>
      <sheetName val="Derivatives 2 (b)"/>
      <sheetName val="Derivatives 1 "/>
      <sheetName val="Derivatives 2 (a)"/>
      <sheetName val="Derivatives 2 (b) "/>
      <sheetName val="Derivatives 3(c)"/>
      <sheetName val="FA"/>
      <sheetName val="21. Stock Based Compensation"/>
      <sheetName val="Lease disclosure"/>
      <sheetName val="12. Leases"/>
      <sheetName val="Contractual Obligati &amp; Note 19 "/>
      <sheetName val="Contingencies"/>
      <sheetName val="Sheet1"/>
      <sheetName val="MD&amp;A"/>
      <sheetName val="MD&amp;A (9m)"/>
      <sheetName val="MD&amp;A (PY)"/>
      <sheetName val="Item 2"/>
      <sheetName val="18. Capital Structure"/>
      <sheetName val="Borrowings &amp; Credit Arrangement"/>
      <sheetName val="Commitment &amp; Contingencies"/>
      <sheetName val="Equity compensation plan Item 5"/>
      <sheetName val="Item 7A"/>
      <sheetName val="24. Impairment &amp; Restructuring"/>
      <sheetName val="High and Low"/>
    </sheetNames>
    <sheetDataSet>
      <sheetData sheetId="0"/>
      <sheetData sheetId="1"/>
      <sheetData sheetId="2"/>
      <sheetData sheetId="3">
        <row r="9">
          <cell r="C9">
            <v>87298</v>
          </cell>
        </row>
        <row r="10">
          <cell r="C10">
            <v>116479</v>
          </cell>
        </row>
        <row r="11">
          <cell r="C11">
            <v>5598</v>
          </cell>
        </row>
        <row r="12">
          <cell r="C12">
            <v>290512</v>
          </cell>
        </row>
        <row r="13">
          <cell r="C13">
            <v>66340</v>
          </cell>
        </row>
        <row r="15">
          <cell r="C15">
            <v>86652</v>
          </cell>
        </row>
        <row r="16">
          <cell r="C16">
            <v>52782</v>
          </cell>
        </row>
        <row r="17">
          <cell r="C17">
            <v>2069</v>
          </cell>
        </row>
        <row r="18">
          <cell r="C18">
            <v>62252</v>
          </cell>
        </row>
        <row r="19">
          <cell r="C19">
            <v>60681</v>
          </cell>
        </row>
        <row r="20">
          <cell r="C20">
            <v>405824</v>
          </cell>
        </row>
        <row r="21">
          <cell r="C21">
            <v>36525</v>
          </cell>
        </row>
        <row r="26">
          <cell r="C26">
            <v>3384</v>
          </cell>
        </row>
        <row r="27">
          <cell r="C27">
            <v>40000</v>
          </cell>
        </row>
        <row r="28">
          <cell r="C28">
            <v>21525</v>
          </cell>
        </row>
        <row r="29">
          <cell r="C29">
            <v>49955</v>
          </cell>
        </row>
        <row r="30">
          <cell r="C30">
            <v>133400</v>
          </cell>
        </row>
        <row r="31">
          <cell r="C31">
            <v>14095</v>
          </cell>
        </row>
        <row r="32">
          <cell r="C32">
            <v>18545</v>
          </cell>
        </row>
        <row r="35">
          <cell r="C35">
            <v>160000</v>
          </cell>
        </row>
        <row r="37">
          <cell r="C37">
            <v>493</v>
          </cell>
        </row>
        <row r="38">
          <cell r="C38">
            <v>45655</v>
          </cell>
        </row>
        <row r="39">
          <cell r="C39">
            <v>26297</v>
          </cell>
        </row>
        <row r="44">
          <cell r="C44">
            <v>40</v>
          </cell>
        </row>
        <row r="45">
          <cell r="C45">
            <v>460527</v>
          </cell>
        </row>
        <row r="46">
          <cell r="C46">
            <v>950436</v>
          </cell>
        </row>
        <row r="47">
          <cell r="C47">
            <v>-131487</v>
          </cell>
        </row>
        <row r="49">
          <cell r="C49">
            <v>-484294</v>
          </cell>
        </row>
      </sheetData>
      <sheetData sheetId="4">
        <row r="7">
          <cell r="J7">
            <v>400643</v>
          </cell>
        </row>
        <row r="8">
          <cell r="J8">
            <v>251469</v>
          </cell>
        </row>
        <row r="11">
          <cell r="J11">
            <v>46746</v>
          </cell>
        </row>
        <row r="12">
          <cell r="J12">
            <v>29493</v>
          </cell>
        </row>
        <row r="13">
          <cell r="J13">
            <v>13487</v>
          </cell>
        </row>
        <row r="17">
          <cell r="J17">
            <v>105</v>
          </cell>
        </row>
        <row r="18">
          <cell r="J18">
            <v>-3385</v>
          </cell>
        </row>
        <row r="19">
          <cell r="J19">
            <v>3155</v>
          </cell>
        </row>
        <row r="22">
          <cell r="J22">
            <v>8058</v>
          </cell>
        </row>
        <row r="24">
          <cell r="J24">
            <v>66</v>
          </cell>
        </row>
      </sheetData>
      <sheetData sheetId="5"/>
      <sheetData sheetId="6"/>
      <sheetData sheetId="7">
        <row r="6">
          <cell r="J6">
            <v>7294</v>
          </cell>
        </row>
      </sheetData>
      <sheetData sheetId="8"/>
      <sheetData sheetId="9">
        <row r="3">
          <cell r="B3">
            <v>-133139</v>
          </cell>
        </row>
      </sheetData>
      <sheetData sheetId="10"/>
      <sheetData sheetId="11"/>
      <sheetData sheetId="12">
        <row r="103">
          <cell r="G103">
            <v>-1300</v>
          </cell>
        </row>
      </sheetData>
      <sheetData sheetId="13">
        <row r="7">
          <cell r="C7">
            <v>51331</v>
          </cell>
        </row>
        <row r="9">
          <cell r="C9">
            <v>13408</v>
          </cell>
        </row>
        <row r="10">
          <cell r="C10">
            <v>14407</v>
          </cell>
        </row>
        <row r="11">
          <cell r="C11">
            <v>4883</v>
          </cell>
        </row>
        <row r="12">
          <cell r="C12">
            <v>8186</v>
          </cell>
        </row>
        <row r="13">
          <cell r="C13">
            <v>2814</v>
          </cell>
        </row>
        <row r="14">
          <cell r="C14">
            <v>-9444</v>
          </cell>
        </row>
        <row r="15">
          <cell r="C15">
            <v>342</v>
          </cell>
        </row>
        <row r="19">
          <cell r="C19">
            <v>0</v>
          </cell>
        </row>
        <row r="20">
          <cell r="C20">
            <v>0</v>
          </cell>
        </row>
        <row r="23">
          <cell r="C23">
            <v>-30896</v>
          </cell>
        </row>
        <row r="24">
          <cell r="C24">
            <v>-6046</v>
          </cell>
        </row>
        <row r="25">
          <cell r="C25">
            <v>7883</v>
          </cell>
        </row>
        <row r="26">
          <cell r="C26">
            <v>-4172</v>
          </cell>
        </row>
        <row r="27">
          <cell r="C27">
            <v>-4445</v>
          </cell>
        </row>
        <row r="28">
          <cell r="C28">
            <v>2451</v>
          </cell>
        </row>
        <row r="29">
          <cell r="C29">
            <v>-57315</v>
          </cell>
        </row>
        <row r="30">
          <cell r="C30">
            <v>26931</v>
          </cell>
        </row>
        <row r="31">
          <cell r="C31">
            <v>-5453</v>
          </cell>
        </row>
        <row r="34">
          <cell r="C34">
            <v>-12479</v>
          </cell>
        </row>
        <row r="35">
          <cell r="C35">
            <v>565</v>
          </cell>
        </row>
        <row r="36">
          <cell r="C36">
            <v>0</v>
          </cell>
        </row>
        <row r="37">
          <cell r="C37">
            <v>0</v>
          </cell>
        </row>
        <row r="38">
          <cell r="C38">
            <v>0</v>
          </cell>
        </row>
        <row r="39">
          <cell r="C39">
            <v>-51495</v>
          </cell>
        </row>
        <row r="40">
          <cell r="C40">
            <v>106750</v>
          </cell>
        </row>
        <row r="43">
          <cell r="C43">
            <v>-43</v>
          </cell>
        </row>
        <row r="44">
          <cell r="C44">
            <v>50000</v>
          </cell>
        </row>
        <row r="45">
          <cell r="C45">
            <v>-100000</v>
          </cell>
        </row>
        <row r="46">
          <cell r="C46">
            <v>0</v>
          </cell>
        </row>
        <row r="51">
          <cell r="C51">
            <v>-42363</v>
          </cell>
        </row>
        <row r="52">
          <cell r="C52">
            <v>0</v>
          </cell>
        </row>
        <row r="53">
          <cell r="C53">
            <v>1102</v>
          </cell>
        </row>
        <row r="55">
          <cell r="C55">
            <v>1282</v>
          </cell>
        </row>
      </sheetData>
      <sheetData sheetId="14">
        <row r="15">
          <cell r="B15">
            <v>39987976</v>
          </cell>
        </row>
      </sheetData>
      <sheetData sheetId="15"/>
      <sheetData sheetId="16"/>
      <sheetData sheetId="17">
        <row r="5">
          <cell r="C5">
            <v>125.6</v>
          </cell>
        </row>
      </sheetData>
      <sheetData sheetId="18">
        <row r="4">
          <cell r="F4">
            <v>1644</v>
          </cell>
        </row>
      </sheetData>
      <sheetData sheetId="19">
        <row r="5">
          <cell r="C5">
            <v>87298</v>
          </cell>
        </row>
      </sheetData>
      <sheetData sheetId="20"/>
      <sheetData sheetId="21">
        <row r="15">
          <cell r="C15">
            <v>176</v>
          </cell>
        </row>
      </sheetData>
      <sheetData sheetId="22">
        <row r="41">
          <cell r="C41">
            <v>1095</v>
          </cell>
        </row>
      </sheetData>
      <sheetData sheetId="23">
        <row r="7">
          <cell r="K7">
            <v>51331</v>
          </cell>
        </row>
      </sheetData>
      <sheetData sheetId="24"/>
      <sheetData sheetId="25">
        <row r="6">
          <cell r="B6">
            <v>125937</v>
          </cell>
          <cell r="C6">
            <v>26703</v>
          </cell>
          <cell r="D6">
            <v>66161</v>
          </cell>
          <cell r="E6">
            <v>181842</v>
          </cell>
        </row>
        <row r="8">
          <cell r="B8">
            <v>43613</v>
          </cell>
          <cell r="C8">
            <v>7894</v>
          </cell>
          <cell r="D8">
            <v>30191</v>
          </cell>
          <cell r="E8">
            <v>67476</v>
          </cell>
        </row>
        <row r="69">
          <cell r="E69">
            <v>0.84632203732500011</v>
          </cell>
        </row>
        <row r="71">
          <cell r="E71">
            <v>0.10376819263034671</v>
          </cell>
        </row>
        <row r="72">
          <cell r="E72">
            <v>4.9909770044653218E-2</v>
          </cell>
        </row>
      </sheetData>
      <sheetData sheetId="26"/>
      <sheetData sheetId="27"/>
      <sheetData sheetId="28"/>
      <sheetData sheetId="29">
        <row r="7">
          <cell r="B7">
            <v>400.6</v>
          </cell>
        </row>
      </sheetData>
      <sheetData sheetId="30"/>
      <sheetData sheetId="31"/>
      <sheetData sheetId="32"/>
      <sheetData sheetId="33"/>
      <sheetData sheetId="34"/>
      <sheetData sheetId="35"/>
      <sheetData sheetId="36"/>
      <sheetData sheetId="37"/>
      <sheetData sheetId="38"/>
      <sheetData sheetId="39"/>
      <sheetData sheetId="40">
        <row r="58">
          <cell r="B58">
            <v>4149</v>
          </cell>
        </row>
      </sheetData>
      <sheetData sheetId="41">
        <row r="7">
          <cell r="I7">
            <v>956</v>
          </cell>
        </row>
      </sheetData>
      <sheetData sheetId="42">
        <row r="38">
          <cell r="B38">
            <v>18689</v>
          </cell>
        </row>
      </sheetData>
      <sheetData sheetId="43"/>
      <sheetData sheetId="44"/>
      <sheetData sheetId="45"/>
      <sheetData sheetId="46"/>
      <sheetData sheetId="47"/>
      <sheetData sheetId="48">
        <row r="6">
          <cell r="C6">
            <v>7294</v>
          </cell>
        </row>
      </sheetData>
      <sheetData sheetId="49">
        <row r="14">
          <cell r="B14">
            <v>45016</v>
          </cell>
        </row>
      </sheetData>
      <sheetData sheetId="50">
        <row r="20">
          <cell r="E20">
            <v>58</v>
          </cell>
        </row>
      </sheetData>
      <sheetData sheetId="51">
        <row r="4">
          <cell r="B4">
            <v>3566</v>
          </cell>
        </row>
        <row r="7">
          <cell r="B7">
            <v>14407</v>
          </cell>
        </row>
      </sheetData>
      <sheetData sheetId="52">
        <row r="25">
          <cell r="C25">
            <v>38</v>
          </cell>
        </row>
      </sheetData>
      <sheetData sheetId="53"/>
      <sheetData sheetId="54"/>
      <sheetData sheetId="55"/>
      <sheetData sheetId="56"/>
      <sheetData sheetId="57"/>
      <sheetData sheetId="58"/>
      <sheetData sheetId="59"/>
      <sheetData sheetId="60">
        <row r="5">
          <cell r="J5">
            <v>195645267.46220005</v>
          </cell>
        </row>
      </sheetData>
      <sheetData sheetId="61">
        <row r="4">
          <cell r="F4">
            <v>38356</v>
          </cell>
        </row>
      </sheetData>
      <sheetData sheetId="62">
        <row r="72">
          <cell r="D72">
            <v>5.8999999999999997E-2</v>
          </cell>
        </row>
      </sheetData>
      <sheetData sheetId="63"/>
      <sheetData sheetId="64"/>
      <sheetData sheetId="65"/>
      <sheetData sheetId="66"/>
      <sheetData sheetId="67"/>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ysis"/>
      <sheetName val="Drivers_PTD"/>
      <sheetName val="Cash Flow_SEC Format"/>
      <sheetName val="Cash Flow"/>
      <sheetName val="EXL All Cash flow Statement_Sum"/>
      <sheetName val="Pivot_CTA"/>
      <sheetName val="Grossing up of Investment"/>
      <sheetName val="Other Adjustments"/>
      <sheetName val="Working"/>
      <sheetName val="Working (2)"/>
      <sheetName val="Borrowings"/>
      <sheetName val="Operating Lease"/>
      <sheetName val="Credit Facility"/>
      <sheetName val="Working (3)"/>
      <sheetName val="Convertible Note Issuance Cost "/>
      <sheetName val="New_26374 # Deferred Finance"/>
      <sheetName val="Debt issuance cost"/>
    </sheetNames>
    <sheetDataSet>
      <sheetData sheetId="0" refreshError="1"/>
      <sheetData sheetId="1" refreshError="1"/>
      <sheetData sheetId="2">
        <row r="7">
          <cell r="I7">
            <v>-8680006.1499999985</v>
          </cell>
        </row>
        <row r="8">
          <cell r="I8">
            <v>68470.02</v>
          </cell>
        </row>
        <row r="10">
          <cell r="I10">
            <v>294419.21337867505</v>
          </cell>
        </row>
        <row r="20">
          <cell r="I20">
            <v>27588.91</v>
          </cell>
        </row>
        <row r="21">
          <cell r="I21">
            <v>-16850.34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ysis"/>
      <sheetName val="Drivers_PTD"/>
      <sheetName val="Cash Flow_SEC Format"/>
      <sheetName val="Cash Flow"/>
      <sheetName val="EXL All Cash flow Statement_Sum"/>
      <sheetName val="Pivot_CTA"/>
      <sheetName val="Grossing up of Investment"/>
      <sheetName val="Other Adjustments"/>
      <sheetName val="Working"/>
      <sheetName val="Working (2)"/>
      <sheetName val="Borrowings"/>
      <sheetName val="Operating Lease"/>
      <sheetName val="Credit Facility"/>
      <sheetName val="Working (3)"/>
      <sheetName val="Convertible Note Issuance Cost "/>
      <sheetName val="New_26374 # Deferred Finance"/>
      <sheetName val="Debt issuance cost"/>
    </sheetNames>
    <sheetDataSet>
      <sheetData sheetId="0"/>
      <sheetData sheetId="1"/>
      <sheetData sheetId="2">
        <row r="8">
          <cell r="I8">
            <v>136940.04</v>
          </cell>
        </row>
        <row r="10">
          <cell r="I10">
            <v>406674.14201300009</v>
          </cell>
        </row>
        <row r="11">
          <cell r="I11">
            <v>-38206.190000000061</v>
          </cell>
        </row>
        <row r="20">
          <cell r="I20">
            <v>36418.86</v>
          </cell>
        </row>
        <row r="21">
          <cell r="I21">
            <v>-22148.720000000005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ysis"/>
      <sheetName val="Grossing up of Investment"/>
      <sheetName val="Cash Flow_SEC Format"/>
      <sheetName val="Cash Flow"/>
      <sheetName val="EXL All Cash flow Statement_Sum"/>
      <sheetName val="Pivot_CTA_Jan'21 - Dec'21"/>
      <sheetName val="Other Adjustments"/>
      <sheetName val="Working"/>
      <sheetName val="Working (2)"/>
      <sheetName val="Credit Facility"/>
      <sheetName val="Working (3)"/>
      <sheetName val="Convertible Note Issuance Cost "/>
      <sheetName val="Borrowings"/>
      <sheetName val="Def Issuance cost"/>
      <sheetName val="Debt issuance cost"/>
    </sheetNames>
    <sheetDataSet>
      <sheetData sheetId="0"/>
      <sheetData sheetId="1">
        <row r="9">
          <cell r="E9">
            <v>18730714.222390469</v>
          </cell>
        </row>
      </sheetData>
      <sheetData sheetId="2">
        <row r="5">
          <cell r="G5">
            <v>86455743.608768567</v>
          </cell>
        </row>
        <row r="16">
          <cell r="G16">
            <v>0</v>
          </cell>
        </row>
      </sheetData>
      <sheetData sheetId="3">
        <row r="23">
          <cell r="AJ23">
            <v>-10935020.499999998</v>
          </cell>
        </row>
      </sheetData>
      <sheetData sheetId="4"/>
      <sheetData sheetId="5">
        <row r="16">
          <cell r="B16">
            <v>141542.68313362921</v>
          </cell>
        </row>
      </sheetData>
      <sheetData sheetId="6">
        <row r="56">
          <cell r="K56">
            <v>14085.217040720334</v>
          </cell>
        </row>
      </sheetData>
      <sheetData sheetId="7"/>
      <sheetData sheetId="8"/>
      <sheetData sheetId="9"/>
      <sheetData sheetId="10"/>
      <sheetData sheetId="11"/>
      <sheetData sheetId="12"/>
      <sheetData sheetId="13"/>
      <sheetData sheetId="14"/>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S_Factsheet"/>
    </sheetNames>
    <sheetDataSet>
      <sheetData sheetId="0">
        <row r="3">
          <cell r="C3">
            <v>3808</v>
          </cell>
        </row>
        <row r="4">
          <cell r="C4">
            <v>-73</v>
          </cell>
          <cell r="D4">
            <v>-182</v>
          </cell>
          <cell r="E4">
            <v>-198</v>
          </cell>
          <cell r="G4">
            <v>-321</v>
          </cell>
          <cell r="H4">
            <v>2</v>
          </cell>
          <cell r="I4">
            <v>7</v>
          </cell>
          <cell r="J4">
            <v>-72</v>
          </cell>
          <cell r="L4">
            <v>-80</v>
          </cell>
          <cell r="M4">
            <v>-152</v>
          </cell>
          <cell r="N4">
            <v>6</v>
          </cell>
          <cell r="O4">
            <v>61</v>
          </cell>
          <cell r="Q4">
            <v>-58</v>
          </cell>
          <cell r="R4">
            <v>-2</v>
          </cell>
          <cell r="S4">
            <v>-39</v>
          </cell>
          <cell r="T4">
            <v>4</v>
          </cell>
          <cell r="V4">
            <v>-37</v>
          </cell>
          <cell r="W4">
            <v>-52</v>
          </cell>
          <cell r="X4">
            <v>-108</v>
          </cell>
          <cell r="Y4">
            <v>-75</v>
          </cell>
          <cell r="AA4">
            <v>-268</v>
          </cell>
          <cell r="AB4">
            <v>12</v>
          </cell>
          <cell r="AC4">
            <v>2</v>
          </cell>
          <cell r="AD4">
            <v>-31</v>
          </cell>
          <cell r="AF4">
            <v>-16</v>
          </cell>
          <cell r="AG4">
            <v>-13</v>
          </cell>
        </row>
        <row r="5">
          <cell r="C5">
            <v>-48</v>
          </cell>
          <cell r="D5">
            <v>-44</v>
          </cell>
          <cell r="E5">
            <v>-52</v>
          </cell>
          <cell r="G5">
            <v>845</v>
          </cell>
          <cell r="H5">
            <v>69</v>
          </cell>
          <cell r="I5">
            <v>75</v>
          </cell>
          <cell r="J5">
            <v>-6</v>
          </cell>
          <cell r="L5">
            <v>136</v>
          </cell>
          <cell r="M5">
            <v>-17</v>
          </cell>
          <cell r="N5">
            <v>-1</v>
          </cell>
          <cell r="O5">
            <v>82</v>
          </cell>
          <cell r="Q5">
            <v>69</v>
          </cell>
          <cell r="R5">
            <v>-1</v>
          </cell>
          <cell r="S5">
            <v>-1</v>
          </cell>
          <cell r="T5">
            <v>-38</v>
          </cell>
          <cell r="V5">
            <v>-37</v>
          </cell>
          <cell r="W5">
            <v>-8</v>
          </cell>
          <cell r="X5">
            <v>91</v>
          </cell>
          <cell r="Y5">
            <v>-15</v>
          </cell>
          <cell r="AA5">
            <v>-24</v>
          </cell>
          <cell r="AB5">
            <v>-2</v>
          </cell>
          <cell r="AC5">
            <v>-1</v>
          </cell>
          <cell r="AD5">
            <v>-6</v>
          </cell>
          <cell r="AF5">
            <v>-2347</v>
          </cell>
          <cell r="AG5">
            <v>-3</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9"/>
      <sheetName val="2018"/>
      <sheetName val="2017"/>
    </sheetNames>
    <sheetDataSet>
      <sheetData sheetId="0">
        <row r="4">
          <cell r="B4">
            <v>81286</v>
          </cell>
          <cell r="F4">
            <v>85581</v>
          </cell>
          <cell r="J4">
            <v>91096</v>
          </cell>
          <cell r="N4">
            <v>88471</v>
          </cell>
          <cell r="R4">
            <v>346434</v>
          </cell>
          <cell r="X4">
            <v>6.7471524764441071E-2</v>
          </cell>
          <cell r="Y4">
            <v>8.8618558180483253E-2</v>
          </cell>
          <cell r="Z4">
            <v>0.17154666687772191</v>
          </cell>
          <cell r="AA4">
            <v>0.12511879423645822</v>
          </cell>
          <cell r="AB4">
            <v>0.11339115068007688</v>
          </cell>
        </row>
        <row r="5">
          <cell r="B5">
            <v>22248</v>
          </cell>
          <cell r="F5">
            <v>21730</v>
          </cell>
          <cell r="J5">
            <v>25631</v>
          </cell>
          <cell r="N5">
            <v>27856</v>
          </cell>
          <cell r="R5">
            <v>97465</v>
          </cell>
          <cell r="X5">
            <v>-7.8403481187059865E-2</v>
          </cell>
          <cell r="Y5">
            <v>2.6329524209780963E-2</v>
          </cell>
          <cell r="Z5">
            <v>0.18299322605783108</v>
          </cell>
          <cell r="AA5">
            <v>0.21825379459882255</v>
          </cell>
          <cell r="AB5">
            <v>8.4812790906845903E-2</v>
          </cell>
        </row>
        <row r="6">
          <cell r="B6">
            <v>49078</v>
          </cell>
          <cell r="F6">
            <v>48327</v>
          </cell>
          <cell r="J6">
            <v>45912</v>
          </cell>
          <cell r="N6">
            <v>46801</v>
          </cell>
          <cell r="R6">
            <v>190118</v>
          </cell>
          <cell r="X6">
            <v>-1.0166648342362583E-2</v>
          </cell>
          <cell r="Y6">
            <v>-4.694780562040235E-2</v>
          </cell>
          <cell r="Z6">
            <v>-6.2898318463676772E-2</v>
          </cell>
          <cell r="AA6">
            <v>-1.5590976383788258E-2</v>
          </cell>
          <cell r="AB6">
            <v>-3.4068793325929936E-2</v>
          </cell>
        </row>
        <row r="9">
          <cell r="X9">
            <v>1.8289287121552311E-2</v>
          </cell>
          <cell r="Y9">
            <v>3.4177595551954099E-2</v>
          </cell>
          <cell r="Z9">
            <v>9.5825470816762515E-2</v>
          </cell>
          <cell r="AA9">
            <v>9.4522535309969014E-2</v>
          </cell>
          <cell r="AB9">
            <v>6.0547189264690049E-2</v>
          </cell>
        </row>
        <row r="13">
          <cell r="B13">
            <v>76148.167060416323</v>
          </cell>
          <cell r="D13">
            <v>24247.168207756244</v>
          </cell>
          <cell r="F13">
            <v>78614.312935322407</v>
          </cell>
          <cell r="H13">
            <v>25806.112536955741</v>
          </cell>
          <cell r="J13">
            <v>77757.039113754727</v>
          </cell>
          <cell r="L13">
            <v>24717.498250572389</v>
          </cell>
          <cell r="N13">
            <v>78632.585690686348</v>
          </cell>
          <cell r="P13">
            <v>24563.072901162224</v>
          </cell>
          <cell r="R13">
            <v>311152.10480017978</v>
          </cell>
          <cell r="T13">
            <v>99333.851896446577</v>
          </cell>
        </row>
        <row r="14">
          <cell r="B14">
            <v>24140.716187444454</v>
          </cell>
          <cell r="D14">
            <v>5511.3214201459086</v>
          </cell>
          <cell r="F14">
            <v>21172.537169999996</v>
          </cell>
          <cell r="H14">
            <v>3496.5549440261566</v>
          </cell>
          <cell r="J14">
            <v>21666.227190000001</v>
          </cell>
          <cell r="L14">
            <v>5257.7920387148552</v>
          </cell>
          <cell r="N14">
            <v>22865.514659999993</v>
          </cell>
          <cell r="P14">
            <v>5132.9121908205634</v>
          </cell>
          <cell r="R14">
            <v>89844.995207444445</v>
          </cell>
          <cell r="T14">
            <v>19398.580593707491</v>
          </cell>
          <cell r="X14">
            <v>0.2121233488330192</v>
          </cell>
          <cell r="Y14">
            <v>0.18933606925635882</v>
          </cell>
          <cell r="Z14">
            <v>0.14559720208257043</v>
          </cell>
          <cell r="AA14">
            <v>9.3570729091322358E-2</v>
          </cell>
          <cell r="AB14">
            <v>0.15798827964705398</v>
          </cell>
        </row>
        <row r="15">
          <cell r="B15">
            <v>49582.083608125431</v>
          </cell>
          <cell r="D15">
            <v>20086.983382073111</v>
          </cell>
          <cell r="F15">
            <v>50707.611067890277</v>
          </cell>
          <cell r="H15">
            <v>20199.203012760525</v>
          </cell>
          <cell r="J15">
            <v>48993.616066006805</v>
          </cell>
          <cell r="L15">
            <v>19922.494664906415</v>
          </cell>
          <cell r="N15">
            <v>47542.229781760056</v>
          </cell>
          <cell r="P15">
            <v>18631.327774917048</v>
          </cell>
          <cell r="R15">
            <v>196823.54052378255</v>
          </cell>
          <cell r="T15">
            <v>78839.00883465707</v>
          </cell>
        </row>
        <row r="19">
          <cell r="X19">
            <v>0.11822412187019271</v>
          </cell>
          <cell r="Y19">
            <v>9.4516632636036713E-2</v>
          </cell>
          <cell r="Z19">
            <v>7.0822240426617E-2</v>
          </cell>
          <cell r="AA19">
            <v>4.7790611168654351E-2</v>
          </cell>
          <cell r="AB19">
            <v>8.2287332816930681E-2</v>
          </cell>
        </row>
      </sheetData>
      <sheetData sheetId="1"/>
      <sheetData sheetId="2"/>
      <sheetData sheetId="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lide 4a"/>
      <sheetName val="Slide 4b"/>
      <sheetName val="Slide 5- QoQ"/>
      <sheetName val="Slide 5-YoY"/>
      <sheetName val="Slide 6a"/>
      <sheetName val="Slide 6b"/>
      <sheetName val="Slide 7a"/>
      <sheetName val="Slide 7b"/>
      <sheetName val="Slide 12a 13 a"/>
      <sheetName val="Slide 12b 13b"/>
      <sheetName val="Slide 16"/>
      <sheetName val="Slide 17"/>
      <sheetName val="Slide 19a"/>
      <sheetName val="Slide 19b"/>
      <sheetName val="Sheet1"/>
    </sheetNames>
    <sheetDataSet>
      <sheetData sheetId="0"/>
      <sheetData sheetId="1"/>
      <sheetData sheetId="2">
        <row r="5">
          <cell r="F5">
            <v>247.11704315695243</v>
          </cell>
        </row>
      </sheetData>
      <sheetData sheetId="3">
        <row r="5">
          <cell r="H5">
            <v>-2.7345350752100872E-2</v>
          </cell>
        </row>
      </sheetData>
      <sheetData sheetId="4">
        <row r="7">
          <cell r="H7">
            <v>-2.7345350752100872E-2</v>
          </cell>
        </row>
      </sheetData>
      <sheetData sheetId="5">
        <row r="6">
          <cell r="N6">
            <v>1.5189806188657951E-2</v>
          </cell>
        </row>
        <row r="7">
          <cell r="N7">
            <v>4.1131479135403604E-2</v>
          </cell>
        </row>
        <row r="8">
          <cell r="N8">
            <v>0.21561497984223843</v>
          </cell>
        </row>
        <row r="9">
          <cell r="N9">
            <v>-0.11863677605004952</v>
          </cell>
        </row>
        <row r="15">
          <cell r="N15">
            <v>6.6205178752887672E-2</v>
          </cell>
        </row>
      </sheetData>
      <sheetData sheetId="6"/>
      <sheetData sheetId="7"/>
      <sheetData sheetId="8"/>
      <sheetData sheetId="9"/>
      <sheetData sheetId="10"/>
      <sheetData sheetId="11"/>
      <sheetData sheetId="12"/>
      <sheetData sheetId="13"/>
      <sheetData sheetId="1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lide 4a"/>
      <sheetName val="Slide 4b"/>
      <sheetName val="Slide 6a"/>
      <sheetName val="Slide 6b"/>
      <sheetName val="Slide 7a"/>
      <sheetName val="Slide 7b"/>
      <sheetName val="Slide 8a"/>
      <sheetName val="Slide 8b"/>
      <sheetName val="Slide 16a"/>
      <sheetName val="Slide 16b"/>
      <sheetName val="Slide 17a"/>
      <sheetName val="Slide 17b"/>
      <sheetName val="Slide 18a"/>
      <sheetName val="Slide 18b"/>
    </sheetNames>
    <sheetDataSet>
      <sheetData sheetId="0"/>
      <sheetData sheetId="1"/>
      <sheetData sheetId="2">
        <row r="5">
          <cell r="N5">
            <v>-6.768365554424105E-2</v>
          </cell>
        </row>
      </sheetData>
      <sheetData sheetId="3">
        <row r="5">
          <cell r="H5">
            <v>-9.2779031541249002E-2</v>
          </cell>
        </row>
      </sheetData>
      <sheetData sheetId="4">
        <row r="53">
          <cell r="N53">
            <v>-0.22697434952869111</v>
          </cell>
        </row>
      </sheetData>
      <sheetData sheetId="5">
        <row r="6">
          <cell r="N6">
            <v>-8.5113869530994424E-2</v>
          </cell>
        </row>
        <row r="7">
          <cell r="N7">
            <v>-4.1522462219852341E-2</v>
          </cell>
        </row>
        <row r="8">
          <cell r="N8">
            <v>0.15089951509570332</v>
          </cell>
        </row>
        <row r="9">
          <cell r="N9">
            <v>-0.26842847954829785</v>
          </cell>
        </row>
        <row r="15">
          <cell r="N15">
            <v>-6.8137737405081777E-2</v>
          </cell>
        </row>
      </sheetData>
      <sheetData sheetId="6"/>
      <sheetData sheetId="7"/>
      <sheetData sheetId="8">
        <row r="5">
          <cell r="H5">
            <v>-9.1106578099736657E-3</v>
          </cell>
        </row>
      </sheetData>
      <sheetData sheetId="9">
        <row r="5">
          <cell r="H5">
            <v>-2.3099397729276605E-2</v>
          </cell>
        </row>
      </sheetData>
      <sheetData sheetId="10"/>
      <sheetData sheetId="11"/>
      <sheetData sheetId="12"/>
      <sheetData sheetId="13"/>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a"/>
      <sheetName val="4b"/>
      <sheetName val="6a"/>
      <sheetName val="6b"/>
      <sheetName val="7a"/>
      <sheetName val="7b"/>
      <sheetName val="8a"/>
      <sheetName val="8b"/>
      <sheetName val="16a"/>
      <sheetName val="16b"/>
      <sheetName val="17a"/>
      <sheetName val="17b"/>
      <sheetName val="18a"/>
      <sheetName val="18b"/>
      <sheetName val="26a"/>
      <sheetName val="26b"/>
      <sheetName val="29a"/>
      <sheetName val="29b"/>
    </sheetNames>
    <sheetDataSet>
      <sheetData sheetId="0"/>
      <sheetData sheetId="1"/>
      <sheetData sheetId="2">
        <row r="5">
          <cell r="N5">
            <v>-3.0973985693046546E-2</v>
          </cell>
        </row>
      </sheetData>
      <sheetData sheetId="3">
        <row r="5">
          <cell r="H5">
            <v>7.7125299551918047E-2</v>
          </cell>
        </row>
      </sheetData>
      <sheetData sheetId="4">
        <row r="7">
          <cell r="H7">
            <v>7.7125299551918047E-2</v>
          </cell>
        </row>
      </sheetData>
      <sheetData sheetId="5">
        <row r="6">
          <cell r="N6">
            <v>-7.3818017746927533E-2</v>
          </cell>
        </row>
        <row r="7">
          <cell r="N7">
            <v>-3.891677633948698E-2</v>
          </cell>
        </row>
        <row r="8">
          <cell r="N8">
            <v>-1.9461249231818911E-2</v>
          </cell>
        </row>
        <row r="9">
          <cell r="N9">
            <v>-0.17341488098325408</v>
          </cell>
        </row>
        <row r="15">
          <cell r="N15">
            <v>1.6102449288212473E-2</v>
          </cell>
        </row>
      </sheetData>
      <sheetData sheetId="6">
        <row r="28">
          <cell r="L28">
            <v>109.67825203491189</v>
          </cell>
        </row>
        <row r="29">
          <cell r="L29">
            <v>58.187223970000005</v>
          </cell>
        </row>
        <row r="30">
          <cell r="L30">
            <v>73.152783378038748</v>
          </cell>
        </row>
      </sheetData>
      <sheetData sheetId="7"/>
      <sheetData sheetId="8">
        <row r="5">
          <cell r="H5">
            <v>-1.6607184650580864E-2</v>
          </cell>
        </row>
      </sheetData>
      <sheetData sheetId="9">
        <row r="5">
          <cell r="H5">
            <v>-2.9593081044657632E-2</v>
          </cell>
        </row>
      </sheetData>
      <sheetData sheetId="10"/>
      <sheetData sheetId="11">
        <row r="8">
          <cell r="E8">
            <v>252.84070572580993</v>
          </cell>
        </row>
      </sheetData>
      <sheetData sheetId="12"/>
      <sheetData sheetId="13"/>
      <sheetData sheetId="14"/>
      <sheetData sheetId="15"/>
      <sheetData sheetId="16"/>
      <sheetData sheetId="17"/>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lide 3 Fin. Highlights wo HI"/>
      <sheetName val="Slide 3 Fin. Highlights wi HI"/>
      <sheetName val="Slide 5 QTR rep P&amp;L wo HI"/>
      <sheetName val="Slide 5 QTR rep P&amp;L wi HI"/>
      <sheetName val="Slide 6 Q Ops.Seg. Rev&amp;GM wo HI"/>
      <sheetName val="Slide 6 Q Ops Seg. Rev&amp;GM wi HI"/>
      <sheetName val="Slide 7 QTR Rev. vertical wo HI"/>
      <sheetName val="Slide 7 QTR Rev. vertical wi HI"/>
      <sheetName val="Slide 15 FY P&amp;L View wo HI"/>
      <sheetName val="Slide 15 FY P&amp;L View wi HI"/>
      <sheetName val="Slide 16 FY Op seg Rev&amp;GM wo HI"/>
      <sheetName val="Slide 16 FY Op seg Rev&amp;GM wi HI"/>
      <sheetName val="Slide 17 FY vertical rev wo HI"/>
      <sheetName val="Slide 17 FY vertical rev wi HI"/>
    </sheetNames>
    <sheetDataSet>
      <sheetData sheetId="0"/>
      <sheetData sheetId="1"/>
      <sheetData sheetId="2">
        <row r="5">
          <cell r="H5">
            <v>3.1441466224338299E-2</v>
          </cell>
        </row>
      </sheetData>
      <sheetData sheetId="3">
        <row r="5">
          <cell r="N5">
            <v>-3.0893222494676187E-2</v>
          </cell>
        </row>
      </sheetData>
      <sheetData sheetId="4">
        <row r="8">
          <cell r="N8">
            <v>-2.0186449766593118E-2</v>
          </cell>
        </row>
      </sheetData>
      <sheetData sheetId="5">
        <row r="5">
          <cell r="H5">
            <v>3.1441466224338299E-2</v>
          </cell>
        </row>
        <row r="6">
          <cell r="N6">
            <v>-7.4335344491529121E-2</v>
          </cell>
        </row>
        <row r="7">
          <cell r="N7">
            <v>4.1265779604706676E-3</v>
          </cell>
        </row>
        <row r="8">
          <cell r="N8">
            <v>-0.1308056428564105</v>
          </cell>
        </row>
        <row r="9">
          <cell r="N9">
            <v>-0.18904768662088101</v>
          </cell>
        </row>
        <row r="15">
          <cell r="N15">
            <v>4.4702534273172612E-2</v>
          </cell>
        </row>
      </sheetData>
      <sheetData sheetId="6"/>
      <sheetData sheetId="7">
        <row r="28">
          <cell r="L28">
            <v>111.1853843587006</v>
          </cell>
        </row>
        <row r="29">
          <cell r="L29">
            <v>58.248805019211268</v>
          </cell>
        </row>
        <row r="30">
          <cell r="L30">
            <v>79.518623723887345</v>
          </cell>
        </row>
      </sheetData>
      <sheetData sheetId="8">
        <row r="5">
          <cell r="H5">
            <v>-1.7536208265125697E-2</v>
          </cell>
        </row>
      </sheetData>
      <sheetData sheetId="9">
        <row r="5">
          <cell r="H5">
            <v>-2.9929966169971456E-2</v>
          </cell>
        </row>
      </sheetData>
      <sheetData sheetId="10">
        <row r="6">
          <cell r="H6">
            <v>-1.7536208265125697E-2</v>
          </cell>
        </row>
      </sheetData>
      <sheetData sheetId="11">
        <row r="7">
          <cell r="H7">
            <v>-5.5299191968245509E-2</v>
          </cell>
        </row>
        <row r="8">
          <cell r="H8">
            <v>-9.7858675320537936E-3</v>
          </cell>
        </row>
        <row r="9">
          <cell r="H9">
            <v>4.0358540083005323E-2</v>
          </cell>
        </row>
        <row r="10">
          <cell r="H10">
            <v>-0.1872749158062964</v>
          </cell>
        </row>
        <row r="16">
          <cell r="H16">
            <v>1.5083119496305475E-2</v>
          </cell>
        </row>
      </sheetData>
      <sheetData sheetId="12"/>
      <sheetData sheetId="13"/>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L"/>
      <sheetName val="Segment View"/>
      <sheetName val="Revenue per HC"/>
    </sheetNames>
    <sheetDataSet>
      <sheetData sheetId="0" refreshError="1"/>
      <sheetData sheetId="1">
        <row r="8">
          <cell r="I8">
            <v>4.7035464074917543E-2</v>
          </cell>
        </row>
        <row r="9">
          <cell r="O9">
            <v>2.7551097699270555E-2</v>
          </cell>
        </row>
        <row r="10">
          <cell r="O10">
            <v>7.5681343266865264E-2</v>
          </cell>
        </row>
        <row r="11">
          <cell r="O11">
            <v>0.11964786617880518</v>
          </cell>
        </row>
        <row r="12">
          <cell r="O12">
            <v>-0.1247819651204235</v>
          </cell>
        </row>
        <row r="18">
          <cell r="O18">
            <v>0.10005088587135669</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napshot- Checks"/>
      <sheetName val="Master Sheet"/>
      <sheetName val="Index"/>
      <sheetName val="Balance Sheets"/>
      <sheetName val="Statements of Income"/>
      <sheetName val="OCI Movement"/>
      <sheetName val="SCI"/>
      <sheetName val="SCI (Tax grossing)"/>
      <sheetName val="AOCI"/>
      <sheetName val="AOCI (Tax grossing)"/>
      <sheetName val="Shareholders Equity Q2'20 (9M)"/>
      <sheetName val="Shareholders Equity Q3'17"/>
      <sheetName val="Shareholders Equity (3M)"/>
      <sheetName val="Shareholders Equity (6M)"/>
      <sheetName val="Statements of Cash Flow"/>
      <sheetName val="Other income (expense), net"/>
      <sheetName val="3. Quarterly Financial Data"/>
      <sheetName val="Cash &amp; cash equivalent"/>
      <sheetName val="Segment Information "/>
      <sheetName val="Investments"/>
      <sheetName val="CL,NCL,OCA &amp; OA"/>
      <sheetName val="Revenues,Net"/>
      <sheetName val="EPS"/>
      <sheetName val="MD&amp;A Section- Three months"/>
      <sheetName val="Statement of opts data(Item 6)"/>
      <sheetName val="Geographical"/>
      <sheetName val="Reimb Revenue- Unbilled"/>
      <sheetName val="Data - 8K"/>
      <sheetName val="Pro forma (Bus. Com (1)"/>
      <sheetName val="Business Com (2)"/>
      <sheetName val="Business Com"/>
      <sheetName val="Goodwill (2)"/>
      <sheetName val="Goodwill"/>
      <sheetName val="Intangibles"/>
      <sheetName val="MD&amp;A Section- Nine Months End"/>
      <sheetName val="Goodwill &amp; Intangibles"/>
      <sheetName val="Emp Benefits"/>
      <sheetName val="6. Fair Value Measurements"/>
      <sheetName val="Derivatives 1"/>
      <sheetName val="Derivatives 3"/>
      <sheetName val="Derivatives 2 (b)"/>
      <sheetName val="Derivatives 1 "/>
      <sheetName val="Derivatives 2 (a)"/>
      <sheetName val="Derivatives 2 (b) "/>
      <sheetName val="Derivatives 3 (c) "/>
      <sheetName val="Lease disclosure"/>
      <sheetName val="12. Leases"/>
      <sheetName val="FA"/>
      <sheetName val="Income Tax"/>
      <sheetName val="Contractual Obligati &amp; Note 19 "/>
      <sheetName val="Contingencies"/>
      <sheetName val="Sheet1"/>
      <sheetName val="MD&amp;A"/>
      <sheetName val="MD&amp;A (9m)"/>
      <sheetName val="MD&amp;A (PY)"/>
      <sheetName val="18. Capital Structure"/>
      <sheetName val="Borrowings &amp; Credit Arrangement"/>
      <sheetName val="21. Stock Based Compensation"/>
      <sheetName val="25. Related Party Disclosures"/>
      <sheetName val="Commitment &amp; Contingencies"/>
      <sheetName val="Subsequent Events"/>
      <sheetName val="MD&amp;A Section- Three Months End"/>
      <sheetName val="MD&amp;A Section- Year End"/>
      <sheetName val="Liquidity &amp; CR"/>
      <sheetName val="Item 2"/>
      <sheetName val="Equity compensation plan Item 5"/>
      <sheetName val="24. Impairment &amp; Restructuring"/>
      <sheetName val="High and Low"/>
    </sheetNames>
    <sheetDataSet>
      <sheetData sheetId="0" refreshError="1"/>
      <sheetData sheetId="1" refreshError="1"/>
      <sheetData sheetId="2" refreshError="1"/>
      <sheetData sheetId="3" refreshError="1">
        <row r="9">
          <cell r="C9">
            <v>93960</v>
          </cell>
        </row>
        <row r="10">
          <cell r="C10">
            <v>156098</v>
          </cell>
        </row>
        <row r="11">
          <cell r="C11">
            <v>4628</v>
          </cell>
        </row>
        <row r="12">
          <cell r="C12">
            <v>288305</v>
          </cell>
        </row>
        <row r="13">
          <cell r="C13">
            <v>70186</v>
          </cell>
        </row>
        <row r="15">
          <cell r="C15">
            <v>93688</v>
          </cell>
        </row>
        <row r="16">
          <cell r="C16">
            <v>58423</v>
          </cell>
        </row>
        <row r="17">
          <cell r="C17">
            <v>2072</v>
          </cell>
        </row>
        <row r="18">
          <cell r="C18">
            <v>68612</v>
          </cell>
        </row>
        <row r="19">
          <cell r="C19">
            <v>56487</v>
          </cell>
        </row>
        <row r="20">
          <cell r="C20">
            <v>405903</v>
          </cell>
        </row>
        <row r="21">
          <cell r="C21">
            <v>48255</v>
          </cell>
        </row>
        <row r="26">
          <cell r="C26">
            <v>3019</v>
          </cell>
        </row>
        <row r="27">
          <cell r="C27">
            <v>30000</v>
          </cell>
        </row>
        <row r="28">
          <cell r="C28">
            <v>20755</v>
          </cell>
        </row>
        <row r="29">
          <cell r="C29">
            <v>82044</v>
          </cell>
        </row>
        <row r="30">
          <cell r="C30">
            <v>104480</v>
          </cell>
        </row>
        <row r="31">
          <cell r="C31">
            <v>14482</v>
          </cell>
        </row>
        <row r="32">
          <cell r="C32">
            <v>4283</v>
          </cell>
        </row>
        <row r="35">
          <cell r="C35">
            <v>190000</v>
          </cell>
        </row>
        <row r="37">
          <cell r="C37">
            <v>50575</v>
          </cell>
        </row>
        <row r="38">
          <cell r="C38">
            <v>507</v>
          </cell>
        </row>
        <row r="39">
          <cell r="C39">
            <v>28343</v>
          </cell>
        </row>
        <row r="44">
          <cell r="C44">
            <v>40</v>
          </cell>
        </row>
        <row r="45">
          <cell r="C45">
            <v>472124</v>
          </cell>
        </row>
        <row r="46">
          <cell r="C46">
            <v>999504</v>
          </cell>
        </row>
        <row r="47">
          <cell r="C47">
            <v>-124147</v>
          </cell>
        </row>
        <row r="49">
          <cell r="C49">
            <v>-513307</v>
          </cell>
        </row>
      </sheetData>
      <sheetData sheetId="4">
        <row r="7">
          <cell r="F7">
            <v>404996</v>
          </cell>
        </row>
        <row r="8">
          <cell r="F8">
            <v>253220</v>
          </cell>
        </row>
        <row r="11">
          <cell r="F11">
            <v>45605</v>
          </cell>
        </row>
        <row r="12">
          <cell r="F12">
            <v>28238</v>
          </cell>
        </row>
        <row r="13">
          <cell r="F13">
            <v>13122</v>
          </cell>
        </row>
        <row r="17">
          <cell r="F17">
            <v>324</v>
          </cell>
        </row>
        <row r="18">
          <cell r="F18">
            <v>-3240</v>
          </cell>
        </row>
        <row r="19">
          <cell r="F19">
            <v>2661</v>
          </cell>
        </row>
        <row r="22">
          <cell r="F22">
            <v>15554</v>
          </cell>
        </row>
        <row r="24">
          <cell r="F24">
            <v>66</v>
          </cell>
        </row>
      </sheetData>
      <sheetData sheetId="5" refreshError="1"/>
      <sheetData sheetId="6" refreshError="1"/>
      <sheetData sheetId="7">
        <row r="4">
          <cell r="E4">
            <v>49068</v>
          </cell>
        </row>
      </sheetData>
      <sheetData sheetId="8" refreshError="1"/>
      <sheetData sheetId="9">
        <row r="17">
          <cell r="B17">
            <v>-133139</v>
          </cell>
        </row>
      </sheetData>
      <sheetData sheetId="10" refreshError="1"/>
      <sheetData sheetId="11" refreshError="1"/>
      <sheetData sheetId="12">
        <row r="5">
          <cell r="B5">
            <v>15359</v>
          </cell>
        </row>
      </sheetData>
      <sheetData sheetId="13">
        <row r="5">
          <cell r="B5">
            <v>361751</v>
          </cell>
        </row>
      </sheetData>
      <sheetData sheetId="14">
        <row r="7">
          <cell r="C7">
            <v>100399</v>
          </cell>
        </row>
        <row r="9">
          <cell r="C9">
            <v>26464</v>
          </cell>
        </row>
        <row r="10">
          <cell r="C10">
            <v>25918</v>
          </cell>
        </row>
        <row r="11">
          <cell r="C11">
            <v>10332</v>
          </cell>
        </row>
        <row r="12">
          <cell r="C12">
            <v>7222</v>
          </cell>
        </row>
        <row r="13">
          <cell r="C13">
            <v>1288</v>
          </cell>
        </row>
        <row r="14">
          <cell r="C14">
            <v>-18283</v>
          </cell>
        </row>
        <row r="15">
          <cell r="C15">
            <v>479</v>
          </cell>
        </row>
        <row r="17">
          <cell r="C17">
            <v>0</v>
          </cell>
        </row>
        <row r="19">
          <cell r="C19">
            <v>0</v>
          </cell>
        </row>
        <row r="23">
          <cell r="C23">
            <v>-28375</v>
          </cell>
        </row>
        <row r="24">
          <cell r="C24">
            <v>-4387</v>
          </cell>
        </row>
        <row r="25">
          <cell r="C25">
            <v>-10610</v>
          </cell>
        </row>
        <row r="26">
          <cell r="C26">
            <v>-12772</v>
          </cell>
        </row>
        <row r="27">
          <cell r="C27">
            <v>-4796</v>
          </cell>
        </row>
        <row r="28">
          <cell r="C28">
            <v>5380</v>
          </cell>
        </row>
        <row r="29">
          <cell r="C29">
            <v>-24331</v>
          </cell>
        </row>
        <row r="30">
          <cell r="C30">
            <v>-742</v>
          </cell>
        </row>
        <row r="31">
          <cell r="C31">
            <v>-10829</v>
          </cell>
        </row>
        <row r="34">
          <cell r="C34">
            <v>-26113</v>
          </cell>
        </row>
        <row r="35">
          <cell r="C35">
            <v>547</v>
          </cell>
        </row>
        <row r="36">
          <cell r="C36">
            <v>0</v>
          </cell>
        </row>
        <row r="37">
          <cell r="C37">
            <v>0</v>
          </cell>
        </row>
        <row r="38">
          <cell r="C38">
            <v>0</v>
          </cell>
        </row>
        <row r="40">
          <cell r="C40">
            <v>-113823</v>
          </cell>
        </row>
        <row r="41">
          <cell r="C41">
            <v>151178</v>
          </cell>
        </row>
        <row r="44">
          <cell r="C44">
            <v>-80</v>
          </cell>
        </row>
        <row r="45">
          <cell r="C45">
            <v>70000</v>
          </cell>
        </row>
        <row r="46">
          <cell r="C46">
            <v>-100000</v>
          </cell>
        </row>
        <row r="47">
          <cell r="C47">
            <v>-5000</v>
          </cell>
        </row>
        <row r="53">
          <cell r="C53">
            <v>-70638</v>
          </cell>
        </row>
        <row r="54">
          <cell r="C54">
            <v>85</v>
          </cell>
        </row>
        <row r="55">
          <cell r="C55">
            <v>3800</v>
          </cell>
        </row>
        <row r="57">
          <cell r="C57">
            <v>1524</v>
          </cell>
        </row>
      </sheetData>
      <sheetData sheetId="15">
        <row r="4">
          <cell r="D4">
            <v>1095</v>
          </cell>
        </row>
      </sheetData>
      <sheetData sheetId="16" refreshError="1"/>
      <sheetData sheetId="17">
        <row r="5">
          <cell r="C5">
            <v>93960</v>
          </cell>
        </row>
      </sheetData>
      <sheetData sheetId="18">
        <row r="6">
          <cell r="B6">
            <v>128457</v>
          </cell>
          <cell r="C6">
            <v>27156</v>
          </cell>
          <cell r="D6">
            <v>67200</v>
          </cell>
          <cell r="E6">
            <v>182183</v>
          </cell>
        </row>
        <row r="8">
          <cell r="B8">
            <v>44135</v>
          </cell>
          <cell r="C8">
            <v>9616</v>
          </cell>
          <cell r="D8">
            <v>29355</v>
          </cell>
          <cell r="E8">
            <v>68670</v>
          </cell>
        </row>
        <row r="70">
          <cell r="F70">
            <v>0.84118114746812311</v>
          </cell>
        </row>
        <row r="72">
          <cell r="F72">
            <v>0.107773903939792</v>
          </cell>
        </row>
        <row r="73">
          <cell r="F73">
            <v>5.104494859208486E-2</v>
          </cell>
        </row>
      </sheetData>
      <sheetData sheetId="19" refreshError="1"/>
      <sheetData sheetId="20" refreshError="1"/>
      <sheetData sheetId="21">
        <row r="31">
          <cell r="C31">
            <v>1994</v>
          </cell>
        </row>
      </sheetData>
      <sheetData sheetId="22">
        <row r="7">
          <cell r="G7">
            <v>49068</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58">
          <cell r="B58">
            <v>4204</v>
          </cell>
        </row>
      </sheetData>
      <sheetData sheetId="36">
        <row r="7">
          <cell r="E7">
            <v>953</v>
          </cell>
        </row>
      </sheetData>
      <sheetData sheetId="37">
        <row r="38">
          <cell r="B38">
            <v>18689</v>
          </cell>
        </row>
      </sheetData>
      <sheetData sheetId="38" refreshError="1"/>
      <sheetData sheetId="39" refreshError="1"/>
      <sheetData sheetId="40" refreshError="1"/>
      <sheetData sheetId="41" refreshError="1"/>
      <sheetData sheetId="42">
        <row r="6">
          <cell r="C6">
            <v>8851</v>
          </cell>
        </row>
      </sheetData>
      <sheetData sheetId="43">
        <row r="6">
          <cell r="C6">
            <v>16145</v>
          </cell>
        </row>
      </sheetData>
      <sheetData sheetId="44" refreshError="1"/>
      <sheetData sheetId="45">
        <row r="25">
          <cell r="C25">
            <v>39</v>
          </cell>
        </row>
      </sheetData>
      <sheetData sheetId="46" refreshError="1"/>
      <sheetData sheetId="47">
        <row r="35">
          <cell r="E35">
            <v>8918</v>
          </cell>
        </row>
      </sheetData>
      <sheetData sheetId="48">
        <row r="101">
          <cell r="C101">
            <v>-2269</v>
          </cell>
        </row>
      </sheetData>
      <sheetData sheetId="49" refreshError="1"/>
      <sheetData sheetId="50" refreshError="1"/>
      <sheetData sheetId="51" refreshError="1"/>
      <sheetData sheetId="52" refreshError="1"/>
      <sheetData sheetId="53" refreshError="1"/>
      <sheetData sheetId="54" refreshError="1"/>
      <sheetData sheetId="55">
        <row r="4">
          <cell r="F4">
            <v>0</v>
          </cell>
        </row>
      </sheetData>
      <sheetData sheetId="56">
        <row r="72">
          <cell r="D72">
            <v>6.2E-2</v>
          </cell>
        </row>
      </sheetData>
      <sheetData sheetId="57">
        <row r="4">
          <cell r="B4">
            <v>3341</v>
          </cell>
        </row>
        <row r="7">
          <cell r="B7">
            <v>11511</v>
          </cell>
        </row>
      </sheetData>
      <sheetData sheetId="58">
        <row r="11">
          <cell r="B11">
            <v>379</v>
          </cell>
        </row>
      </sheetData>
      <sheetData sheetId="59">
        <row r="6">
          <cell r="B6">
            <v>6600</v>
          </cell>
        </row>
      </sheetData>
      <sheetData sheetId="60" refreshError="1"/>
      <sheetData sheetId="61">
        <row r="4">
          <cell r="B4">
            <v>405</v>
          </cell>
        </row>
      </sheetData>
      <sheetData sheetId="62">
        <row r="77">
          <cell r="B77">
            <v>18.3</v>
          </cell>
        </row>
      </sheetData>
      <sheetData sheetId="63">
        <row r="5">
          <cell r="C5">
            <v>125.6</v>
          </cell>
        </row>
      </sheetData>
      <sheetData sheetId="64" refreshError="1"/>
      <sheetData sheetId="65" refreshError="1"/>
      <sheetData sheetId="66" refreshError="1"/>
      <sheetData sheetId="6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egment View"/>
      <sheetName val="P&amp;L"/>
      <sheetName val="P&amp;L Half Yearly "/>
      <sheetName val="Revenue per HC QoQ"/>
      <sheetName val="Revenue per HC HoH"/>
    </sheetNames>
    <sheetDataSet>
      <sheetData sheetId="0"/>
      <sheetData sheetId="1">
        <row r="9">
          <cell r="O9">
            <v>0.14889159851110234</v>
          </cell>
        </row>
        <row r="10">
          <cell r="O10">
            <v>0.14878169746846748</v>
          </cell>
        </row>
        <row r="11">
          <cell r="O11">
            <v>0.13081910310668454</v>
          </cell>
        </row>
        <row r="12">
          <cell r="O12">
            <v>0.16222161892348419</v>
          </cell>
        </row>
        <row r="18">
          <cell r="O18">
            <v>0.35135000790399151</v>
          </cell>
        </row>
      </sheetData>
      <sheetData sheetId="2"/>
      <sheetData sheetId="3"/>
      <sheetData sheetId="4"/>
      <sheetData sheetId="5"/>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egment View"/>
      <sheetName val="P&amp;L"/>
      <sheetName val="P&amp;L Half Yearly "/>
      <sheetName val="Revenue by Industry Vertical"/>
      <sheetName val="CBU View revenue"/>
      <sheetName val="Revenue per HC QoQ"/>
      <sheetName val="Revenue per HC YTD"/>
    </sheetNames>
    <sheetDataSet>
      <sheetData sheetId="0"/>
      <sheetData sheetId="1">
        <row r="8">
          <cell r="F8">
            <v>290.32522905000019</v>
          </cell>
        </row>
        <row r="9">
          <cell r="O9">
            <v>0.12610127163995721</v>
          </cell>
        </row>
        <row r="10">
          <cell r="O10">
            <v>0.11282360503880762</v>
          </cell>
        </row>
        <row r="11">
          <cell r="O11">
            <v>8.8771489417104776E-2</v>
          </cell>
        </row>
        <row r="12">
          <cell r="O12">
            <v>0.18208213385117511</v>
          </cell>
        </row>
        <row r="18">
          <cell r="O18">
            <v>0.32679047851373277</v>
          </cell>
        </row>
      </sheetData>
      <sheetData sheetId="2">
        <row r="5">
          <cell r="H5">
            <v>5.8104744959309285E-2</v>
          </cell>
        </row>
      </sheetData>
      <sheetData sheetId="3">
        <row r="5">
          <cell r="H5">
            <v>0.15743093841676581</v>
          </cell>
        </row>
      </sheetData>
      <sheetData sheetId="4">
        <row r="13">
          <cell r="P13">
            <v>128.64232559993613</v>
          </cell>
        </row>
        <row r="14">
          <cell r="P14">
            <v>65.676518569999999</v>
          </cell>
        </row>
        <row r="15">
          <cell r="P15">
            <v>96.006384880064019</v>
          </cell>
        </row>
      </sheetData>
      <sheetData sheetId="5"/>
      <sheetData sheetId="6"/>
      <sheetData sheetId="7"/>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egment View"/>
      <sheetName val="P&amp;L"/>
      <sheetName val="P&amp;L Half Yearly "/>
      <sheetName val="CBU View revenue"/>
      <sheetName val="Operating exp margin&amp; EPS trend"/>
      <sheetName val="Rev by Industry Verrtical"/>
      <sheetName val="Operating Seg. GM Trend"/>
      <sheetName val="Qtr working"/>
      <sheetName val="FY Working"/>
    </sheetNames>
    <sheetDataSet>
      <sheetData sheetId="0"/>
      <sheetData sheetId="1">
        <row r="8">
          <cell r="G8">
            <v>295.48928058070123</v>
          </cell>
        </row>
        <row r="9">
          <cell r="P9">
            <v>0.12222951818446059</v>
          </cell>
          <cell r="V9">
            <v>0.10510489414269042</v>
          </cell>
        </row>
        <row r="10">
          <cell r="P10">
            <v>0.10481465490671593</v>
          </cell>
          <cell r="V10">
            <v>0.11019217286842697</v>
          </cell>
        </row>
        <row r="11">
          <cell r="P11">
            <v>0.179630377826143</v>
          </cell>
          <cell r="V11">
            <v>9.096420394757998E-2</v>
          </cell>
        </row>
        <row r="12">
          <cell r="P12">
            <v>9.6635385618634384E-2</v>
          </cell>
          <cell r="V12">
            <v>0.10925327271755325</v>
          </cell>
        </row>
        <row r="18">
          <cell r="P18">
            <v>0.28887038058699699</v>
          </cell>
          <cell r="V18">
            <v>0.2642814773706359</v>
          </cell>
        </row>
      </sheetData>
      <sheetData sheetId="2">
        <row r="6">
          <cell r="H6">
            <v>1.9412157979430411E-2</v>
          </cell>
        </row>
      </sheetData>
      <sheetData sheetId="3">
        <row r="6">
          <cell r="H6">
            <v>0.16533860768478492</v>
          </cell>
        </row>
      </sheetData>
      <sheetData sheetId="4"/>
      <sheetData sheetId="5"/>
      <sheetData sheetId="6">
        <row r="11">
          <cell r="R11">
            <v>127.7368674044509</v>
          </cell>
        </row>
        <row r="12">
          <cell r="R12">
            <v>100.09885978899082</v>
          </cell>
        </row>
        <row r="13">
          <cell r="R13">
            <v>67.653553387259606</v>
          </cell>
        </row>
        <row r="32">
          <cell r="R32">
            <v>497.74083933777774</v>
          </cell>
        </row>
        <row r="33">
          <cell r="R33">
            <v>364.41700367169591</v>
          </cell>
        </row>
        <row r="34">
          <cell r="R34">
            <v>260.1353635472596</v>
          </cell>
        </row>
      </sheetData>
      <sheetData sheetId="7"/>
      <sheetData sheetId="8"/>
      <sheetData sheetId="9"/>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Highlights New"/>
      <sheetName val="Op Segment Rev&amp;GM"/>
      <sheetName val="Quarterly reported P&amp;L"/>
      <sheetName val="Quarterly organic P&amp;L"/>
      <sheetName val="Rev by Industry Vertical (Rep)"/>
      <sheetName val="Rev by Industry Vertical (Org)"/>
    </sheetNames>
    <sheetDataSet>
      <sheetData sheetId="0"/>
      <sheetData sheetId="1">
        <row r="7">
          <cell r="G7">
            <v>329.2077494850522</v>
          </cell>
        </row>
        <row r="8">
          <cell r="P8">
            <v>0.13961567030821898</v>
          </cell>
        </row>
        <row r="9">
          <cell r="P9">
            <v>0.13914165971010073</v>
          </cell>
        </row>
        <row r="10">
          <cell r="P10">
            <v>0.36164443510882993</v>
          </cell>
        </row>
        <row r="11">
          <cell r="P11">
            <v>-0.13528861994991015</v>
          </cell>
        </row>
        <row r="12">
          <cell r="P12">
            <v>0.46000319655332511</v>
          </cell>
        </row>
      </sheetData>
      <sheetData sheetId="2"/>
      <sheetData sheetId="3"/>
      <sheetData sheetId="4">
        <row r="11">
          <cell r="R11">
            <v>135.66443661664977</v>
          </cell>
        </row>
        <row r="12">
          <cell r="R12">
            <v>123.99545277107441</v>
          </cell>
        </row>
        <row r="13">
          <cell r="R13">
            <v>69.547860097327927</v>
          </cell>
        </row>
      </sheetData>
      <sheetData sheetId="5"/>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Highlights New"/>
      <sheetName val="Op Segment Rev&amp;GM"/>
      <sheetName val="Quarterly reported P&amp;L"/>
      <sheetName val="Quarterly organic P&amp;L"/>
      <sheetName val="Half Yearly P&amp;L"/>
      <sheetName val="Rev by Industry Vertical (Rep)"/>
      <sheetName val="Rev by Industry Vertical (Org)"/>
    </sheetNames>
    <sheetDataSet>
      <sheetData sheetId="0"/>
      <sheetData sheetId="1">
        <row r="8">
          <cell r="P8">
            <v>0.15033269885470735</v>
          </cell>
        </row>
        <row r="9">
          <cell r="P9">
            <v>0.15940735033532616</v>
          </cell>
        </row>
        <row r="10">
          <cell r="P10">
            <v>0.36098382483424607</v>
          </cell>
        </row>
        <row r="11">
          <cell r="P11">
            <v>-0.18351476682907242</v>
          </cell>
        </row>
        <row r="12">
          <cell r="P12">
            <v>0.45982518231785119</v>
          </cell>
        </row>
      </sheetData>
      <sheetData sheetId="2"/>
      <sheetData sheetId="3">
        <row r="6">
          <cell r="H6">
            <v>5.9615658465480115E-2</v>
          </cell>
        </row>
      </sheetData>
      <sheetData sheetId="4">
        <row r="6">
          <cell r="H6">
            <v>0.27048614899521084</v>
          </cell>
        </row>
      </sheetData>
      <sheetData sheetId="5">
        <row r="11">
          <cell r="R11">
            <v>141.89890936728878</v>
          </cell>
        </row>
        <row r="12">
          <cell r="R12">
            <v>133.3931215039602</v>
          </cell>
        </row>
        <row r="13">
          <cell r="R13">
            <v>71.490340098541864</v>
          </cell>
        </row>
      </sheetData>
      <sheetData sheetId="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Highlights New"/>
      <sheetName val="Op Segment Rev&amp;GM"/>
      <sheetName val="Quarterly reported P&amp;L"/>
      <sheetName val="Quarterly organic P&amp;L"/>
      <sheetName val="YTD P&amp;L"/>
      <sheetName val="Rev by Industry Vertical (Rep)"/>
      <sheetName val="Rev by Industry Vertical (Org)"/>
    </sheetNames>
    <sheetDataSet>
      <sheetData sheetId="0" refreshError="1"/>
      <sheetData sheetId="1">
        <row r="8">
          <cell r="P8">
            <v>0.17187436580971149</v>
          </cell>
        </row>
        <row r="9">
          <cell r="P9">
            <v>0.20256649564599694</v>
          </cell>
        </row>
        <row r="10">
          <cell r="P10">
            <v>0.31086442959089888</v>
          </cell>
        </row>
        <row r="11">
          <cell r="P11">
            <v>-0.16443188457151503</v>
          </cell>
        </row>
        <row r="12">
          <cell r="P12">
            <v>0.39445060262651221</v>
          </cell>
        </row>
      </sheetData>
      <sheetData sheetId="2" refreshError="1"/>
      <sheetData sheetId="3" refreshError="1"/>
      <sheetData sheetId="4" refreshError="1"/>
      <sheetData sheetId="5">
        <row r="11">
          <cell r="R11">
            <v>149.33460774529996</v>
          </cell>
        </row>
        <row r="12">
          <cell r="R12">
            <v>140.27630279210004</v>
          </cell>
        </row>
        <row r="13">
          <cell r="R13">
            <v>71.740345550000001</v>
          </cell>
        </row>
      </sheetData>
      <sheetData sheetId="6"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Highlights New"/>
      <sheetName val="Op Segment Rev&amp;GM"/>
      <sheetName val="Quarterly reported P&amp;L"/>
      <sheetName val="Quarterly organic P&amp;L"/>
      <sheetName val="Half Yearly P&amp;L"/>
      <sheetName val="Rev by Industry Vertical (Rep)"/>
      <sheetName val="Rev by Industry Vertical (Org)"/>
    </sheetNames>
    <sheetDataSet>
      <sheetData sheetId="0"/>
      <sheetData sheetId="1">
        <row r="8">
          <cell r="P8">
            <v>0.22975035140904332</v>
          </cell>
          <cell r="V8">
            <v>0.17357299666141079</v>
          </cell>
        </row>
        <row r="9">
          <cell r="P9">
            <v>0.24575108489288588</v>
          </cell>
          <cell r="V9">
            <v>0.18782068621210746</v>
          </cell>
        </row>
        <row r="10">
          <cell r="P10">
            <v>0.3583152470456985</v>
          </cell>
          <cell r="V10">
            <v>0.34708458121964569</v>
          </cell>
        </row>
        <row r="11">
          <cell r="P11">
            <v>-4.441811054714051E-2</v>
          </cell>
          <cell r="V11">
            <v>-0.1330496353975803</v>
          </cell>
        </row>
        <row r="12">
          <cell r="P12">
            <v>0.36177775208904817</v>
          </cell>
          <cell r="V12">
            <v>0.41584967954091967</v>
          </cell>
        </row>
      </sheetData>
      <sheetData sheetId="2"/>
      <sheetData sheetId="3"/>
      <sheetData sheetId="4"/>
      <sheetData sheetId="5">
        <row r="11">
          <cell r="R11">
            <v>155.86480542770005</v>
          </cell>
        </row>
        <row r="12">
          <cell r="R12">
            <v>142.04053426130002</v>
          </cell>
        </row>
        <row r="13">
          <cell r="R13">
            <v>76.797260919999999</v>
          </cell>
        </row>
        <row r="18">
          <cell r="R18">
            <v>582.76275915693861</v>
          </cell>
        </row>
        <row r="19">
          <cell r="R19">
            <v>539.70541132843459</v>
          </cell>
        </row>
        <row r="20">
          <cell r="R20">
            <v>289.57580666586978</v>
          </cell>
        </row>
      </sheetData>
      <sheetData sheetId="6"/>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Highlights New"/>
      <sheetName val="Op Segment Rev&amp;GM"/>
      <sheetName val="Quarterly reported P&amp;L"/>
      <sheetName val="Rev by Industry Vertical (Rep)"/>
    </sheetNames>
    <sheetDataSet>
      <sheetData sheetId="0"/>
      <sheetData sheetId="1">
        <row r="8">
          <cell r="P8">
            <v>0.2324777889138252</v>
          </cell>
        </row>
        <row r="9">
          <cell r="P9">
            <v>0.23277185001861889</v>
          </cell>
        </row>
        <row r="10">
          <cell r="P10">
            <v>0.34038310088315971</v>
          </cell>
        </row>
        <row r="11">
          <cell r="P11">
            <v>2.1960152872428251E-2</v>
          </cell>
        </row>
        <row r="12">
          <cell r="P12">
            <v>0.22708642115163968</v>
          </cell>
        </row>
      </sheetData>
      <sheetData sheetId="2"/>
      <sheetData sheetId="3">
        <row r="11">
          <cell r="R11">
            <v>163.57643557199984</v>
          </cell>
        </row>
        <row r="12">
          <cell r="R12">
            <v>154.21677565230004</v>
          </cell>
        </row>
        <row r="13">
          <cell r="R13">
            <v>82.849846830000004</v>
          </cell>
        </row>
      </sheetData>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Highlights New"/>
      <sheetName val="Op Segment Rev&amp;GM"/>
      <sheetName val="Quarterly reported P&amp;L"/>
      <sheetName val="Half Yearly P&amp;L"/>
      <sheetName val="Rev by Industry Vertical (Rep)"/>
    </sheetNames>
    <sheetDataSet>
      <sheetData sheetId="0"/>
      <sheetData sheetId="1">
        <row r="8">
          <cell r="P8">
            <v>0.20843819543719944</v>
          </cell>
        </row>
        <row r="9">
          <cell r="P9">
            <v>0.19209484764736695</v>
          </cell>
        </row>
        <row r="10">
          <cell r="P10">
            <v>0.25399313670169343</v>
          </cell>
        </row>
        <row r="11">
          <cell r="P11">
            <v>0.17893810898925566</v>
          </cell>
        </row>
        <row r="12">
          <cell r="P12">
            <v>0.12810372930601188</v>
          </cell>
        </row>
      </sheetData>
      <sheetData sheetId="2"/>
      <sheetData sheetId="3"/>
      <sheetData sheetId="4">
        <row r="11">
          <cell r="R11">
            <v>164.40045304820029</v>
          </cell>
        </row>
        <row r="12">
          <cell r="R12">
            <v>152.41346229310003</v>
          </cell>
        </row>
        <row r="13">
          <cell r="R13">
            <v>88.182248660000013</v>
          </cell>
        </row>
      </sheetData>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Highlights New"/>
      <sheetName val="Quarterly reported P&amp;L"/>
      <sheetName val="Op Segment Rev&amp;GM"/>
      <sheetName val="Rev by Industry Vertical (Rep)"/>
    </sheetNames>
    <sheetDataSet>
      <sheetData sheetId="0"/>
      <sheetData sheetId="1"/>
      <sheetData sheetId="2">
        <row r="8">
          <cell r="P8">
            <v>0.16420739184312994</v>
          </cell>
        </row>
        <row r="9">
          <cell r="P9">
            <v>0.17591072034844712</v>
          </cell>
        </row>
        <row r="10">
          <cell r="P10">
            <v>0.14672165384513214</v>
          </cell>
        </row>
        <row r="11">
          <cell r="P11">
            <v>0.1475514413969059</v>
          </cell>
        </row>
        <row r="12">
          <cell r="P12">
            <v>9.4307364295294516E-2</v>
          </cell>
        </row>
      </sheetData>
      <sheetData sheetId="3">
        <row r="11">
          <cell r="R11">
            <v>170.7896438233</v>
          </cell>
        </row>
        <row r="12">
          <cell r="R12">
            <v>147.91047379330007</v>
          </cell>
        </row>
        <row r="13">
          <cell r="R13">
            <v>92.270661389999987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napshot- Checks"/>
      <sheetName val="Master Sheet"/>
      <sheetName val="Index"/>
      <sheetName val="Balance Sheets"/>
      <sheetName val="Statements of Income"/>
      <sheetName val="OCI Movement"/>
      <sheetName val="SCI"/>
      <sheetName val="SCI (Tax grossing)"/>
      <sheetName val="AOCI"/>
      <sheetName val="AOCI (Tax grossing)"/>
      <sheetName val="Shareholders Equity Q2'20 (9M)"/>
      <sheetName val="Shareholders Equity Q3'17"/>
      <sheetName val="Shareholders Equity (3M)"/>
      <sheetName val="Shareholders Equity (9M)"/>
      <sheetName val="Statements of Cash Flow"/>
      <sheetName val="Other income (expense), net"/>
      <sheetName val="3. Quarterly Financial Data"/>
      <sheetName val="Cash &amp; cash equivalent"/>
      <sheetName val="Segment Information "/>
      <sheetName val="Investments"/>
      <sheetName val="CL,NCL,OCA &amp; OA"/>
      <sheetName val="Revenues,Net"/>
      <sheetName val="EPS"/>
      <sheetName val="MD&amp;A Section- Three months"/>
      <sheetName val="Statement of opts data(Item 6)"/>
      <sheetName val="Geographical"/>
      <sheetName val="Reimb Revenue- Unbilled"/>
      <sheetName val="Data - 8K"/>
      <sheetName val="Pro forma (Bus. Com (1)"/>
      <sheetName val="Business Com (2)"/>
      <sheetName val="Business Com"/>
      <sheetName val="Goodwill (2)"/>
      <sheetName val="Goodwill"/>
      <sheetName val="Intangibles"/>
      <sheetName val="MD&amp;A Section- Nine Months End"/>
      <sheetName val="Goodwill &amp; Intangibles"/>
      <sheetName val="Emp Benefits"/>
      <sheetName val="6. Fair Value Measurements"/>
      <sheetName val="Derivatives 1"/>
      <sheetName val="Derivatives 3"/>
      <sheetName val="Derivatives 2 (b)"/>
      <sheetName val="Derivatives 1 "/>
      <sheetName val="Derivatives 2 (a)"/>
      <sheetName val="Derivatives 2 (b) "/>
      <sheetName val="Derivatives 3 (c) "/>
      <sheetName val="Lease disclosure"/>
      <sheetName val="12. Leases"/>
      <sheetName val="FA"/>
      <sheetName val="Income Tax"/>
      <sheetName val="Contractual Obligati &amp; Note 19 "/>
      <sheetName val="Contingencies"/>
      <sheetName val="Sheet1"/>
      <sheetName val="MD&amp;A"/>
      <sheetName val="MD&amp;A (9m)"/>
      <sheetName val="MD&amp;A (PY)"/>
      <sheetName val="18. Capital Structure"/>
      <sheetName val="Item 2"/>
      <sheetName val="Borrowings &amp; Credit Arrangement"/>
      <sheetName val="21. Stock Based Compensation"/>
      <sheetName val="25. Related Party Disclosures"/>
      <sheetName val="Commitment &amp; Contingencies"/>
      <sheetName val="Subsequent Events"/>
      <sheetName val="MD&amp;A Section- Three Months End"/>
      <sheetName val="MD&amp;A Section- Year End"/>
      <sheetName val="Liquidity &amp; CR"/>
      <sheetName val="Equity compensation plan Item 5"/>
      <sheetName val="24. Impairment &amp; Restructuring"/>
      <sheetName val="High and Low"/>
    </sheetNames>
    <sheetDataSet>
      <sheetData sheetId="0" refreshError="1"/>
      <sheetData sheetId="1">
        <row r="7">
          <cell r="B7">
            <v>2023</v>
          </cell>
        </row>
      </sheetData>
      <sheetData sheetId="2" refreshError="1"/>
      <sheetData sheetId="3">
        <row r="9">
          <cell r="C9">
            <v>122655</v>
          </cell>
        </row>
        <row r="10">
          <cell r="C10">
            <v>151581</v>
          </cell>
        </row>
        <row r="11">
          <cell r="C11">
            <v>3257</v>
          </cell>
        </row>
        <row r="12">
          <cell r="C12">
            <v>303378</v>
          </cell>
        </row>
        <row r="13">
          <cell r="C13">
            <v>70697</v>
          </cell>
        </row>
        <row r="15">
          <cell r="C15">
            <v>96729</v>
          </cell>
        </row>
        <row r="16">
          <cell r="C16">
            <v>56817</v>
          </cell>
        </row>
        <row r="17">
          <cell r="C17">
            <v>2047</v>
          </cell>
        </row>
        <row r="18">
          <cell r="C18">
            <v>79767</v>
          </cell>
        </row>
        <row r="19">
          <cell r="C19">
            <v>405579</v>
          </cell>
        </row>
        <row r="20">
          <cell r="C20">
            <v>53315</v>
          </cell>
        </row>
        <row r="21">
          <cell r="C21">
            <v>51398</v>
          </cell>
        </row>
        <row r="26">
          <cell r="C26">
            <v>3159</v>
          </cell>
        </row>
        <row r="27">
          <cell r="C27">
            <v>50000</v>
          </cell>
        </row>
        <row r="28">
          <cell r="C28">
            <v>13766</v>
          </cell>
        </row>
        <row r="29">
          <cell r="C29">
            <v>105535</v>
          </cell>
        </row>
        <row r="30">
          <cell r="C30">
            <v>107730</v>
          </cell>
        </row>
        <row r="31">
          <cell r="C31">
            <v>14008</v>
          </cell>
        </row>
        <row r="32">
          <cell r="C32">
            <v>11948</v>
          </cell>
        </row>
        <row r="35">
          <cell r="C35">
            <v>160000</v>
          </cell>
        </row>
        <row r="37">
          <cell r="C37">
            <v>48445</v>
          </cell>
        </row>
        <row r="38">
          <cell r="C38">
            <v>461</v>
          </cell>
        </row>
        <row r="39">
          <cell r="C39">
            <v>31354</v>
          </cell>
        </row>
        <row r="44">
          <cell r="C44">
            <v>202</v>
          </cell>
        </row>
        <row r="45">
          <cell r="C45">
            <v>492577</v>
          </cell>
        </row>
        <row r="46">
          <cell r="C46">
            <v>1043380</v>
          </cell>
        </row>
        <row r="47">
          <cell r="C47">
            <v>-136805</v>
          </cell>
        </row>
        <row r="49">
          <cell r="C49">
            <v>-543267</v>
          </cell>
        </row>
      </sheetData>
      <sheetData sheetId="4">
        <row r="7">
          <cell r="F7">
            <v>410971</v>
          </cell>
        </row>
        <row r="8">
          <cell r="F8">
            <v>256002</v>
          </cell>
        </row>
        <row r="11">
          <cell r="F11">
            <v>52213</v>
          </cell>
        </row>
        <row r="12">
          <cell r="F12">
            <v>30943</v>
          </cell>
        </row>
        <row r="13">
          <cell r="F13">
            <v>11583</v>
          </cell>
        </row>
        <row r="17">
          <cell r="F17">
            <v>409</v>
          </cell>
        </row>
        <row r="18">
          <cell r="F18">
            <v>-3405</v>
          </cell>
        </row>
        <row r="19">
          <cell r="F19">
            <v>778</v>
          </cell>
        </row>
        <row r="22">
          <cell r="F22">
            <v>14161</v>
          </cell>
        </row>
        <row r="24">
          <cell r="F24">
            <v>25</v>
          </cell>
        </row>
      </sheetData>
      <sheetData sheetId="5" refreshError="1"/>
      <sheetData sheetId="6" refreshError="1"/>
      <sheetData sheetId="7">
        <row r="4">
          <cell r="E4">
            <v>43876</v>
          </cell>
        </row>
      </sheetData>
      <sheetData sheetId="8" refreshError="1"/>
      <sheetData sheetId="9">
        <row r="17">
          <cell r="B17">
            <v>-133139</v>
          </cell>
        </row>
      </sheetData>
      <sheetData sheetId="10" refreshError="1"/>
      <sheetData sheetId="11" refreshError="1"/>
      <sheetData sheetId="12">
        <row r="4">
          <cell r="B4">
            <v>201748635</v>
          </cell>
        </row>
      </sheetData>
      <sheetData sheetId="13">
        <row r="4">
          <cell r="A4">
            <v>44927</v>
          </cell>
        </row>
      </sheetData>
      <sheetData sheetId="14">
        <row r="7">
          <cell r="C7">
            <v>144275</v>
          </cell>
        </row>
        <row r="9">
          <cell r="C9">
            <v>38010</v>
          </cell>
        </row>
        <row r="10">
          <cell r="C10">
            <v>42985</v>
          </cell>
        </row>
        <row r="11">
          <cell r="C11">
            <v>15171</v>
          </cell>
        </row>
        <row r="12">
          <cell r="C12">
            <v>6003</v>
          </cell>
        </row>
        <row r="13">
          <cell r="C13">
            <v>-862</v>
          </cell>
        </row>
        <row r="14">
          <cell r="C14">
            <v>-26555</v>
          </cell>
        </row>
        <row r="15">
          <cell r="C15">
            <v>2444</v>
          </cell>
        </row>
        <row r="17">
          <cell r="C17">
            <v>2500</v>
          </cell>
        </row>
        <row r="19">
          <cell r="C19">
            <v>0</v>
          </cell>
        </row>
        <row r="23">
          <cell r="C23">
            <v>-46488</v>
          </cell>
        </row>
        <row r="24">
          <cell r="C24">
            <v>-412</v>
          </cell>
        </row>
        <row r="25">
          <cell r="C25">
            <v>-12022</v>
          </cell>
        </row>
        <row r="26">
          <cell r="C26">
            <v>-18792</v>
          </cell>
        </row>
        <row r="27">
          <cell r="C27">
            <v>-4624</v>
          </cell>
        </row>
        <row r="28">
          <cell r="C28">
            <v>2319</v>
          </cell>
        </row>
        <row r="29">
          <cell r="C29">
            <v>-1853</v>
          </cell>
        </row>
        <row r="30">
          <cell r="C30">
            <v>4299</v>
          </cell>
        </row>
        <row r="31">
          <cell r="C31">
            <v>-15622</v>
          </cell>
        </row>
        <row r="34">
          <cell r="C34">
            <v>-41106</v>
          </cell>
        </row>
        <row r="35">
          <cell r="C35">
            <v>640</v>
          </cell>
        </row>
        <row r="36">
          <cell r="C36">
            <v>-600</v>
          </cell>
        </row>
        <row r="37">
          <cell r="C37">
            <v>0</v>
          </cell>
        </row>
        <row r="38">
          <cell r="C38">
            <v>0</v>
          </cell>
        </row>
        <row r="40">
          <cell r="C40">
            <v>-165021</v>
          </cell>
        </row>
        <row r="41">
          <cell r="C41">
            <v>217525</v>
          </cell>
        </row>
        <row r="44">
          <cell r="C44">
            <v>-120</v>
          </cell>
        </row>
        <row r="45">
          <cell r="C45">
            <v>70000</v>
          </cell>
        </row>
        <row r="46">
          <cell r="C46">
            <v>-110000</v>
          </cell>
        </row>
        <row r="47">
          <cell r="C47">
            <v>-5000</v>
          </cell>
        </row>
        <row r="53">
          <cell r="C53">
            <v>-100542</v>
          </cell>
        </row>
        <row r="54">
          <cell r="C54">
            <v>85</v>
          </cell>
        </row>
        <row r="55">
          <cell r="C55">
            <v>4605</v>
          </cell>
        </row>
        <row r="57">
          <cell r="C57">
            <v>-288</v>
          </cell>
        </row>
      </sheetData>
      <sheetData sheetId="15">
        <row r="4">
          <cell r="D4">
            <v>1337</v>
          </cell>
        </row>
      </sheetData>
      <sheetData sheetId="16" refreshError="1"/>
      <sheetData sheetId="17">
        <row r="5">
          <cell r="C5">
            <v>122655</v>
          </cell>
        </row>
      </sheetData>
      <sheetData sheetId="18">
        <row r="6">
          <cell r="B6">
            <v>136369</v>
          </cell>
          <cell r="C6">
            <v>26177</v>
          </cell>
          <cell r="D6">
            <v>65316</v>
          </cell>
          <cell r="E6">
            <v>183109</v>
          </cell>
        </row>
        <row r="8">
          <cell r="B8">
            <v>49934</v>
          </cell>
          <cell r="C8">
            <v>9644</v>
          </cell>
          <cell r="D8">
            <v>27717</v>
          </cell>
          <cell r="E8">
            <v>67674</v>
          </cell>
        </row>
        <row r="70">
          <cell r="F70">
            <v>0.83493725834669597</v>
          </cell>
        </row>
        <row r="72">
          <cell r="F72">
            <v>0.11272571543977555</v>
          </cell>
        </row>
        <row r="73">
          <cell r="F73">
            <v>5.2337026213528447E-2</v>
          </cell>
        </row>
      </sheetData>
      <sheetData sheetId="19">
        <row r="5">
          <cell r="C5">
            <v>76476</v>
          </cell>
        </row>
      </sheetData>
      <sheetData sheetId="20">
        <row r="7">
          <cell r="C7">
            <v>55071</v>
          </cell>
        </row>
      </sheetData>
      <sheetData sheetId="21">
        <row r="5">
          <cell r="C5">
            <v>303378</v>
          </cell>
        </row>
      </sheetData>
      <sheetData sheetId="22">
        <row r="7">
          <cell r="I7">
            <v>39095</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7">
          <cell r="B7">
            <v>49929</v>
          </cell>
        </row>
        <row r="58">
          <cell r="B58">
            <v>3157</v>
          </cell>
        </row>
      </sheetData>
      <sheetData sheetId="36">
        <row r="7">
          <cell r="E7">
            <v>947</v>
          </cell>
        </row>
      </sheetData>
      <sheetData sheetId="37">
        <row r="7">
          <cell r="B7">
            <v>17718</v>
          </cell>
        </row>
      </sheetData>
      <sheetData sheetId="38" refreshError="1"/>
      <sheetData sheetId="39" refreshError="1"/>
      <sheetData sheetId="40" refreshError="1"/>
      <sheetData sheetId="41">
        <row r="4">
          <cell r="D4">
            <v>2542</v>
          </cell>
        </row>
      </sheetData>
      <sheetData sheetId="42">
        <row r="6">
          <cell r="C6">
            <v>-7903</v>
          </cell>
        </row>
      </sheetData>
      <sheetData sheetId="43">
        <row r="6">
          <cell r="C6">
            <v>8242</v>
          </cell>
        </row>
      </sheetData>
      <sheetData sheetId="44">
        <row r="3">
          <cell r="B3">
            <v>797400</v>
          </cell>
        </row>
      </sheetData>
      <sheetData sheetId="45">
        <row r="4">
          <cell r="C4">
            <v>56817</v>
          </cell>
        </row>
      </sheetData>
      <sheetData sheetId="46" refreshError="1"/>
      <sheetData sheetId="47">
        <row r="6">
          <cell r="E6">
            <v>143357</v>
          </cell>
        </row>
      </sheetData>
      <sheetData sheetId="48">
        <row r="101">
          <cell r="C101">
            <v>1370</v>
          </cell>
        </row>
      </sheetData>
      <sheetData sheetId="49" refreshError="1"/>
      <sheetData sheetId="50" refreshError="1"/>
      <sheetData sheetId="51" refreshError="1"/>
      <sheetData sheetId="52" refreshError="1"/>
      <sheetData sheetId="53" refreshError="1"/>
      <sheetData sheetId="54" refreshError="1"/>
      <sheetData sheetId="55">
        <row r="4">
          <cell r="F4">
            <v>45267</v>
          </cell>
        </row>
      </sheetData>
      <sheetData sheetId="56">
        <row r="3">
          <cell r="G3" t="str">
            <v>Shares Purchased as Part of Publicly Announced Programs</v>
          </cell>
        </row>
      </sheetData>
      <sheetData sheetId="57">
        <row r="4">
          <cell r="D4">
            <v>200000</v>
          </cell>
        </row>
      </sheetData>
      <sheetData sheetId="58">
        <row r="4">
          <cell r="B4">
            <v>4038</v>
          </cell>
        </row>
        <row r="7">
          <cell r="B7">
            <v>17067</v>
          </cell>
        </row>
      </sheetData>
      <sheetData sheetId="59">
        <row r="11">
          <cell r="B11">
            <v>354</v>
          </cell>
        </row>
      </sheetData>
      <sheetData sheetId="60">
        <row r="6">
          <cell r="B6">
            <v>9400</v>
          </cell>
        </row>
      </sheetData>
      <sheetData sheetId="61">
        <row r="11">
          <cell r="D11">
            <v>43876</v>
          </cell>
        </row>
      </sheetData>
      <sheetData sheetId="62">
        <row r="4">
          <cell r="B4">
            <v>411</v>
          </cell>
        </row>
      </sheetData>
      <sheetData sheetId="63">
        <row r="4">
          <cell r="B4">
            <v>1216.5999999999999</v>
          </cell>
        </row>
      </sheetData>
      <sheetData sheetId="64">
        <row r="5">
          <cell r="C5">
            <v>125.6</v>
          </cell>
        </row>
      </sheetData>
      <sheetData sheetId="65" refreshError="1"/>
      <sheetData sheetId="66" refreshError="1"/>
      <sheetData sheetId="6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Highlights New"/>
      <sheetName val="Quarterly reported P&amp;L"/>
      <sheetName val="Op Segment Rev&amp;GM"/>
      <sheetName val="Rev by Industry Vertical (Rep)"/>
    </sheetNames>
    <sheetDataSet>
      <sheetData sheetId="0"/>
      <sheetData sheetId="1">
        <row r="25">
          <cell r="Q25">
            <v>184.55702706871028</v>
          </cell>
        </row>
      </sheetData>
      <sheetData sheetId="2">
        <row r="7">
          <cell r="S7">
            <v>1630.6679907278999</v>
          </cell>
        </row>
        <row r="8">
          <cell r="P8">
            <v>0.13404308666251508</v>
          </cell>
          <cell r="V8">
            <v>0.18297434587289607</v>
          </cell>
        </row>
        <row r="9">
          <cell r="P9">
            <v>0.15347102861842088</v>
          </cell>
          <cell r="V9">
            <v>0.1868770373276698</v>
          </cell>
        </row>
        <row r="10">
          <cell r="P10">
            <v>0.14111137679013397</v>
          </cell>
          <cell r="V10">
            <v>0.21661558209284659</v>
          </cell>
        </row>
        <row r="11">
          <cell r="P11">
            <v>2.5272453156314212E-2</v>
          </cell>
          <cell r="V11">
            <v>8.9431347937867667E-2</v>
          </cell>
        </row>
        <row r="12">
          <cell r="P12">
            <v>6.2180304598040692E-2</v>
          </cell>
          <cell r="V12">
            <v>0.12482576852105742</v>
          </cell>
        </row>
      </sheetData>
      <sheetData sheetId="3">
        <row r="11">
          <cell r="R11">
            <v>174.13152984049958</v>
          </cell>
        </row>
        <row r="12">
          <cell r="R12">
            <v>146.08811682519999</v>
          </cell>
        </row>
        <row r="13">
          <cell r="R13">
            <v>93.838342999999981</v>
          </cell>
        </row>
        <row r="18">
          <cell r="R18">
            <v>672.89806228399971</v>
          </cell>
        </row>
        <row r="19">
          <cell r="R19">
            <v>600.62882856390013</v>
          </cell>
        </row>
        <row r="20">
          <cell r="R20">
            <v>357.14109987999996</v>
          </cell>
        </row>
      </sheetData>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Highlights New"/>
      <sheetName val="Op Segment Rev&amp;GM"/>
      <sheetName val="Quarterly reported P&amp;L"/>
      <sheetName val="Rev by Industry Vertical (Rep)"/>
    </sheetNames>
    <sheetDataSet>
      <sheetData sheetId="0" refreshError="1"/>
      <sheetData sheetId="1">
        <row r="7">
          <cell r="M7">
            <v>436.50745771799996</v>
          </cell>
        </row>
        <row r="8">
          <cell r="P8">
            <v>0.12345030546140801</v>
          </cell>
        </row>
        <row r="9">
          <cell r="P9">
            <v>0.15568992839069518</v>
          </cell>
        </row>
        <row r="10">
          <cell r="P10">
            <v>0.11875525609073234</v>
          </cell>
        </row>
        <row r="11">
          <cell r="P11">
            <v>-1.6967091702651205E-2</v>
          </cell>
        </row>
        <row r="12">
          <cell r="P12">
            <v>4.6032380477481594E-2</v>
          </cell>
        </row>
      </sheetData>
      <sheetData sheetId="2">
        <row r="25">
          <cell r="E25">
            <v>48.756999999999998</v>
          </cell>
        </row>
      </sheetData>
      <sheetData sheetId="3" refreshError="1">
        <row r="11">
          <cell r="Q11">
            <v>183.05998170439992</v>
          </cell>
        </row>
        <row r="12">
          <cell r="Q12">
            <v>155.63776303360004</v>
          </cell>
        </row>
        <row r="13">
          <cell r="Q13">
            <v>97.809712980000015</v>
          </cell>
        </row>
      </sheetData>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Highlights New"/>
      <sheetName val="Op Segment Rev&amp;GM"/>
      <sheetName val="Quarterly reported P&amp;L"/>
      <sheetName val="Half Yearly P&amp;L"/>
      <sheetName val="Rev by Industry Vertical (Rep)"/>
    </sheetNames>
    <sheetDataSet>
      <sheetData sheetId="0" refreshError="1"/>
      <sheetData sheetId="1">
        <row r="8">
          <cell r="P8">
            <v>0.1432362749567746</v>
          </cell>
        </row>
        <row r="9">
          <cell r="P9">
            <v>0.16232883162159317</v>
          </cell>
        </row>
        <row r="10">
          <cell r="P10">
            <v>0.15060409538538755</v>
          </cell>
        </row>
        <row r="11">
          <cell r="P11">
            <v>3.4689135398779491E-2</v>
          </cell>
        </row>
        <row r="12">
          <cell r="P12">
            <v>6.4228835077683399E-2</v>
          </cell>
        </row>
      </sheetData>
      <sheetData sheetId="2" refreshError="1"/>
      <sheetData sheetId="3" refreshError="1"/>
      <sheetData sheetId="4">
        <row r="11">
          <cell r="Q11">
            <v>185.66129559750001</v>
          </cell>
        </row>
        <row r="12">
          <cell r="Q12">
            <v>159.74921223940015</v>
          </cell>
        </row>
        <row r="13">
          <cell r="Q13">
            <v>102.95502627000002</v>
          </cell>
        </row>
      </sheetData>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Working"/>
      <sheetName val="Bandwidth"/>
      <sheetName val="Common Cost"/>
      <sheetName val="Sheet1"/>
    </sheetNames>
    <sheetDataSet>
      <sheetData sheetId="0">
        <row r="4">
          <cell r="J4">
            <v>87830.240012667782</v>
          </cell>
        </row>
        <row r="5">
          <cell r="J5">
            <v>25111.897839999998</v>
          </cell>
          <cell r="L5">
            <v>7119.2778883515457</v>
          </cell>
        </row>
        <row r="7">
          <cell r="J7">
            <v>90498.952496695405</v>
          </cell>
          <cell r="L7">
            <v>34027.680296218474</v>
          </cell>
        </row>
      </sheetData>
      <sheetData sheetId="1" refreshError="1"/>
      <sheetData sheetId="2" refreshError="1"/>
      <sheetData sheetId="3" refreshError="1"/>
      <sheetData sheetId="4"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9"/>
      <sheetName val="2018"/>
      <sheetName val="2017"/>
    </sheetNames>
    <sheetDataSet>
      <sheetData sheetId="0" refreshError="1">
        <row r="4">
          <cell r="B4">
            <v>81286</v>
          </cell>
          <cell r="D4">
            <v>26043</v>
          </cell>
          <cell r="H4">
            <v>26167</v>
          </cell>
          <cell r="L4">
            <v>28863</v>
          </cell>
          <cell r="P4">
            <v>26781</v>
          </cell>
          <cell r="T4">
            <v>107854</v>
          </cell>
        </row>
        <row r="5">
          <cell r="D5">
            <v>4446</v>
          </cell>
          <cell r="H5">
            <v>3981</v>
          </cell>
          <cell r="L5">
            <v>5222</v>
          </cell>
          <cell r="P5">
            <v>6768</v>
          </cell>
          <cell r="T5">
            <v>20417</v>
          </cell>
        </row>
        <row r="6">
          <cell r="D6">
            <v>21785</v>
          </cell>
          <cell r="H6">
            <v>20475</v>
          </cell>
          <cell r="L6">
            <v>18845</v>
          </cell>
          <cell r="P6">
            <v>20396</v>
          </cell>
          <cell r="T6">
            <v>81501</v>
          </cell>
        </row>
      </sheetData>
      <sheetData sheetId="1" refreshError="1"/>
      <sheetData sheetId="2" refreshError="1"/>
      <sheetData sheetId="3"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Working adj "/>
      <sheetName val="Working"/>
      <sheetName val="Bandwidth"/>
      <sheetName val="HC on Common cost"/>
      <sheetName val="Common Cost"/>
      <sheetName val="Var Explanation"/>
      <sheetName val="Common P"/>
      <sheetName val="Common"/>
      <sheetName val="Sheet1"/>
    </sheetNames>
    <sheetDataSet>
      <sheetData sheetId="0">
        <row r="4">
          <cell r="N4">
            <v>88919.04139081738</v>
          </cell>
        </row>
        <row r="7">
          <cell r="N7">
            <v>98069.995171134913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rterly Revenue vertical(Rep)"/>
    </sheetNames>
    <sheetDataSet>
      <sheetData sheetId="0">
        <row r="28">
          <cell r="K28">
            <v>118.36874818935195</v>
          </cell>
        </row>
        <row r="29">
          <cell r="K29">
            <v>62.25695429999999</v>
          </cell>
        </row>
        <row r="30">
          <cell r="K30">
            <v>80.788873072383197</v>
          </cell>
        </row>
      </sheetData>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nue by Industry vertical"/>
    </sheetNames>
    <sheetDataSet>
      <sheetData sheetId="0">
        <row r="13">
          <cell r="R13">
            <v>122.9928981440388</v>
          </cell>
        </row>
        <row r="14">
          <cell r="R14">
            <v>64.548337290000021</v>
          </cell>
        </row>
        <row r="15">
          <cell r="R15">
            <v>87.5228859302579</v>
          </cell>
        </row>
      </sheetData>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eps"/>
      <sheetName val="Leadsheet Q3_2020"/>
      <sheetName val="Geo wise Excl SCIO"/>
      <sheetName val="Pivot"/>
      <sheetName val="Excl SCIO"/>
      <sheetName val="SCIO Geo Rev"/>
      <sheetName val="Total Dump"/>
    </sheetNames>
    <sheetDataSet>
      <sheetData sheetId="0"/>
      <sheetData sheetId="1">
        <row r="8">
          <cell r="C8">
            <v>203927779.00000003</v>
          </cell>
        </row>
        <row r="10">
          <cell r="C10">
            <v>0.84610925274915805</v>
          </cell>
          <cell r="D10">
            <v>9.5027448940333908E-2</v>
          </cell>
          <cell r="E10">
            <v>5.8863298310508079E-2</v>
          </cell>
        </row>
      </sheetData>
      <sheetData sheetId="2"/>
      <sheetData sheetId="3"/>
      <sheetData sheetId="4"/>
      <sheetData sheetId="5"/>
      <sheetData sheetId="6"/>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Q3'20"/>
      <sheetName val="Q2'20"/>
      <sheetName val="Q1'20"/>
    </sheetNames>
    <sheetDataSet>
      <sheetData sheetId="0">
        <row r="25">
          <cell r="C25">
            <v>0.85892786847547209</v>
          </cell>
          <cell r="D25">
            <v>9.4985781730874436E-2</v>
          </cell>
          <cell r="E25">
            <v>4.6086349793653482E-2</v>
          </cell>
        </row>
        <row r="31">
          <cell r="C31">
            <v>0.85000351799429719</v>
          </cell>
          <cell r="D31">
            <v>9.2503463849838291E-2</v>
          </cell>
          <cell r="E31">
            <v>5.749301815586453E-2</v>
          </cell>
        </row>
      </sheetData>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napshot- 10K Checks"/>
      <sheetName val="Master Sheet"/>
      <sheetName val="Index"/>
      <sheetName val="Balance Sheets"/>
      <sheetName val="Statements of Income"/>
      <sheetName val="OCI Movement"/>
      <sheetName val="SCI"/>
      <sheetName val="SCI (Tax grossing)"/>
      <sheetName val="AOCI"/>
      <sheetName val="AOCI (Tax grossing)"/>
      <sheetName val="Shareholders Equity Q2'20 (9M)"/>
      <sheetName val="Shareholders Equity Q3'17"/>
      <sheetName val="Shareholders Equity 10K "/>
      <sheetName val="Shareholders Equity Q2'20 (3M)"/>
      <sheetName val="Statements of Cash Flow"/>
      <sheetName val="3. Quarterly Financial Data"/>
      <sheetName val="Other income (expense), net"/>
      <sheetName val="Cash &amp; cash equivalent"/>
      <sheetName val="Investments"/>
      <sheetName val="CL,NCL,OCA &amp; OA"/>
      <sheetName val="Revenues,Net"/>
      <sheetName val="EPS"/>
      <sheetName val="MD&amp;A Section- Three months"/>
      <sheetName val="Segment Information "/>
      <sheetName val="Statement of opts data(Item 6)"/>
      <sheetName val="Geographical"/>
      <sheetName val="Reimb Revenue- Unbilled"/>
      <sheetName val="Data - 8K"/>
      <sheetName val="Pro forma (Bus. Com (1)"/>
      <sheetName val="Business Com (2)"/>
      <sheetName val="Business Com"/>
      <sheetName val="Goodwill (2)"/>
      <sheetName val="Goodwill"/>
      <sheetName val="Intangibles"/>
      <sheetName val="MD&amp;A Section- Three Months End"/>
      <sheetName val="MD&amp;A Section- Nine Months End"/>
      <sheetName val="Business Com (3)"/>
      <sheetName val="Goodwill &amp; Intangibles"/>
      <sheetName val="Emp Benefits"/>
      <sheetName val="Fair Value Measurements"/>
      <sheetName val="Derivatives 1"/>
      <sheetName val="Derivatives 3"/>
      <sheetName val="Derivatives 2 (b)"/>
      <sheetName val="Derivatives 1 "/>
      <sheetName val="Derivatives 2 (a)"/>
      <sheetName val="Derivatives 2 (b) "/>
      <sheetName val="Derivatives 3(c)"/>
      <sheetName val="FA"/>
      <sheetName val="Lease disclosure"/>
      <sheetName val="12. Leases"/>
      <sheetName val="Income Tax"/>
      <sheetName val="Contractual Obligati &amp; Note 19 "/>
      <sheetName val="Contingencies"/>
      <sheetName val="Sheet1"/>
      <sheetName val="MD&amp;A"/>
      <sheetName val="MD&amp;A (9m)"/>
      <sheetName val="MD&amp;A (PY)"/>
      <sheetName val="18. Capital Structure"/>
      <sheetName val="21. Stock Based Compensation"/>
      <sheetName val="Borrowings &amp; Credit Arrangement"/>
      <sheetName val="Commitment &amp; Contingencies"/>
      <sheetName val="Equity compensation plan Item 5"/>
      <sheetName val="Item 2"/>
      <sheetName val="Item 7A"/>
      <sheetName val="MD&amp;A Section- Year End"/>
      <sheetName val="Liquidity &amp; CR"/>
      <sheetName val="24. Impairment &amp; Restructuring"/>
      <sheetName val="High and Low"/>
    </sheetNames>
    <sheetDataSet>
      <sheetData sheetId="0">
        <row r="52">
          <cell r="B52">
            <v>-146859</v>
          </cell>
        </row>
      </sheetData>
      <sheetData sheetId="1"/>
      <sheetData sheetId="2"/>
      <sheetData sheetId="3">
        <row r="9">
          <cell r="C9">
            <v>136953</v>
          </cell>
        </row>
        <row r="10">
          <cell r="C10">
            <v>153881</v>
          </cell>
        </row>
        <row r="11">
          <cell r="C11">
            <v>4062</v>
          </cell>
        </row>
        <row r="12">
          <cell r="C12">
            <v>308108</v>
          </cell>
        </row>
        <row r="13">
          <cell r="C13">
            <v>76669</v>
          </cell>
        </row>
        <row r="15">
          <cell r="C15">
            <v>100373</v>
          </cell>
        </row>
        <row r="16">
          <cell r="C16">
            <v>64856</v>
          </cell>
        </row>
        <row r="17">
          <cell r="C17">
            <v>4386</v>
          </cell>
        </row>
        <row r="18">
          <cell r="C18">
            <v>82927</v>
          </cell>
        </row>
        <row r="19">
          <cell r="C19">
            <v>50164</v>
          </cell>
        </row>
        <row r="20">
          <cell r="C20">
            <v>405639</v>
          </cell>
        </row>
        <row r="21">
          <cell r="C21">
            <v>49524</v>
          </cell>
        </row>
        <row r="26">
          <cell r="C26">
            <v>5055</v>
          </cell>
        </row>
        <row r="27">
          <cell r="C27">
            <v>65000</v>
          </cell>
        </row>
        <row r="28">
          <cell r="C28">
            <v>12318</v>
          </cell>
        </row>
        <row r="29">
          <cell r="C29">
            <v>117137</v>
          </cell>
        </row>
        <row r="30">
          <cell r="C30">
            <v>112900</v>
          </cell>
        </row>
        <row r="31">
          <cell r="C31">
            <v>12780</v>
          </cell>
        </row>
        <row r="32">
          <cell r="C32">
            <v>1213</v>
          </cell>
        </row>
        <row r="35">
          <cell r="C35">
            <v>135000</v>
          </cell>
        </row>
        <row r="37">
          <cell r="C37">
            <v>1495</v>
          </cell>
        </row>
        <row r="38">
          <cell r="C38">
            <v>58175</v>
          </cell>
        </row>
        <row r="39">
          <cell r="C39">
            <v>31462</v>
          </cell>
        </row>
        <row r="44">
          <cell r="C44">
            <v>203</v>
          </cell>
        </row>
        <row r="45">
          <cell r="C45">
            <v>508028</v>
          </cell>
        </row>
        <row r="46">
          <cell r="C46">
            <v>1083663</v>
          </cell>
        </row>
        <row r="47">
          <cell r="C47">
            <v>-127040</v>
          </cell>
        </row>
        <row r="49">
          <cell r="C49">
            <v>-575417</v>
          </cell>
        </row>
      </sheetData>
      <sheetData sheetId="4">
        <row r="7">
          <cell r="J7">
            <v>1630668</v>
          </cell>
        </row>
        <row r="8">
          <cell r="J8">
            <v>1022902</v>
          </cell>
        </row>
        <row r="11">
          <cell r="J11">
            <v>198294</v>
          </cell>
        </row>
        <row r="12">
          <cell r="J12">
            <v>120227</v>
          </cell>
        </row>
        <row r="13">
          <cell r="J13">
            <v>50490</v>
          </cell>
        </row>
        <row r="17">
          <cell r="J17">
            <v>1532</v>
          </cell>
        </row>
        <row r="18">
          <cell r="J18">
            <v>-13180</v>
          </cell>
        </row>
        <row r="19">
          <cell r="J19">
            <v>10834</v>
          </cell>
        </row>
        <row r="22">
          <cell r="J22">
            <v>53536</v>
          </cell>
        </row>
        <row r="24">
          <cell r="J24">
            <v>153</v>
          </cell>
        </row>
      </sheetData>
      <sheetData sheetId="5">
        <row r="10">
          <cell r="B10">
            <v>5440</v>
          </cell>
        </row>
      </sheetData>
      <sheetData sheetId="6"/>
      <sheetData sheetId="7">
        <row r="4">
          <cell r="J4">
            <v>184558</v>
          </cell>
        </row>
      </sheetData>
      <sheetData sheetId="8"/>
      <sheetData sheetId="9">
        <row r="3">
          <cell r="A3" t="str">
            <v>Balance as of January 1, 2021</v>
          </cell>
        </row>
      </sheetData>
      <sheetData sheetId="10"/>
      <sheetData sheetId="11"/>
      <sheetData sheetId="12">
        <row r="4">
          <cell r="B4">
            <v>194840260</v>
          </cell>
        </row>
      </sheetData>
      <sheetData sheetId="13"/>
      <sheetData sheetId="14">
        <row r="7">
          <cell r="C7">
            <v>184558</v>
          </cell>
        </row>
        <row r="9">
          <cell r="C9">
            <v>50280</v>
          </cell>
        </row>
        <row r="10">
          <cell r="C10">
            <v>58437</v>
          </cell>
        </row>
        <row r="11">
          <cell r="C11">
            <v>20188</v>
          </cell>
        </row>
        <row r="12">
          <cell r="C12">
            <v>17044</v>
          </cell>
        </row>
        <row r="13">
          <cell r="C13">
            <v>-1363</v>
          </cell>
        </row>
        <row r="14">
          <cell r="C14">
            <v>-31742</v>
          </cell>
        </row>
        <row r="15">
          <cell r="C15">
            <v>2453</v>
          </cell>
        </row>
        <row r="17">
          <cell r="C17">
            <v>1900</v>
          </cell>
        </row>
        <row r="19">
          <cell r="C19">
            <v>0</v>
          </cell>
        </row>
        <row r="20">
          <cell r="C20">
            <v>0</v>
          </cell>
        </row>
        <row r="23">
          <cell r="C23">
            <v>-49242</v>
          </cell>
        </row>
        <row r="24">
          <cell r="C24">
            <v>-9506</v>
          </cell>
        </row>
        <row r="25">
          <cell r="C25">
            <v>-18282</v>
          </cell>
        </row>
        <row r="26">
          <cell r="C26">
            <v>-14833</v>
          </cell>
        </row>
        <row r="27">
          <cell r="C27">
            <v>-2757</v>
          </cell>
        </row>
        <row r="28">
          <cell r="C28">
            <v>-877</v>
          </cell>
        </row>
        <row r="29">
          <cell r="C29">
            <v>14090</v>
          </cell>
        </row>
        <row r="30">
          <cell r="C30">
            <v>10083</v>
          </cell>
        </row>
        <row r="31">
          <cell r="C31">
            <v>-20181</v>
          </cell>
        </row>
        <row r="34">
          <cell r="C34">
            <v>-52803</v>
          </cell>
        </row>
        <row r="35">
          <cell r="C35">
            <v>739</v>
          </cell>
        </row>
        <row r="36">
          <cell r="C36">
            <v>-600</v>
          </cell>
        </row>
        <row r="37">
          <cell r="C37">
            <v>0</v>
          </cell>
        </row>
        <row r="38">
          <cell r="C38">
            <v>0</v>
          </cell>
        </row>
        <row r="39">
          <cell r="C39">
            <v>-235369</v>
          </cell>
        </row>
        <row r="40">
          <cell r="C40">
            <v>276036</v>
          </cell>
        </row>
        <row r="43">
          <cell r="C43">
            <v>-169</v>
          </cell>
        </row>
        <row r="44">
          <cell r="C44">
            <v>80000</v>
          </cell>
        </row>
        <row r="45">
          <cell r="C45">
            <v>-130000</v>
          </cell>
        </row>
        <row r="46">
          <cell r="C46">
            <v>0</v>
          </cell>
        </row>
        <row r="48">
          <cell r="C48">
            <v>-5000</v>
          </cell>
        </row>
        <row r="51">
          <cell r="C51">
            <v>-131847</v>
          </cell>
        </row>
        <row r="52">
          <cell r="C52">
            <v>85</v>
          </cell>
        </row>
        <row r="53">
          <cell r="C53">
            <v>5481</v>
          </cell>
        </row>
        <row r="55">
          <cell r="C55">
            <v>2029</v>
          </cell>
        </row>
      </sheetData>
      <sheetData sheetId="15"/>
      <sheetData sheetId="16">
        <row r="4">
          <cell r="F4">
            <v>5013</v>
          </cell>
        </row>
      </sheetData>
      <sheetData sheetId="17">
        <row r="5">
          <cell r="C5">
            <v>136953</v>
          </cell>
        </row>
      </sheetData>
      <sheetData sheetId="18">
        <row r="5">
          <cell r="C5">
            <v>52650</v>
          </cell>
        </row>
      </sheetData>
      <sheetData sheetId="19">
        <row r="7">
          <cell r="C7">
            <v>58736</v>
          </cell>
        </row>
      </sheetData>
      <sheetData sheetId="20">
        <row r="5">
          <cell r="C5">
            <v>308108</v>
          </cell>
        </row>
      </sheetData>
      <sheetData sheetId="21">
        <row r="7">
          <cell r="K7">
            <v>184558</v>
          </cell>
        </row>
      </sheetData>
      <sheetData sheetId="22"/>
      <sheetData sheetId="23">
        <row r="6">
          <cell r="B6">
            <v>529855</v>
          </cell>
          <cell r="C6">
            <v>105994</v>
          </cell>
          <cell r="D6">
            <v>265692</v>
          </cell>
          <cell r="E6">
            <v>729127</v>
          </cell>
        </row>
        <row r="8">
          <cell r="B8">
            <v>188070</v>
          </cell>
          <cell r="C8">
            <v>36721</v>
          </cell>
          <cell r="D8">
            <v>114749</v>
          </cell>
          <cell r="E8">
            <v>268226</v>
          </cell>
        </row>
      </sheetData>
      <sheetData sheetId="24"/>
      <sheetData sheetId="25"/>
      <sheetData sheetId="26"/>
      <sheetData sheetId="27"/>
      <sheetData sheetId="28"/>
      <sheetData sheetId="29">
        <row r="5">
          <cell r="F5">
            <v>89000000</v>
          </cell>
        </row>
      </sheetData>
      <sheetData sheetId="30"/>
      <sheetData sheetId="31"/>
      <sheetData sheetId="32"/>
      <sheetData sheetId="33"/>
      <sheetData sheetId="34"/>
      <sheetData sheetId="35"/>
      <sheetData sheetId="36"/>
      <sheetData sheetId="37">
        <row r="4">
          <cell r="B4">
            <v>50428</v>
          </cell>
        </row>
        <row r="59">
          <cell r="B59">
            <v>14678</v>
          </cell>
        </row>
      </sheetData>
      <sheetData sheetId="38">
        <row r="7">
          <cell r="I7">
            <v>3799</v>
          </cell>
        </row>
      </sheetData>
      <sheetData sheetId="39">
        <row r="7">
          <cell r="B7">
            <v>49806</v>
          </cell>
        </row>
      </sheetData>
      <sheetData sheetId="40"/>
      <sheetData sheetId="41"/>
      <sheetData sheetId="42"/>
      <sheetData sheetId="43">
        <row r="4">
          <cell r="D4">
            <v>4216</v>
          </cell>
        </row>
      </sheetData>
      <sheetData sheetId="44"/>
      <sheetData sheetId="45">
        <row r="6">
          <cell r="C6">
            <v>14403</v>
          </cell>
        </row>
      </sheetData>
      <sheetData sheetId="46">
        <row r="3">
          <cell r="B3">
            <v>722800</v>
          </cell>
        </row>
      </sheetData>
      <sheetData sheetId="47">
        <row r="6">
          <cell r="E6">
            <v>149975</v>
          </cell>
        </row>
      </sheetData>
      <sheetData sheetId="48">
        <row r="4">
          <cell r="C4">
            <v>64856</v>
          </cell>
        </row>
      </sheetData>
      <sheetData sheetId="49"/>
      <sheetData sheetId="50">
        <row r="9">
          <cell r="G9">
            <v>100905</v>
          </cell>
        </row>
      </sheetData>
      <sheetData sheetId="51">
        <row r="9">
          <cell r="D9">
            <v>0.3</v>
          </cell>
        </row>
      </sheetData>
      <sheetData sheetId="52"/>
      <sheetData sheetId="53"/>
      <sheetData sheetId="54"/>
      <sheetData sheetId="55"/>
      <sheetData sheetId="56"/>
      <sheetData sheetId="57">
        <row r="4">
          <cell r="F4">
            <v>237047</v>
          </cell>
        </row>
      </sheetData>
      <sheetData sheetId="58">
        <row r="4">
          <cell r="B4">
            <v>14686</v>
          </cell>
        </row>
        <row r="7">
          <cell r="B7">
            <v>58437</v>
          </cell>
        </row>
      </sheetData>
      <sheetData sheetId="59">
        <row r="4">
          <cell r="D4">
            <v>200000</v>
          </cell>
        </row>
      </sheetData>
      <sheetData sheetId="60">
        <row r="6">
          <cell r="B6">
            <v>7100</v>
          </cell>
        </row>
      </sheetData>
      <sheetData sheetId="61">
        <row r="6">
          <cell r="B6">
            <v>5367317</v>
          </cell>
        </row>
      </sheetData>
      <sheetData sheetId="62">
        <row r="5">
          <cell r="C5">
            <v>0</v>
          </cell>
        </row>
      </sheetData>
      <sheetData sheetId="63">
        <row r="3">
          <cell r="C3">
            <v>0.86195012309949293</v>
          </cell>
        </row>
      </sheetData>
      <sheetData sheetId="64">
        <row r="7">
          <cell r="B7">
            <v>1630.7</v>
          </cell>
        </row>
      </sheetData>
      <sheetData sheetId="65">
        <row r="2">
          <cell r="C2" t="str">
            <v>Twelve months ended December 31,</v>
          </cell>
        </row>
      </sheetData>
      <sheetData sheetId="66"/>
      <sheetData sheetId="67"/>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sheet Q1'21"/>
      <sheetName val="Geo wise Excl SCIO"/>
      <sheetName val="Excl SCIO"/>
      <sheetName val="Q1'21 Revenue Dump"/>
      <sheetName val="Sheet1"/>
      <sheetName val="Geo Rev SCIO"/>
    </sheetNames>
    <sheetDataSet>
      <sheetData sheetId="0">
        <row r="7">
          <cell r="C7">
            <v>224367550.72999993</v>
          </cell>
        </row>
        <row r="9">
          <cell r="C9">
            <v>0.85828202509147322</v>
          </cell>
          <cell r="D9">
            <v>9.4679987238737287E-2</v>
          </cell>
          <cell r="E9">
            <v>4.7037987669789338E-2</v>
          </cell>
        </row>
      </sheetData>
      <sheetData sheetId="1"/>
      <sheetData sheetId="2"/>
      <sheetData sheetId="3"/>
      <sheetData sheetId="4"/>
      <sheetData sheetId="5"/>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sheet Q2'21"/>
      <sheetName val="Geowise Exl SCIO"/>
      <sheetName val="Exl SCIO"/>
      <sheetName val="Q2'21 Revenue Dump"/>
      <sheetName val="Geo Rev SCIO"/>
    </sheetNames>
    <sheetDataSet>
      <sheetData sheetId="0">
        <row r="7">
          <cell r="C7">
            <v>235288273.6699999</v>
          </cell>
        </row>
        <row r="9">
          <cell r="C9">
            <v>0.85539427073740448</v>
          </cell>
          <cell r="D9">
            <v>9.5157845905182364E-2</v>
          </cell>
          <cell r="E9">
            <v>5.0447883357413167E-2</v>
          </cell>
        </row>
      </sheetData>
      <sheetData sheetId="1"/>
      <sheetData sheetId="2"/>
      <sheetData sheetId="3"/>
      <sheetData sheetId="4"/>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P"/>
      <sheetName val="LeadSheet Q3'21"/>
      <sheetName val="Pivot - to be updated"/>
      <sheetName val="Geowise Exl SCIO"/>
      <sheetName val="Excl SCIO - Dump"/>
      <sheetName val="Dump - to be updated for Sep"/>
      <sheetName val="Geo Rev SCIO"/>
    </sheetNames>
    <sheetDataSet>
      <sheetData sheetId="0" refreshError="1"/>
      <sheetData sheetId="1">
        <row r="7">
          <cell r="C7">
            <v>249726262.61000007</v>
          </cell>
        </row>
        <row r="9">
          <cell r="C9">
            <v>0.86016039054776272</v>
          </cell>
          <cell r="D9">
            <v>9.4491814778412342E-2</v>
          </cell>
          <cell r="E9">
            <v>4.5347794673824958E-2</v>
          </cell>
        </row>
      </sheetData>
      <sheetData sheetId="2" refreshError="1"/>
      <sheetData sheetId="3" refreshError="1"/>
      <sheetData sheetId="4" refreshError="1"/>
      <sheetData sheetId="5" refreshError="1"/>
      <sheetData sheetId="6"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P"/>
      <sheetName val="LeadSheet Q4'21"/>
      <sheetName val="Pivot - to be updated"/>
      <sheetName val="Geowise Exl SCIO"/>
      <sheetName val="Excl SCIO - Dump"/>
      <sheetName val="Dump - Q4'21"/>
      <sheetName val="Geo Rev SCIO 2021"/>
    </sheetNames>
    <sheetDataSet>
      <sheetData sheetId="0"/>
      <sheetData sheetId="1">
        <row r="7">
          <cell r="C7">
            <v>253260606.27999997</v>
          </cell>
        </row>
        <row r="9">
          <cell r="C9">
            <v>0.86123715176185733</v>
          </cell>
          <cell r="D9">
            <v>9.3090449127121971E-2</v>
          </cell>
          <cell r="E9">
            <v>4.5672399111020612E-2</v>
          </cell>
        </row>
      </sheetData>
      <sheetData sheetId="2"/>
      <sheetData sheetId="3"/>
      <sheetData sheetId="4"/>
      <sheetData sheetId="5"/>
      <sheetData sheetId="6"/>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Sheet Q1'22"/>
      <sheetName val="Geowise Exl SCIO"/>
      <sheetName val="WORKING"/>
      <sheetName val="Rev Dump Q1'22 (Excl SCIO &amp; CV)"/>
      <sheetName val="Rev Dump Q1'22"/>
      <sheetName val="CV Geo wise Revenue Q1'22"/>
      <sheetName val="SCIO Geo Rev"/>
    </sheetNames>
    <sheetDataSet>
      <sheetData sheetId="0">
        <row r="8">
          <cell r="C8">
            <v>282378585.41110003</v>
          </cell>
        </row>
        <row r="10">
          <cell r="C10">
            <v>0.85775195649255742</v>
          </cell>
          <cell r="D10">
            <v>9.9550595682622325E-2</v>
          </cell>
          <cell r="E10">
            <v>4.2697447824820427E-2</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Sheet Q2'22"/>
      <sheetName val="Geowise Exl SCIO &amp; CV"/>
      <sheetName val="WORKING"/>
      <sheetName val="Rev Dump Q2'22 (Excl SCIO &amp; CV)"/>
      <sheetName val="CV Rev PVT"/>
      <sheetName val="CV Rev Q2'22"/>
      <sheetName val="SCIO Geo Rev Jun22"/>
      <sheetName val="Rev Dump Q2'22"/>
    </sheetNames>
    <sheetDataSet>
      <sheetData sheetId="0">
        <row r="8">
          <cell r="C8">
            <v>298520499.30000001</v>
          </cell>
        </row>
        <row r="10">
          <cell r="C10">
            <v>0.86082951267316399</v>
          </cell>
          <cell r="D10">
            <v>9.2536940797546763E-2</v>
          </cell>
          <cell r="E10">
            <v>4.6633546529289263E-2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Sheet Q3'22"/>
      <sheetName val="Geowise Exl SCIO &amp; CV"/>
      <sheetName val="WORKING"/>
      <sheetName val="Rev Dump Q3'22 (Excl SCIO &amp; CV)"/>
      <sheetName val="CV Rev PVT"/>
      <sheetName val="CV Rev Q3'22"/>
      <sheetName val="SCIO Geo Rev Sep22"/>
      <sheetName val="Rev Dump Q3'22"/>
    </sheetNames>
    <sheetDataSet>
      <sheetData sheetId="0">
        <row r="8">
          <cell r="C8">
            <v>310651854.49000013</v>
          </cell>
        </row>
        <row r="10">
          <cell r="C10">
            <v>0.85969496377656596</v>
          </cell>
          <cell r="D10">
            <v>9.4454488940220349E-2</v>
          </cell>
          <cell r="E10">
            <v>4.5850547283213784E-2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Sheet Q4'22"/>
      <sheetName val="Geowise Exl SCIO &amp; CV"/>
      <sheetName val="RevPVT excl. SCIO &amp; CV"/>
      <sheetName val="CV Pvt"/>
      <sheetName val="SCIO Rev Qtr4'22"/>
    </sheetNames>
    <sheetDataSet>
      <sheetData sheetId="0">
        <row r="7">
          <cell r="M7">
            <v>1213477</v>
          </cell>
        </row>
        <row r="10">
          <cell r="C10">
            <v>0.85915004044672627</v>
          </cell>
          <cell r="D10">
            <v>9.5104275923194911E-2</v>
          </cell>
          <cell r="E10">
            <v>4.5745683630078825E-2</v>
          </cell>
        </row>
      </sheetData>
      <sheetData sheetId="1" refreshError="1"/>
      <sheetData sheetId="2" refreshError="1"/>
      <sheetData sheetId="3" refreshError="1"/>
      <sheetData sheetId="4"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Sheet Q4'23"/>
      <sheetName val="Geowise Exl SCIO &amp; CV"/>
      <sheetName val="Rev PVT Q4'23"/>
      <sheetName val="address check"/>
      <sheetName val="RSOB Q4'23 Excl. SCIO &amp; CV"/>
      <sheetName val="SCIO"/>
      <sheetName val="CV Rev PVT"/>
    </sheetNames>
    <sheetDataSet>
      <sheetData sheetId="0">
        <row r="8">
          <cell r="I8">
            <v>1370706612.8699994</v>
          </cell>
        </row>
        <row r="10">
          <cell r="C10">
            <v>0.84003506026047547</v>
          </cell>
          <cell r="D10">
            <v>0.11092595693754125</v>
          </cell>
          <cell r="E10">
            <v>4.903898280198337E-2</v>
          </cell>
          <cell r="I10">
            <v>0.84057982258878183</v>
          </cell>
          <cell r="J10">
            <v>0.10883835725674143</v>
          </cell>
          <cell r="K10">
            <v>5.058182015447673E-2</v>
          </cell>
        </row>
      </sheetData>
      <sheetData sheetId="1"/>
      <sheetData sheetId="2"/>
      <sheetData sheetId="3"/>
      <sheetData sheetId="4"/>
      <sheetData sheetId="5"/>
      <sheetData sheetId="6"/>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Sheet Q1'24"/>
      <sheetName val="Geowise Exl Q1'24"/>
      <sheetName val="Rev PVT Q1'24"/>
      <sheetName val="address check"/>
      <sheetName val="RSOB Revenue Q1'24"/>
    </sheetNames>
    <sheetDataSet>
      <sheetData sheetId="0">
        <row r="8">
          <cell r="C8">
            <v>362305913.56999999</v>
          </cell>
        </row>
        <row r="10">
          <cell r="C10">
            <v>0.83001082194935982</v>
          </cell>
          <cell r="D10">
            <v>0.11546664829273695</v>
          </cell>
          <cell r="E10">
            <v>5.4522529757903282E-2</v>
          </cell>
        </row>
      </sheetData>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napshot- Checks"/>
      <sheetName val="Master Sheet"/>
      <sheetName val="Index"/>
      <sheetName val="Balance Sheets"/>
      <sheetName val="Statements of Income"/>
      <sheetName val="OCI Movement"/>
      <sheetName val="SCI"/>
      <sheetName val="SCI (Tax grossing)"/>
      <sheetName val="AOCI"/>
      <sheetName val="AOCI (Tax grossing)"/>
      <sheetName val="Shareholders Equity Q2'20 (9M)"/>
      <sheetName val="Shareholders Equity Q3'17"/>
      <sheetName val="Statements of Cash Flow"/>
      <sheetName val="Shareholders Equity 10Q"/>
      <sheetName val="Shareholders Equity Q2'20 (3M)"/>
      <sheetName val="3. Quarterly Financial Data"/>
      <sheetName val="Other income (expense), net"/>
      <sheetName val="Cash &amp; cash equivalent"/>
      <sheetName val="Investments"/>
      <sheetName val="CL,NCL,OCA &amp; OA"/>
      <sheetName val="Revenues,Net"/>
      <sheetName val="EPS"/>
      <sheetName val="MD&amp;A Section- Three months"/>
      <sheetName val="Segment Information "/>
      <sheetName val="Statement of opts data(Item 6)"/>
      <sheetName val="Geographical"/>
      <sheetName val="Reimb Revenue- Unbilled"/>
      <sheetName val="Data - 8K"/>
      <sheetName val="Pro forma (Bus. Com (1)"/>
      <sheetName val="Business Com (2)"/>
      <sheetName val="Business Com"/>
      <sheetName val="Goodwill (2)"/>
      <sheetName val="Goodwill"/>
      <sheetName val="Intangibles"/>
      <sheetName val="MD&amp;A Section- Three Months End"/>
      <sheetName val="MD&amp;A Section- Nine Months End"/>
      <sheetName val="Business Com (3)"/>
      <sheetName val="Goodwill &amp; Intangibles"/>
      <sheetName val="Emp Benefits"/>
      <sheetName val="Fair Value Measurements"/>
      <sheetName val="Derivatives 1"/>
      <sheetName val="Derivatives 3"/>
      <sheetName val="Derivatives 2 (b)"/>
      <sheetName val="Derivatives 1 "/>
      <sheetName val="Derivatives 2 (a)"/>
      <sheetName val="Derivatives 2 (b) "/>
      <sheetName val="Derivatives 3(c)"/>
      <sheetName val="FA"/>
      <sheetName val="Income Tax"/>
      <sheetName val="21. Stock Based Compensation"/>
      <sheetName val="Lease disclosure"/>
      <sheetName val="12. Leases"/>
      <sheetName val="Contractual Obligati &amp; Note 19 "/>
      <sheetName val="Contingencies"/>
      <sheetName val="Sheet1"/>
      <sheetName val="MD&amp;A"/>
      <sheetName val="MD&amp;A (9m)"/>
      <sheetName val="MD&amp;A (PY)"/>
      <sheetName val="Item 2"/>
      <sheetName val="18. Capital Structure"/>
      <sheetName val="Borrowings &amp; Credit Arrangement"/>
      <sheetName val="Commitment &amp; Contingencies"/>
      <sheetName val="MD&amp;A Section- Qtr End"/>
      <sheetName val="Liquidity &amp; CR"/>
      <sheetName val="Equity compensation plan Item 5"/>
      <sheetName val="Item 7A"/>
      <sheetName val="24. Impairment &amp; Restructuring"/>
      <sheetName val="High and Low"/>
    </sheetNames>
    <sheetDataSet>
      <sheetData sheetId="0"/>
      <sheetData sheetId="1"/>
      <sheetData sheetId="2"/>
      <sheetData sheetId="3">
        <row r="9">
          <cell r="C9">
            <v>108565</v>
          </cell>
        </row>
        <row r="10">
          <cell r="C10">
            <v>137585</v>
          </cell>
        </row>
        <row r="11">
          <cell r="C11">
            <v>4291</v>
          </cell>
        </row>
        <row r="12">
          <cell r="C12">
            <v>335523</v>
          </cell>
        </row>
        <row r="13">
          <cell r="C13">
            <v>78753</v>
          </cell>
        </row>
        <row r="15">
          <cell r="C15">
            <v>101622</v>
          </cell>
        </row>
        <row r="16">
          <cell r="C16">
            <v>66799</v>
          </cell>
        </row>
        <row r="17">
          <cell r="C17">
            <v>4376</v>
          </cell>
        </row>
        <row r="18">
          <cell r="C18">
            <v>91840</v>
          </cell>
        </row>
        <row r="19">
          <cell r="C19">
            <v>47080</v>
          </cell>
        </row>
        <row r="20">
          <cell r="C20">
            <v>405574</v>
          </cell>
        </row>
        <row r="21">
          <cell r="C21">
            <v>52979</v>
          </cell>
        </row>
        <row r="26">
          <cell r="C26">
            <v>3093</v>
          </cell>
        </row>
        <row r="27">
          <cell r="C27">
            <v>65000</v>
          </cell>
        </row>
        <row r="28">
          <cell r="C28">
            <v>16939</v>
          </cell>
        </row>
        <row r="29">
          <cell r="C29">
            <v>50970</v>
          </cell>
        </row>
        <row r="30">
          <cell r="C30">
            <v>107059</v>
          </cell>
        </row>
        <row r="31">
          <cell r="C31">
            <v>13486</v>
          </cell>
        </row>
        <row r="32">
          <cell r="C32">
            <v>4894</v>
          </cell>
        </row>
        <row r="35">
          <cell r="C35">
            <v>280000</v>
          </cell>
        </row>
        <row r="37">
          <cell r="C37">
            <v>1435</v>
          </cell>
        </row>
        <row r="38">
          <cell r="C38">
            <v>59876</v>
          </cell>
        </row>
        <row r="39">
          <cell r="C39">
            <v>33384</v>
          </cell>
        </row>
        <row r="44">
          <cell r="C44">
            <v>204</v>
          </cell>
        </row>
        <row r="45">
          <cell r="C45">
            <v>502827</v>
          </cell>
        </row>
        <row r="46">
          <cell r="C46">
            <v>1132426</v>
          </cell>
        </row>
        <row r="47">
          <cell r="C47">
            <v>-130436</v>
          </cell>
        </row>
        <row r="49">
          <cell r="C49">
            <v>-701766</v>
          </cell>
        </row>
      </sheetData>
      <sheetData sheetId="4">
        <row r="7">
          <cell r="J7">
            <v>436507</v>
          </cell>
        </row>
        <row r="8">
          <cell r="J8">
            <v>273424</v>
          </cell>
        </row>
        <row r="11">
          <cell r="J11">
            <v>53243</v>
          </cell>
        </row>
        <row r="12">
          <cell r="J12">
            <v>35970</v>
          </cell>
        </row>
        <row r="13">
          <cell r="J13">
            <v>12346</v>
          </cell>
        </row>
        <row r="17">
          <cell r="J17">
            <v>359</v>
          </cell>
        </row>
        <row r="18">
          <cell r="J18">
            <v>-3291</v>
          </cell>
        </row>
        <row r="19">
          <cell r="J19">
            <v>3952</v>
          </cell>
        </row>
        <row r="22">
          <cell r="J22">
            <v>13753</v>
          </cell>
        </row>
        <row r="24">
          <cell r="J24">
            <v>-28</v>
          </cell>
        </row>
      </sheetData>
      <sheetData sheetId="5"/>
      <sheetData sheetId="6"/>
      <sheetData sheetId="7">
        <row r="6">
          <cell r="J6">
            <v>-62</v>
          </cell>
        </row>
      </sheetData>
      <sheetData sheetId="8"/>
      <sheetData sheetId="9"/>
      <sheetData sheetId="10"/>
      <sheetData sheetId="11"/>
      <sheetData sheetId="12">
        <row r="7">
          <cell r="C7">
            <v>48763</v>
          </cell>
        </row>
        <row r="9">
          <cell r="C9">
            <v>12337</v>
          </cell>
        </row>
        <row r="10">
          <cell r="C10">
            <v>17852</v>
          </cell>
        </row>
        <row r="11">
          <cell r="C11">
            <v>4995</v>
          </cell>
        </row>
        <row r="12">
          <cell r="C12">
            <v>353</v>
          </cell>
        </row>
        <row r="13">
          <cell r="C13">
            <v>-274</v>
          </cell>
        </row>
        <row r="14">
          <cell r="C14">
            <v>-8680</v>
          </cell>
        </row>
        <row r="15">
          <cell r="C15">
            <v>-240</v>
          </cell>
        </row>
        <row r="17">
          <cell r="C17">
            <v>-589</v>
          </cell>
        </row>
        <row r="19">
          <cell r="C19">
            <v>0</v>
          </cell>
        </row>
        <row r="23">
          <cell r="C23">
            <v>-27578</v>
          </cell>
        </row>
        <row r="24">
          <cell r="C24">
            <v>-11394</v>
          </cell>
        </row>
        <row r="25">
          <cell r="C25">
            <v>11443</v>
          </cell>
        </row>
        <row r="26">
          <cell r="C26">
            <v>-3575</v>
          </cell>
        </row>
        <row r="27">
          <cell r="C27">
            <v>-1936</v>
          </cell>
        </row>
        <row r="28">
          <cell r="C28">
            <v>-11000</v>
          </cell>
        </row>
        <row r="29">
          <cell r="C29">
            <v>5829</v>
          </cell>
        </row>
        <row r="30">
          <cell r="C30">
            <v>-64246</v>
          </cell>
        </row>
        <row r="31">
          <cell r="C31">
            <v>10307</v>
          </cell>
        </row>
        <row r="32">
          <cell r="C32">
            <v>-4616</v>
          </cell>
        </row>
        <row r="35">
          <cell r="C35">
            <v>-11266</v>
          </cell>
        </row>
        <row r="36">
          <cell r="C36">
            <v>62</v>
          </cell>
        </row>
        <row r="40">
          <cell r="C40">
            <v>-64932</v>
          </cell>
        </row>
        <row r="41">
          <cell r="C41">
            <v>80825</v>
          </cell>
        </row>
        <row r="44">
          <cell r="C44">
            <v>-60</v>
          </cell>
        </row>
        <row r="45">
          <cell r="C45">
            <v>180000</v>
          </cell>
        </row>
        <row r="46">
          <cell r="C46">
            <v>-35000</v>
          </cell>
        </row>
        <row r="50">
          <cell r="C50">
            <v>-4000</v>
          </cell>
        </row>
        <row r="52">
          <cell r="C52">
            <v>-152227</v>
          </cell>
        </row>
        <row r="54">
          <cell r="C54">
            <v>1514</v>
          </cell>
        </row>
        <row r="56">
          <cell r="C56">
            <v>-1212</v>
          </cell>
        </row>
      </sheetData>
      <sheetData sheetId="13">
        <row r="12">
          <cell r="B12">
            <v>201671840</v>
          </cell>
        </row>
      </sheetData>
      <sheetData sheetId="14"/>
      <sheetData sheetId="15"/>
      <sheetData sheetId="16">
        <row r="4">
          <cell r="F4">
            <v>1016</v>
          </cell>
        </row>
      </sheetData>
      <sheetData sheetId="17"/>
      <sheetData sheetId="18"/>
      <sheetData sheetId="19"/>
      <sheetData sheetId="20">
        <row r="42">
          <cell r="C42">
            <v>7</v>
          </cell>
        </row>
      </sheetData>
      <sheetData sheetId="21"/>
      <sheetData sheetId="22"/>
      <sheetData sheetId="23">
        <row r="6">
          <cell r="B6">
            <v>145139</v>
          </cell>
          <cell r="C6">
            <v>26250</v>
          </cell>
          <cell r="D6">
            <v>74392</v>
          </cell>
          <cell r="E6">
            <v>190726</v>
          </cell>
        </row>
        <row r="8">
          <cell r="B8">
            <v>52847</v>
          </cell>
          <cell r="C8">
            <v>8933</v>
          </cell>
          <cell r="D8">
            <v>33413</v>
          </cell>
          <cell r="E8">
            <v>67890</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58">
          <cell r="B58">
            <v>3080</v>
          </cell>
        </row>
      </sheetData>
      <sheetData sheetId="38">
        <row r="7">
          <cell r="I7">
            <v>1108</v>
          </cell>
        </row>
      </sheetData>
      <sheetData sheetId="39">
        <row r="40">
          <cell r="B40">
            <v>-589</v>
          </cell>
        </row>
      </sheetData>
      <sheetData sheetId="40"/>
      <sheetData sheetId="41"/>
      <sheetData sheetId="42"/>
      <sheetData sheetId="43"/>
      <sheetData sheetId="44"/>
      <sheetData sheetId="45">
        <row r="6">
          <cell r="C6">
            <v>-62</v>
          </cell>
        </row>
      </sheetData>
      <sheetData sheetId="46">
        <row r="15">
          <cell r="B15">
            <v>-34</v>
          </cell>
        </row>
      </sheetData>
      <sheetData sheetId="47">
        <row r="20">
          <cell r="E20">
            <v>58</v>
          </cell>
        </row>
      </sheetData>
      <sheetData sheetId="48">
        <row r="103">
          <cell r="G103">
            <v>-292</v>
          </cell>
        </row>
      </sheetData>
      <sheetData sheetId="49">
        <row r="4">
          <cell r="B4">
            <v>3949</v>
          </cell>
        </row>
        <row r="7">
          <cell r="B7">
            <v>17852</v>
          </cell>
        </row>
      </sheetData>
      <sheetData sheetId="50">
        <row r="4">
          <cell r="C4">
            <v>66799</v>
          </cell>
        </row>
      </sheetData>
      <sheetData sheetId="51"/>
      <sheetData sheetId="52"/>
      <sheetData sheetId="53"/>
      <sheetData sheetId="54"/>
      <sheetData sheetId="55"/>
      <sheetData sheetId="56"/>
      <sheetData sheetId="57"/>
      <sheetData sheetId="58">
        <row r="7">
          <cell r="M7">
            <v>375000000</v>
          </cell>
        </row>
      </sheetData>
      <sheetData sheetId="59">
        <row r="4">
          <cell r="F4">
            <v>200402</v>
          </cell>
        </row>
      </sheetData>
      <sheetData sheetId="60"/>
      <sheetData sheetId="61"/>
      <sheetData sheetId="62"/>
      <sheetData sheetId="63"/>
      <sheetData sheetId="64"/>
      <sheetData sheetId="65"/>
      <sheetData sheetId="66"/>
      <sheetData sheetId="67"/>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Sheet Q2'24"/>
      <sheetName val="Geowise Exl Q2'24"/>
      <sheetName val="Rev PVT Q2'24"/>
      <sheetName val="RSOB Revenue Q2'24 &amp; YTD"/>
    </sheetNames>
    <sheetDataSet>
      <sheetData sheetId="0">
        <row r="8">
          <cell r="C8">
            <v>370749084.04000026</v>
          </cell>
        </row>
        <row r="10">
          <cell r="C10">
            <v>0.82689024038328585</v>
          </cell>
          <cell r="D10">
            <v>0.11813254007000418</v>
          </cell>
          <cell r="E10">
            <v>5.4977219546710046E-2</v>
          </cell>
        </row>
      </sheetData>
      <sheetData sheetId="1"/>
      <sheetData sheetId="2"/>
      <sheetData sheetId="3"/>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IIPL Interest"/>
      <sheetName val="SEZ Interest"/>
      <sheetName val="Inductis"/>
      <sheetName val="SEZ"/>
    </sheetNames>
    <sheetDataSet>
      <sheetData sheetId="0">
        <row r="9">
          <cell r="C9">
            <v>217377.59204736125</v>
          </cell>
        </row>
      </sheetData>
      <sheetData sheetId="1"/>
      <sheetData sheetId="2"/>
      <sheetData sheetId="3"/>
      <sheetData sheetId="4"/>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Paid under Protest"/>
      <sheetName val="Component wise demand"/>
      <sheetName val="SEZ Interest"/>
      <sheetName val="SEZ"/>
      <sheetName val="Sheet1"/>
    </sheetNames>
    <sheetDataSet>
      <sheetData sheetId="0">
        <row r="8">
          <cell r="C8">
            <v>169137.79198426357</v>
          </cell>
        </row>
      </sheetData>
      <sheetData sheetId="1"/>
      <sheetData sheetId="2"/>
      <sheetData sheetId="3"/>
      <sheetData sheetId="4"/>
      <sheetData sheetId="5"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gal Expenses"/>
      <sheetName val="Expected Claim"/>
    </sheetNames>
    <sheetDataSet>
      <sheetData sheetId="0">
        <row r="7">
          <cell r="D7">
            <v>194992.2</v>
          </cell>
        </row>
      </sheetData>
      <sheetData sheetId="1">
        <row r="5">
          <cell r="C5">
            <v>700475.9</v>
          </cell>
        </row>
      </sheetData>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Post stock split"/>
      <sheetName val="Adjusted EPS-Pre stock split"/>
      <sheetName val="Adjusted EPS Working without CV"/>
    </sheetNames>
    <sheetDataSet>
      <sheetData sheetId="0">
        <row r="6">
          <cell r="B6">
            <v>94588</v>
          </cell>
          <cell r="K6">
            <v>45825</v>
          </cell>
        </row>
        <row r="8">
          <cell r="B8">
            <v>35947</v>
          </cell>
          <cell r="K8">
            <v>18095</v>
          </cell>
        </row>
        <row r="9">
          <cell r="B9">
            <v>6158</v>
          </cell>
          <cell r="K9">
            <v>3078</v>
          </cell>
        </row>
        <row r="10">
          <cell r="K10">
            <v>0</v>
          </cell>
        </row>
        <row r="11">
          <cell r="K11">
            <v>0</v>
          </cell>
        </row>
        <row r="12">
          <cell r="K12">
            <v>0</v>
          </cell>
        </row>
        <row r="13">
          <cell r="K13">
            <v>1412</v>
          </cell>
        </row>
        <row r="14">
          <cell r="K14">
            <v>4762</v>
          </cell>
        </row>
        <row r="15">
          <cell r="K15">
            <v>-18</v>
          </cell>
        </row>
        <row r="16">
          <cell r="K16">
            <v>-4655</v>
          </cell>
        </row>
        <row r="17">
          <cell r="K17">
            <v>-765</v>
          </cell>
        </row>
        <row r="18">
          <cell r="K18">
            <v>0</v>
          </cell>
        </row>
        <row r="19">
          <cell r="K19">
            <v>-363</v>
          </cell>
        </row>
        <row r="20">
          <cell r="K20">
            <v>0</v>
          </cell>
        </row>
        <row r="22">
          <cell r="K22">
            <v>54</v>
          </cell>
        </row>
        <row r="25">
          <cell r="K25">
            <v>0</v>
          </cell>
        </row>
        <row r="26">
          <cell r="K26">
            <v>-1225</v>
          </cell>
        </row>
        <row r="27">
          <cell r="K27">
            <v>66200</v>
          </cell>
        </row>
        <row r="28">
          <cell r="K28">
            <v>0.40375208889864722</v>
          </cell>
        </row>
      </sheetData>
      <sheetData sheetId="1" refreshError="1"/>
      <sheetData sheetId="2"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ump"/>
    </sheetNames>
    <sheetDataSet>
      <sheetData sheetId="0">
        <row r="44">
          <cell r="G44">
            <v>855125.81</v>
          </cell>
        </row>
        <row r="46">
          <cell r="G46">
            <v>855125.81</v>
          </cell>
        </row>
      </sheetData>
      <sheetData sheetId="1"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 Working"/>
      <sheetName val="Acquisition Cost Q'3-18"/>
      <sheetName val="Acquisition Cost Oct-Nov'18"/>
      <sheetName val="Sheet1"/>
      <sheetName val="Acquisition Cost Nov-Dec'18"/>
    </sheetNames>
    <sheetDataSet>
      <sheetData sheetId="0">
        <row r="9">
          <cell r="B9">
            <v>-5853</v>
          </cell>
        </row>
        <row r="10">
          <cell r="B10">
            <v>-4351</v>
          </cell>
        </row>
        <row r="11">
          <cell r="B11">
            <v>176</v>
          </cell>
        </row>
        <row r="13">
          <cell r="B13">
            <v>-7228</v>
          </cell>
        </row>
        <row r="14">
          <cell r="B14">
            <v>980</v>
          </cell>
        </row>
        <row r="15">
          <cell r="B15">
            <v>2295</v>
          </cell>
        </row>
        <row r="16">
          <cell r="B16">
            <v>-329</v>
          </cell>
        </row>
        <row r="17">
          <cell r="B17">
            <v>600</v>
          </cell>
        </row>
        <row r="18">
          <cell r="B18">
            <v>20056</v>
          </cell>
        </row>
        <row r="19">
          <cell r="B19">
            <v>-1250</v>
          </cell>
        </row>
        <row r="20">
          <cell r="B20">
            <v>314</v>
          </cell>
        </row>
        <row r="21">
          <cell r="B21">
            <v>-3072</v>
          </cell>
        </row>
        <row r="22">
          <cell r="B22">
            <v>-150</v>
          </cell>
        </row>
        <row r="23">
          <cell r="B23">
            <v>-7986</v>
          </cell>
        </row>
      </sheetData>
      <sheetData sheetId="1"/>
      <sheetData sheetId="2"/>
      <sheetData sheetId="3"/>
      <sheetData sheetId="4"/>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 Working"/>
      <sheetName val="Adjusted EPS Working without CV"/>
    </sheetNames>
    <sheetDataSet>
      <sheetData sheetId="0">
        <row r="6">
          <cell r="B6">
            <v>114758</v>
          </cell>
        </row>
        <row r="10">
          <cell r="B10">
            <v>-9508</v>
          </cell>
        </row>
        <row r="11">
          <cell r="B11">
            <v>-2993</v>
          </cell>
        </row>
        <row r="12">
          <cell r="B12">
            <v>-3651</v>
          </cell>
        </row>
        <row r="13">
          <cell r="B13">
            <v>3624</v>
          </cell>
        </row>
        <row r="14">
          <cell r="B14">
            <v>1795</v>
          </cell>
        </row>
        <row r="15">
          <cell r="B15">
            <v>-442</v>
          </cell>
        </row>
        <row r="17">
          <cell r="B17">
            <v>-3191</v>
          </cell>
          <cell r="G17">
            <v>-3082.8031856924126</v>
          </cell>
        </row>
        <row r="18">
          <cell r="B18">
            <v>1001</v>
          </cell>
          <cell r="G18">
            <v>-2411.0569999999998</v>
          </cell>
        </row>
        <row r="19">
          <cell r="B19">
            <v>761</v>
          </cell>
        </row>
        <row r="20">
          <cell r="B20">
            <v>551</v>
          </cell>
        </row>
        <row r="22">
          <cell r="B22">
            <v>-136</v>
          </cell>
        </row>
        <row r="23">
          <cell r="B23">
            <v>-1244</v>
          </cell>
        </row>
      </sheetData>
      <sheetData sheetId="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 Working"/>
      <sheetName val="Adjusted EPS Working without CV"/>
    </sheetNames>
    <sheetDataSet>
      <sheetData sheetId="0">
        <row r="6">
          <cell r="O6">
            <v>36178</v>
          </cell>
        </row>
        <row r="10">
          <cell r="O10">
            <v>133.56</v>
          </cell>
        </row>
        <row r="14">
          <cell r="O14">
            <v>-3610</v>
          </cell>
        </row>
        <row r="15">
          <cell r="O15">
            <v>-2695</v>
          </cell>
        </row>
        <row r="16">
          <cell r="O16">
            <v>-1052</v>
          </cell>
        </row>
        <row r="17">
          <cell r="O17">
            <v>3499</v>
          </cell>
        </row>
      </sheetData>
      <sheetData sheetId="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ed EPS Working"/>
      <sheetName val="Adjusted EPS Working without CV"/>
    </sheetNames>
    <sheetDataSet>
      <sheetData sheetId="0">
        <row r="6">
          <cell r="B6">
            <v>72024</v>
          </cell>
        </row>
        <row r="10">
          <cell r="K10">
            <v>0</v>
          </cell>
        </row>
        <row r="11">
          <cell r="K11">
            <v>1000</v>
          </cell>
        </row>
        <row r="12">
          <cell r="K12">
            <v>580.08620292221826</v>
          </cell>
        </row>
        <row r="14">
          <cell r="K14">
            <v>-14.418215917559998</v>
          </cell>
        </row>
        <row r="15">
          <cell r="K15">
            <v>-3202</v>
          </cell>
        </row>
        <row r="16">
          <cell r="K16">
            <v>-970.64087999999992</v>
          </cell>
        </row>
        <row r="17">
          <cell r="K17">
            <v>0</v>
          </cell>
        </row>
        <row r="18">
          <cell r="K18">
            <v>-92.070346733397159</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6"/>
  <sheetViews>
    <sheetView showGridLines="0" tabSelected="1" zoomScale="80" zoomScaleNormal="80" workbookViewId="0">
      <selection activeCell="A4" sqref="A4"/>
    </sheetView>
  </sheetViews>
  <sheetFormatPr baseColWidth="10" defaultColWidth="9.1640625" defaultRowHeight="13" x14ac:dyDescent="0.15"/>
  <cols>
    <col min="1" max="1" width="9.1640625" style="5"/>
    <col min="2" max="2" width="36.5" style="5" customWidth="1"/>
    <col min="3" max="16384" width="9.1640625" style="5"/>
  </cols>
  <sheetData>
    <row r="1" spans="1:10" s="2" customFormat="1" x14ac:dyDescent="0.15"/>
    <row r="2" spans="1:10" ht="34.5" customHeight="1" x14ac:dyDescent="0.15"/>
    <row r="4" spans="1:10" ht="16" x14ac:dyDescent="0.2">
      <c r="A4" s="69">
        <v>1</v>
      </c>
      <c r="B4" s="108" t="s">
        <v>11</v>
      </c>
    </row>
    <row r="5" spans="1:10" ht="16" x14ac:dyDescent="0.2">
      <c r="A5" s="69">
        <v>2</v>
      </c>
      <c r="B5" s="108" t="s">
        <v>12</v>
      </c>
    </row>
    <row r="6" spans="1:10" ht="16" x14ac:dyDescent="0.2">
      <c r="A6" s="69">
        <v>3</v>
      </c>
      <c r="B6" s="108" t="s">
        <v>39</v>
      </c>
    </row>
    <row r="7" spans="1:10" ht="16" x14ac:dyDescent="0.2">
      <c r="A7" s="69">
        <v>4</v>
      </c>
      <c r="B7" s="108" t="s">
        <v>113</v>
      </c>
    </row>
    <row r="8" spans="1:10" ht="16" x14ac:dyDescent="0.2">
      <c r="A8" s="69">
        <v>5</v>
      </c>
      <c r="B8" s="274" t="s">
        <v>226</v>
      </c>
    </row>
    <row r="9" spans="1:10" ht="16" x14ac:dyDescent="0.2">
      <c r="A9" s="69">
        <v>6</v>
      </c>
      <c r="B9" s="108" t="s">
        <v>42</v>
      </c>
      <c r="C9" s="31"/>
      <c r="D9" s="31"/>
      <c r="E9" s="31"/>
      <c r="F9" s="31"/>
      <c r="G9" s="31"/>
      <c r="H9" s="31"/>
      <c r="I9" s="31"/>
      <c r="J9" s="31"/>
    </row>
    <row r="10" spans="1:10" x14ac:dyDescent="0.15">
      <c r="A10" s="31"/>
      <c r="B10" s="32"/>
      <c r="C10" s="31"/>
      <c r="D10" s="31"/>
      <c r="E10" s="31"/>
      <c r="F10" s="31"/>
      <c r="G10" s="31"/>
      <c r="H10" s="31"/>
      <c r="I10" s="31"/>
      <c r="J10" s="31"/>
    </row>
    <row r="11" spans="1:10" x14ac:dyDescent="0.15">
      <c r="A11" s="31"/>
      <c r="B11" s="32"/>
      <c r="C11" s="31"/>
      <c r="D11" s="31"/>
      <c r="E11" s="31"/>
      <c r="F11" s="31"/>
      <c r="G11" s="31"/>
      <c r="H11" s="31"/>
      <c r="I11" s="31"/>
      <c r="J11" s="31"/>
    </row>
    <row r="12" spans="1:10" x14ac:dyDescent="0.15">
      <c r="A12" s="31"/>
      <c r="B12" s="32"/>
      <c r="C12" s="31"/>
      <c r="D12" s="31"/>
      <c r="E12" s="31"/>
      <c r="F12" s="31"/>
      <c r="G12" s="31"/>
      <c r="H12" s="31"/>
      <c r="I12" s="31"/>
      <c r="J12" s="31"/>
    </row>
    <row r="13" spans="1:10" x14ac:dyDescent="0.15">
      <c r="A13" s="31"/>
      <c r="B13" s="32"/>
      <c r="C13" s="31"/>
      <c r="D13" s="31"/>
      <c r="E13" s="31"/>
      <c r="F13" s="31"/>
      <c r="G13" s="31"/>
      <c r="H13" s="31"/>
      <c r="I13" s="31"/>
      <c r="J13" s="31"/>
    </row>
    <row r="14" spans="1:10" x14ac:dyDescent="0.15">
      <c r="A14" s="31"/>
      <c r="B14" s="31"/>
      <c r="C14" s="31"/>
      <c r="D14" s="31"/>
      <c r="E14" s="31"/>
      <c r="F14" s="31"/>
      <c r="G14" s="31"/>
      <c r="H14" s="31"/>
      <c r="I14" s="31"/>
      <c r="J14" s="31"/>
    </row>
    <row r="15" spans="1:10" x14ac:dyDescent="0.15">
      <c r="A15" s="31"/>
      <c r="B15" s="31"/>
      <c r="C15" s="31"/>
      <c r="D15" s="31"/>
      <c r="E15" s="31"/>
      <c r="F15" s="31"/>
      <c r="G15" s="31"/>
      <c r="H15" s="31"/>
      <c r="I15" s="31"/>
      <c r="J15" s="31"/>
    </row>
    <row r="16" spans="1:10" x14ac:dyDescent="0.15">
      <c r="A16" s="31"/>
      <c r="B16" s="31"/>
      <c r="C16" s="31"/>
      <c r="D16" s="31"/>
      <c r="E16" s="31"/>
      <c r="F16" s="31"/>
      <c r="G16" s="31"/>
      <c r="H16" s="31"/>
      <c r="I16" s="31"/>
      <c r="J16" s="31"/>
    </row>
  </sheetData>
  <hyperlinks>
    <hyperlink ref="B4" location="'Income Statement'!A1" display="Income Statement" xr:uid="{00000000-0004-0000-0000-000000000000}"/>
    <hyperlink ref="B5" location="'Balance Sheet'!A1" display="Balance Sheet" xr:uid="{00000000-0004-0000-0000-000001000000}"/>
    <hyperlink ref="B6" location="Cashflow!A1" display="Cashflow Statement" xr:uid="{00000000-0004-0000-0000-000002000000}"/>
    <hyperlink ref="B9" location="'Other Metrics'!A1" display="Other metrics" xr:uid="{00000000-0004-0000-0000-000003000000}"/>
    <hyperlink ref="B7" location="'Revenues and Margins'!A1" display="Revenues and Margins" xr:uid="{00000000-0004-0000-0000-000004000000}"/>
    <hyperlink ref="B8" location="'Non-GAAP'!A1" display="Non-GAAP" xr:uid="{93297CB1-A8B1-467B-BCDC-E009AF99227C}"/>
  </hyperlinks>
  <pageMargins left="0.7" right="0.7" top="0.75" bottom="0.75" header="0.3" footer="0.3"/>
  <pageSetup paperSize="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3A709-D052-42CF-A377-1FE16C865CF9}">
  <sheetPr>
    <tabColor rgb="FF92D050"/>
    <pageSetUpPr fitToPage="1"/>
  </sheetPr>
  <dimension ref="A1:BG66"/>
  <sheetViews>
    <sheetView showGridLines="0" view="pageBreakPreview" zoomScale="90" zoomScaleNormal="90" zoomScaleSheetLayoutView="90" workbookViewId="0">
      <pane xSplit="1" ySplit="8" topLeftCell="AA9" activePane="bottomRight" state="frozen"/>
      <selection activeCell="AE38" sqref="AE38"/>
      <selection pane="topRight" activeCell="AE38" sqref="AE38"/>
      <selection pane="bottomLeft" activeCell="AE38" sqref="AE38"/>
      <selection pane="bottomRight" activeCell="AG4" sqref="AG4"/>
    </sheetView>
  </sheetViews>
  <sheetFormatPr baseColWidth="10" defaultColWidth="9.1640625" defaultRowHeight="13" outlineLevelRow="1" outlineLevelCol="1" x14ac:dyDescent="0.15"/>
  <cols>
    <col min="1" max="1" width="79.5" style="21" customWidth="1"/>
    <col min="2" max="5" width="12.1640625" style="21" hidden="1" customWidth="1" outlineLevel="1"/>
    <col min="6" max="6" width="12.1640625" style="21" customWidth="1" collapsed="1"/>
    <col min="7" max="10" width="12.1640625" style="21" hidden="1" customWidth="1" outlineLevel="1"/>
    <col min="11" max="11" width="12.1640625" style="21" customWidth="1" collapsed="1"/>
    <col min="12" max="15" width="12.1640625" style="21" hidden="1" customWidth="1" outlineLevel="1"/>
    <col min="16" max="16" width="12.1640625" style="21" customWidth="1" collapsed="1"/>
    <col min="17" max="20" width="12.1640625" style="21" hidden="1" customWidth="1" outlineLevel="1"/>
    <col min="21" max="21" width="12.1640625" style="21" customWidth="1" collapsed="1"/>
    <col min="22" max="25" width="12.1640625" style="21" hidden="1" customWidth="1" outlineLevel="1"/>
    <col min="26" max="26" width="12.1640625" style="21" customWidth="1" collapsed="1"/>
    <col min="27" max="30" width="12.1640625" style="21" customWidth="1" outlineLevel="1"/>
    <col min="31" max="33" width="12.1640625" style="21" customWidth="1"/>
    <col min="34" max="34" width="10.5" style="222" hidden="1" customWidth="1" outlineLevel="1"/>
    <col min="35" max="35" width="9.1640625" style="21" customWidth="1" collapsed="1"/>
    <col min="36" max="36" width="9.1640625" style="21" customWidth="1"/>
    <col min="37" max="16384" width="9.1640625" style="21"/>
  </cols>
  <sheetData>
    <row r="1" spans="1:59" ht="16" x14ac:dyDescent="0.2">
      <c r="R1" s="203"/>
      <c r="S1" s="203"/>
      <c r="T1" s="203"/>
      <c r="Y1" s="203"/>
      <c r="AI1" s="226" t="s">
        <v>184</v>
      </c>
    </row>
    <row r="2" spans="1:59" ht="30.75" customHeight="1" x14ac:dyDescent="0.15">
      <c r="A2" s="82"/>
      <c r="U2" s="198"/>
      <c r="V2" s="198"/>
      <c r="W2" s="198"/>
      <c r="X2" s="198"/>
      <c r="Y2" s="198"/>
      <c r="Z2" s="198"/>
      <c r="AA2" s="198"/>
      <c r="AB2" s="198"/>
      <c r="AC2" s="198"/>
      <c r="AD2" s="198"/>
      <c r="AE2" s="198"/>
      <c r="AF2" s="198"/>
      <c r="AG2" s="198"/>
    </row>
    <row r="3" spans="1:59" ht="15" customHeight="1" x14ac:dyDescent="0.15">
      <c r="AH3" s="285" t="s">
        <v>170</v>
      </c>
    </row>
    <row r="4" spans="1:59" s="4" customFormat="1" x14ac:dyDescent="0.15">
      <c r="A4" s="22" t="s">
        <v>11</v>
      </c>
      <c r="B4" s="4">
        <v>2018</v>
      </c>
      <c r="C4" s="4">
        <v>2018</v>
      </c>
      <c r="D4" s="4">
        <v>2018</v>
      </c>
      <c r="E4" s="4">
        <v>2018</v>
      </c>
      <c r="F4" s="4">
        <v>2018</v>
      </c>
      <c r="G4" s="4">
        <v>2019</v>
      </c>
      <c r="H4" s="4">
        <v>2019</v>
      </c>
      <c r="I4" s="4">
        <v>2019</v>
      </c>
      <c r="J4" s="4">
        <v>2019</v>
      </c>
      <c r="K4" s="4">
        <v>2019</v>
      </c>
      <c r="L4" s="4">
        <v>2020</v>
      </c>
      <c r="M4" s="4">
        <v>2020</v>
      </c>
      <c r="N4" s="4">
        <v>2020</v>
      </c>
      <c r="O4" s="4">
        <v>2020</v>
      </c>
      <c r="P4" s="4">
        <v>2020</v>
      </c>
      <c r="Q4" s="4">
        <v>2021</v>
      </c>
      <c r="R4" s="4">
        <v>2021</v>
      </c>
      <c r="S4" s="4">
        <v>2021</v>
      </c>
      <c r="T4" s="4">
        <v>2021</v>
      </c>
      <c r="U4" s="4">
        <v>2021</v>
      </c>
      <c r="V4" s="4">
        <v>2022</v>
      </c>
      <c r="W4" s="4">
        <v>2022</v>
      </c>
      <c r="X4" s="4">
        <v>2022</v>
      </c>
      <c r="Y4" s="4">
        <v>2022</v>
      </c>
      <c r="Z4" s="4">
        <v>2022</v>
      </c>
      <c r="AA4" s="4">
        <v>2023</v>
      </c>
      <c r="AB4" s="4">
        <v>2023</v>
      </c>
      <c r="AC4" s="4">
        <v>2023</v>
      </c>
      <c r="AD4" s="4">
        <v>2023</v>
      </c>
      <c r="AE4" s="4">
        <v>2023</v>
      </c>
      <c r="AF4" s="4">
        <v>2024</v>
      </c>
      <c r="AG4" s="4">
        <v>2024</v>
      </c>
      <c r="AH4" s="285"/>
    </row>
    <row r="5" spans="1:59" s="4" customFormat="1" ht="15" customHeight="1" x14ac:dyDescent="0.15">
      <c r="A5" s="22" t="s">
        <v>171</v>
      </c>
      <c r="B5" s="4" t="s">
        <v>6</v>
      </c>
      <c r="C5" s="4" t="s">
        <v>7</v>
      </c>
      <c r="D5" s="4" t="s">
        <v>8</v>
      </c>
      <c r="E5" s="4" t="s">
        <v>9</v>
      </c>
      <c r="F5" s="4" t="s">
        <v>10</v>
      </c>
      <c r="G5" s="4" t="s">
        <v>6</v>
      </c>
      <c r="H5" s="4" t="s">
        <v>7</v>
      </c>
      <c r="I5" s="4" t="s">
        <v>8</v>
      </c>
      <c r="J5" s="4" t="s">
        <v>9</v>
      </c>
      <c r="K5" s="4" t="s">
        <v>10</v>
      </c>
      <c r="L5" s="4" t="s">
        <v>6</v>
      </c>
      <c r="M5" s="4" t="s">
        <v>7</v>
      </c>
      <c r="N5" s="4" t="s">
        <v>8</v>
      </c>
      <c r="O5" s="4" t="s">
        <v>9</v>
      </c>
      <c r="P5" s="4" t="s">
        <v>10</v>
      </c>
      <c r="Q5" s="4" t="s">
        <v>6</v>
      </c>
      <c r="R5" s="4" t="s">
        <v>7</v>
      </c>
      <c r="S5" s="4" t="s">
        <v>8</v>
      </c>
      <c r="T5" s="4" t="s">
        <v>9</v>
      </c>
      <c r="U5" s="4" t="s">
        <v>10</v>
      </c>
      <c r="V5" s="4" t="s">
        <v>6</v>
      </c>
      <c r="W5" s="4" t="s">
        <v>7</v>
      </c>
      <c r="X5" s="4" t="s">
        <v>8</v>
      </c>
      <c r="Y5" s="4" t="s">
        <v>9</v>
      </c>
      <c r="Z5" s="4" t="s">
        <v>10</v>
      </c>
      <c r="AA5" s="4" t="s">
        <v>6</v>
      </c>
      <c r="AB5" s="4" t="s">
        <v>7</v>
      </c>
      <c r="AC5" s="4" t="s">
        <v>8</v>
      </c>
      <c r="AD5" s="4" t="s">
        <v>9</v>
      </c>
      <c r="AE5" s="4" t="s">
        <v>10</v>
      </c>
      <c r="AF5" s="4" t="s">
        <v>6</v>
      </c>
      <c r="AG5" s="4" t="s">
        <v>7</v>
      </c>
      <c r="AH5" s="285"/>
      <c r="AI5" s="222"/>
      <c r="AJ5" s="222"/>
    </row>
    <row r="6" spans="1:59" ht="6" customHeight="1" x14ac:dyDescent="0.15">
      <c r="AH6" s="285"/>
      <c r="AI6" s="222"/>
      <c r="AJ6" s="222"/>
    </row>
    <row r="7" spans="1:59" ht="6" customHeight="1" x14ac:dyDescent="0.15">
      <c r="AI7" s="222"/>
      <c r="AJ7" s="222"/>
    </row>
    <row r="8" spans="1:59" s="10" customFormat="1" x14ac:dyDescent="0.15">
      <c r="A8" s="45" t="s">
        <v>189</v>
      </c>
      <c r="B8" s="33">
        <v>206973</v>
      </c>
      <c r="C8" s="33">
        <v>210112</v>
      </c>
      <c r="D8" s="33">
        <v>231124</v>
      </c>
      <c r="E8" s="33">
        <f>+F8-SUM(B8:D8)</f>
        <v>234903</v>
      </c>
      <c r="F8" s="33">
        <v>883112</v>
      </c>
      <c r="G8" s="33">
        <v>239573</v>
      </c>
      <c r="H8" s="33">
        <v>243509</v>
      </c>
      <c r="I8" s="33">
        <v>251392</v>
      </c>
      <c r="J8" s="33">
        <f>+K8-SUM(G8:I8)</f>
        <v>256872</v>
      </c>
      <c r="K8" s="33">
        <f>'[1]Statements of Income'!$J$7</f>
        <v>991346</v>
      </c>
      <c r="L8" s="33">
        <v>245990</v>
      </c>
      <c r="M8" s="33">
        <v>222473</v>
      </c>
      <c r="N8" s="33">
        <v>241018</v>
      </c>
      <c r="O8" s="33">
        <f>+P8-SUM(L8:N8)</f>
        <v>248953</v>
      </c>
      <c r="P8" s="33">
        <f>'[2]Statements of Income'!$J$7</f>
        <v>958434</v>
      </c>
      <c r="Q8" s="33">
        <v>261415</v>
      </c>
      <c r="R8" s="33">
        <v>275064</v>
      </c>
      <c r="S8" s="33">
        <v>290325</v>
      </c>
      <c r="T8" s="33">
        <f>+U8-SUM(Q8:S8)</f>
        <v>295489</v>
      </c>
      <c r="U8" s="33">
        <f>'[3]Statements of Income'!$J$7</f>
        <v>1122293</v>
      </c>
      <c r="V8" s="33">
        <v>329208</v>
      </c>
      <c r="W8" s="33">
        <v>346782</v>
      </c>
      <c r="X8" s="33">
        <v>361351</v>
      </c>
      <c r="Y8" s="33">
        <f>+Z8-SUM(V8:X8)</f>
        <v>374703</v>
      </c>
      <c r="Z8" s="33">
        <f>'[4]Statements of Income'!$J$7</f>
        <v>1412044</v>
      </c>
      <c r="AA8" s="33">
        <f>'[5]Statements of Income'!$J$7</f>
        <v>400643</v>
      </c>
      <c r="AB8" s="33">
        <f>'[6]Statements of Income'!$F$7</f>
        <v>404996</v>
      </c>
      <c r="AC8" s="33">
        <f>'[7]Statements of Income'!$F$7</f>
        <v>410971</v>
      </c>
      <c r="AD8" s="33">
        <f>+AE8-SUM(AA8:AC8)</f>
        <v>414058</v>
      </c>
      <c r="AE8" s="33">
        <f>'[8]Statements of Income'!$J$7</f>
        <v>1630668</v>
      </c>
      <c r="AF8" s="33">
        <f>'[9]Statements of Income'!$J$7</f>
        <v>436507</v>
      </c>
      <c r="AG8" s="33">
        <f>'[10]Statements of Income'!$F$7</f>
        <v>448366</v>
      </c>
      <c r="AH8" s="275">
        <f>SUM('[11]Income Statement'!B8:AF8)-SUM(B8:AF8)</f>
        <v>0</v>
      </c>
      <c r="AI8" s="228"/>
      <c r="AJ8" s="228"/>
    </row>
    <row r="9" spans="1:59" s="10" customFormat="1" x14ac:dyDescent="0.15">
      <c r="A9" s="46" t="s">
        <v>84</v>
      </c>
      <c r="B9" s="29">
        <v>4.5978521794061811E-2</v>
      </c>
      <c r="C9" s="29">
        <f>C8/B8-1</f>
        <v>1.5166229411565757E-2</v>
      </c>
      <c r="D9" s="29">
        <f>D8/C8-1</f>
        <v>0.10000380749314641</v>
      </c>
      <c r="E9" s="29">
        <f>E8/D8-1</f>
        <v>1.6350530451186396E-2</v>
      </c>
      <c r="F9" s="29" t="s">
        <v>53</v>
      </c>
      <c r="G9" s="106">
        <f>G8/E8-1</f>
        <v>1.9880546438317159E-2</v>
      </c>
      <c r="H9" s="106">
        <f>H8/G8-1</f>
        <v>1.642923033897814E-2</v>
      </c>
      <c r="I9" s="106">
        <f>I8/H8-1</f>
        <v>3.2372520112192937E-2</v>
      </c>
      <c r="J9" s="106">
        <f>J8/I8-1</f>
        <v>2.1798625254582538E-2</v>
      </c>
      <c r="K9" s="29" t="s">
        <v>53</v>
      </c>
      <c r="L9" s="106">
        <f>L8/J8-1</f>
        <v>-4.2363511787972263E-2</v>
      </c>
      <c r="M9" s="106">
        <f>M8/L8-1</f>
        <v>-9.5601447213301327E-2</v>
      </c>
      <c r="N9" s="106">
        <f>N8/M8-1</f>
        <v>8.3358430011731821E-2</v>
      </c>
      <c r="O9" s="106">
        <f>O8/N8-1</f>
        <v>3.2922852235102829E-2</v>
      </c>
      <c r="P9" s="194" t="s">
        <v>53</v>
      </c>
      <c r="Q9" s="106">
        <f>Q8/O8-1</f>
        <v>5.0057641402192488E-2</v>
      </c>
      <c r="R9" s="106">
        <f>R8/Q8-1</f>
        <v>5.2212000076506726E-2</v>
      </c>
      <c r="S9" s="106">
        <f>S8/R8-1</f>
        <v>5.5481633365325855E-2</v>
      </c>
      <c r="T9" s="106">
        <f>T8/S8-1</f>
        <v>1.7786962886420454E-2</v>
      </c>
      <c r="U9" s="194" t="s">
        <v>53</v>
      </c>
      <c r="V9" s="106">
        <f>V8/T8-1</f>
        <v>0.11411253887623563</v>
      </c>
      <c r="W9" s="106">
        <f>W8/V8-1</f>
        <v>5.3382663847780121E-2</v>
      </c>
      <c r="X9" s="106">
        <f>X8/W8-1</f>
        <v>4.2011984474396025E-2</v>
      </c>
      <c r="Y9" s="106">
        <f>Y8/X8-1</f>
        <v>3.6950222913455288E-2</v>
      </c>
      <c r="Z9" s="194" t="s">
        <v>53</v>
      </c>
      <c r="AA9" s="106">
        <f>AA8/Y8-1</f>
        <v>6.9228162037667129E-2</v>
      </c>
      <c r="AB9" s="106">
        <f>AB8/AA8-1</f>
        <v>1.0865034457110179E-2</v>
      </c>
      <c r="AC9" s="106">
        <f>AC8/AB8-1</f>
        <v>1.4753232130687799E-2</v>
      </c>
      <c r="AD9" s="106">
        <f>AD8/AC8-1</f>
        <v>7.511478912137326E-3</v>
      </c>
      <c r="AE9" s="194" t="s">
        <v>53</v>
      </c>
      <c r="AF9" s="106">
        <f>AF8/AD8-1</f>
        <v>5.4217042056909914E-2</v>
      </c>
      <c r="AG9" s="106">
        <f>AG8/AF8-1</f>
        <v>2.7167949196690966E-2</v>
      </c>
      <c r="AH9" s="229">
        <f>SUM('[11]Income Statement'!B9:AF9)-SUM(B9:AF9)</f>
        <v>0</v>
      </c>
    </row>
    <row r="10" spans="1:59" s="10" customFormat="1" x14ac:dyDescent="0.15">
      <c r="A10" s="46" t="s">
        <v>85</v>
      </c>
      <c r="B10" s="28">
        <v>0.13079608595171366</v>
      </c>
      <c r="C10" s="28">
        <v>0.11136852906795314</v>
      </c>
      <c r="D10" s="28">
        <v>0.20161168733265744</v>
      </c>
      <c r="E10" s="28">
        <v>0.18712823752368912</v>
      </c>
      <c r="F10" s="28">
        <v>0.15846833965184759</v>
      </c>
      <c r="G10" s="28">
        <f t="shared" ref="G10:M10" si="0">G8/B8-1</f>
        <v>0.15750846728800383</v>
      </c>
      <c r="H10" s="28">
        <f t="shared" si="0"/>
        <v>0.15894856076759067</v>
      </c>
      <c r="I10" s="28">
        <f t="shared" si="0"/>
        <v>8.7693186341530893E-2</v>
      </c>
      <c r="J10" s="28">
        <f t="shared" si="0"/>
        <v>9.3523709786592857E-2</v>
      </c>
      <c r="K10" s="28">
        <f t="shared" si="0"/>
        <v>0.12255976591870565</v>
      </c>
      <c r="L10" s="28">
        <f t="shared" si="0"/>
        <v>2.6785155255391935E-2</v>
      </c>
      <c r="M10" s="28">
        <f t="shared" si="0"/>
        <v>-8.6386950790319883E-2</v>
      </c>
      <c r="N10" s="28">
        <f>N8/I8-1</f>
        <v>-4.1266229633401208E-2</v>
      </c>
      <c r="O10" s="28">
        <f>O8/J8-1</f>
        <v>-3.082858388613785E-2</v>
      </c>
      <c r="P10" s="28">
        <f>P8/K8-1</f>
        <v>-3.3199306801056316E-2</v>
      </c>
      <c r="Q10" s="28">
        <f t="shared" ref="Q10:S10" si="1">Q8/L8-1</f>
        <v>6.2705801048823062E-2</v>
      </c>
      <c r="R10" s="28">
        <f t="shared" si="1"/>
        <v>0.23639273080328849</v>
      </c>
      <c r="S10" s="28">
        <f t="shared" si="1"/>
        <v>0.20457808130513078</v>
      </c>
      <c r="T10" s="28">
        <f>T8/O8-1</f>
        <v>0.18692684964631878</v>
      </c>
      <c r="U10" s="28">
        <f>U8/P8-1</f>
        <v>0.17096534555326715</v>
      </c>
      <c r="V10" s="28">
        <f t="shared" ref="V10:W10" si="2">V8/Q8-1</f>
        <v>0.25933094887439512</v>
      </c>
      <c r="W10" s="28">
        <f t="shared" si="2"/>
        <v>0.26073204781432691</v>
      </c>
      <c r="X10" s="28">
        <f>X8/S8-1</f>
        <v>0.24464307241884087</v>
      </c>
      <c r="Y10" s="28">
        <f>Y8/T8-1</f>
        <v>0.26807766109736741</v>
      </c>
      <c r="Z10" s="28">
        <f>Z8/U8-1</f>
        <v>0.25817767730886665</v>
      </c>
      <c r="AA10" s="28">
        <f>AA8/V8-1</f>
        <v>0.21699047410755501</v>
      </c>
      <c r="AB10" s="28">
        <f t="shared" ref="AB10:AC10" si="3">AB8/W8-1</f>
        <v>0.16786915122468882</v>
      </c>
      <c r="AC10" s="28">
        <f t="shared" si="3"/>
        <v>0.13731800935932093</v>
      </c>
      <c r="AD10" s="28">
        <f>AD8/Y8-1</f>
        <v>0.10502985030811063</v>
      </c>
      <c r="AE10" s="28">
        <f>AE8/Z8-1</f>
        <v>0.15482803652010846</v>
      </c>
      <c r="AF10" s="28">
        <f>AF8/AA8-1</f>
        <v>8.9516102864645175E-2</v>
      </c>
      <c r="AG10" s="28">
        <f>AG8/AB8-1</f>
        <v>0.10708747740718416</v>
      </c>
      <c r="AH10" s="229">
        <f>SUM('[11]Income Statement'!B10:AF10)-SUM(B10:AF10)</f>
        <v>0</v>
      </c>
    </row>
    <row r="11" spans="1:59" s="10" customFormat="1" ht="6" customHeight="1" x14ac:dyDescent="0.15">
      <c r="A11" s="46"/>
      <c r="AH11" s="223"/>
    </row>
    <row r="12" spans="1:59" x14ac:dyDescent="0.15">
      <c r="A12" s="47" t="s">
        <v>62</v>
      </c>
      <c r="B12" s="130">
        <v>-138101</v>
      </c>
      <c r="C12" s="130">
        <v>-139649</v>
      </c>
      <c r="D12" s="130">
        <v>-152157</v>
      </c>
      <c r="E12" s="130">
        <f>+F12-SUM(B12:D12)</f>
        <v>-154948</v>
      </c>
      <c r="F12" s="130">
        <v>-584855</v>
      </c>
      <c r="G12" s="130">
        <v>-157240</v>
      </c>
      <c r="H12" s="130">
        <v>-162446</v>
      </c>
      <c r="I12" s="130">
        <v>-167542</v>
      </c>
      <c r="J12" s="130">
        <f>+K12-SUM(G12:I12)</f>
        <v>-168262</v>
      </c>
      <c r="K12" s="130">
        <f>-'[1]Statements of Income'!$J$8</f>
        <v>-655490</v>
      </c>
      <c r="L12" s="130">
        <v>-162656</v>
      </c>
      <c r="M12" s="130">
        <v>-158401</v>
      </c>
      <c r="N12" s="130">
        <v>-152087</v>
      </c>
      <c r="O12" s="130">
        <f>+P12-SUM(L12:N12)</f>
        <v>-150792</v>
      </c>
      <c r="P12" s="130">
        <f>-'[2]Statements of Income'!$J$8</f>
        <v>-623936</v>
      </c>
      <c r="Q12" s="130">
        <v>-158821</v>
      </c>
      <c r="R12" s="130">
        <v>-170701</v>
      </c>
      <c r="S12" s="130">
        <v>-177743</v>
      </c>
      <c r="T12" s="130">
        <f>+U12-SUM(Q12:S12)</f>
        <v>-183669</v>
      </c>
      <c r="U12" s="130">
        <f>-'[3]Statements of Income'!$J$8</f>
        <v>-690934</v>
      </c>
      <c r="V12" s="130">
        <v>-207516</v>
      </c>
      <c r="W12" s="130">
        <v>-221207</v>
      </c>
      <c r="X12" s="130">
        <v>-230462</v>
      </c>
      <c r="Y12" s="130">
        <f>+Z12-SUM(V12:X12)</f>
        <v>-237410</v>
      </c>
      <c r="Z12" s="130">
        <f>-'[4]Statements of Income'!$J$8</f>
        <v>-896595</v>
      </c>
      <c r="AA12" s="130">
        <f>-'[5]Statements of Income'!$J$8</f>
        <v>-251469</v>
      </c>
      <c r="AB12" s="130">
        <f>-'[6]Statements of Income'!$F$8</f>
        <v>-253220</v>
      </c>
      <c r="AC12" s="130">
        <f>-'[7]Statements of Income'!$F$8</f>
        <v>-256002</v>
      </c>
      <c r="AD12" s="130">
        <f>+AE12-SUM(AA12:AC12)</f>
        <v>-262211</v>
      </c>
      <c r="AE12" s="130">
        <f>-'[8]Statements of Income'!$J$8</f>
        <v>-1022902</v>
      </c>
      <c r="AF12" s="130">
        <f>-'[9]Statements of Income'!$J$8</f>
        <v>-273424</v>
      </c>
      <c r="AG12" s="130">
        <f>-'[10]Statements of Income'!$F$8</f>
        <v>-282106</v>
      </c>
      <c r="AH12" s="275">
        <f>SUM('[11]Income Statement'!B12:AF12)-SUM(B12:AF12)</f>
        <v>0</v>
      </c>
      <c r="AQ12" s="10"/>
      <c r="AR12" s="10"/>
      <c r="AS12" s="10"/>
      <c r="AT12" s="10"/>
      <c r="AU12" s="10"/>
      <c r="AV12" s="10"/>
      <c r="AW12" s="10"/>
      <c r="AX12" s="10"/>
      <c r="AY12" s="10"/>
      <c r="AZ12" s="10"/>
      <c r="BA12" s="10"/>
      <c r="BB12" s="10"/>
      <c r="BC12" s="10"/>
      <c r="BD12" s="10"/>
      <c r="BE12" s="10"/>
      <c r="BF12" s="10"/>
      <c r="BG12" s="10"/>
    </row>
    <row r="13" spans="1:59" s="10" customFormat="1" x14ac:dyDescent="0.15">
      <c r="A13" s="48" t="s">
        <v>2</v>
      </c>
      <c r="B13" s="105">
        <f t="shared" ref="B13:AB13" si="4">B8+B12</f>
        <v>68872</v>
      </c>
      <c r="C13" s="105">
        <f t="shared" si="4"/>
        <v>70463</v>
      </c>
      <c r="D13" s="105">
        <f t="shared" si="4"/>
        <v>78967</v>
      </c>
      <c r="E13" s="105">
        <f t="shared" si="4"/>
        <v>79955</v>
      </c>
      <c r="F13" s="105">
        <f t="shared" si="4"/>
        <v>298257</v>
      </c>
      <c r="G13" s="105">
        <f t="shared" si="4"/>
        <v>82333</v>
      </c>
      <c r="H13" s="105">
        <f t="shared" si="4"/>
        <v>81063</v>
      </c>
      <c r="I13" s="105">
        <f t="shared" si="4"/>
        <v>83850</v>
      </c>
      <c r="J13" s="105">
        <f t="shared" si="4"/>
        <v>88610</v>
      </c>
      <c r="K13" s="105">
        <f t="shared" si="4"/>
        <v>335856</v>
      </c>
      <c r="L13" s="105">
        <f t="shared" si="4"/>
        <v>83334</v>
      </c>
      <c r="M13" s="105">
        <f>M8+M12</f>
        <v>64072</v>
      </c>
      <c r="N13" s="105">
        <f t="shared" si="4"/>
        <v>88931</v>
      </c>
      <c r="O13" s="105">
        <f t="shared" si="4"/>
        <v>98161</v>
      </c>
      <c r="P13" s="105">
        <f t="shared" si="4"/>
        <v>334498</v>
      </c>
      <c r="Q13" s="105">
        <f t="shared" si="4"/>
        <v>102594</v>
      </c>
      <c r="R13" s="105">
        <f t="shared" si="4"/>
        <v>104363</v>
      </c>
      <c r="S13" s="105">
        <f t="shared" si="4"/>
        <v>112582</v>
      </c>
      <c r="T13" s="105">
        <f t="shared" si="4"/>
        <v>111820</v>
      </c>
      <c r="U13" s="105">
        <f t="shared" si="4"/>
        <v>431359</v>
      </c>
      <c r="V13" s="105">
        <f t="shared" si="4"/>
        <v>121692</v>
      </c>
      <c r="W13" s="105">
        <f t="shared" si="4"/>
        <v>125575</v>
      </c>
      <c r="X13" s="105">
        <f t="shared" si="4"/>
        <v>130889</v>
      </c>
      <c r="Y13" s="105">
        <f t="shared" si="4"/>
        <v>137293</v>
      </c>
      <c r="Z13" s="105">
        <f t="shared" si="4"/>
        <v>515449</v>
      </c>
      <c r="AA13" s="105">
        <f t="shared" si="4"/>
        <v>149174</v>
      </c>
      <c r="AB13" s="105">
        <f t="shared" si="4"/>
        <v>151776</v>
      </c>
      <c r="AC13" s="105">
        <f t="shared" ref="AC13:AF13" si="5">AC8+AC12</f>
        <v>154969</v>
      </c>
      <c r="AD13" s="105">
        <f t="shared" si="5"/>
        <v>151847</v>
      </c>
      <c r="AE13" s="105">
        <f t="shared" si="5"/>
        <v>607766</v>
      </c>
      <c r="AF13" s="105">
        <f t="shared" si="5"/>
        <v>163083</v>
      </c>
      <c r="AG13" s="105">
        <f t="shared" ref="AG13" si="6">AG8+AG12</f>
        <v>166260</v>
      </c>
      <c r="AH13" s="275">
        <f>SUM('[11]Income Statement'!B13:AF13)-SUM(B13:AF13)</f>
        <v>0</v>
      </c>
    </row>
    <row r="14" spans="1:59" x14ac:dyDescent="0.15">
      <c r="A14" s="46" t="s">
        <v>48</v>
      </c>
      <c r="B14" s="106">
        <f t="shared" ref="B14:W14" si="7">B13/B8</f>
        <v>0.33275837911225137</v>
      </c>
      <c r="C14" s="106">
        <f t="shared" si="7"/>
        <v>0.33535923697837344</v>
      </c>
      <c r="D14" s="106">
        <f t="shared" si="7"/>
        <v>0.34166508021668024</v>
      </c>
      <c r="E14" s="106">
        <f t="shared" si="7"/>
        <v>0.34037453757508418</v>
      </c>
      <c r="F14" s="106">
        <f t="shared" si="7"/>
        <v>0.33773405864714784</v>
      </c>
      <c r="G14" s="106">
        <f t="shared" si="7"/>
        <v>0.34366560505566152</v>
      </c>
      <c r="H14" s="106">
        <f t="shared" si="7"/>
        <v>0.33289529339777996</v>
      </c>
      <c r="I14" s="106">
        <f t="shared" si="7"/>
        <v>0.33354283350305497</v>
      </c>
      <c r="J14" s="106">
        <f t="shared" si="7"/>
        <v>0.34495779999377124</v>
      </c>
      <c r="K14" s="106">
        <f t="shared" si="7"/>
        <v>0.33878787022896145</v>
      </c>
      <c r="L14" s="106">
        <f t="shared" si="7"/>
        <v>0.33876986869384934</v>
      </c>
      <c r="M14" s="106">
        <f t="shared" si="7"/>
        <v>0.28799899313624577</v>
      </c>
      <c r="N14" s="106">
        <f t="shared" si="7"/>
        <v>0.36898074002771575</v>
      </c>
      <c r="O14" s="106">
        <f t="shared" si="7"/>
        <v>0.39429530875305779</v>
      </c>
      <c r="P14" s="106">
        <f t="shared" si="7"/>
        <v>0.34900473063351256</v>
      </c>
      <c r="Q14" s="106">
        <f t="shared" si="7"/>
        <v>0.39245643899546701</v>
      </c>
      <c r="R14" s="106">
        <f t="shared" si="7"/>
        <v>0.37941351830846637</v>
      </c>
      <c r="S14" s="106">
        <f t="shared" si="7"/>
        <v>0.3877792129510032</v>
      </c>
      <c r="T14" s="106">
        <f t="shared" si="7"/>
        <v>0.37842356229842733</v>
      </c>
      <c r="U14" s="106">
        <f t="shared" si="7"/>
        <v>0.38435506592307001</v>
      </c>
      <c r="V14" s="106">
        <f t="shared" si="7"/>
        <v>0.3696507982795072</v>
      </c>
      <c r="W14" s="106">
        <f t="shared" si="7"/>
        <v>0.36211510401347247</v>
      </c>
      <c r="X14" s="106">
        <f>X13/X8</f>
        <v>0.36222121981120847</v>
      </c>
      <c r="Y14" s="106">
        <f t="shared" ref="Y14:AB14" si="8">Y13/Y8</f>
        <v>0.36640485931524436</v>
      </c>
      <c r="Z14" s="106">
        <f t="shared" si="8"/>
        <v>0.36503749174954886</v>
      </c>
      <c r="AA14" s="106">
        <f t="shared" si="8"/>
        <v>0.37233646912588014</v>
      </c>
      <c r="AB14" s="106">
        <f t="shared" si="8"/>
        <v>0.37475925688154943</v>
      </c>
      <c r="AC14" s="106">
        <f t="shared" ref="AC14:AF14" si="9">AC13/AC8</f>
        <v>0.37708013460803802</v>
      </c>
      <c r="AD14" s="106">
        <f t="shared" si="9"/>
        <v>0.3667288157697714</v>
      </c>
      <c r="AE14" s="106">
        <f t="shared" si="9"/>
        <v>0.37270983425197529</v>
      </c>
      <c r="AF14" s="106">
        <f t="shared" si="9"/>
        <v>0.37360912883413094</v>
      </c>
      <c r="AG14" s="106">
        <f t="shared" ref="AG14" si="10">AG13/AG8</f>
        <v>0.37081313034440611</v>
      </c>
      <c r="AH14" s="229">
        <f>SUM('[11]Income Statement'!B14:AF14)-SUM(B14:AF14)</f>
        <v>0</v>
      </c>
      <c r="AQ14" s="10"/>
      <c r="AR14" s="10"/>
      <c r="AS14" s="10"/>
      <c r="AT14" s="10"/>
      <c r="AU14" s="10"/>
      <c r="AV14" s="10"/>
      <c r="AW14" s="10"/>
      <c r="AX14" s="10"/>
      <c r="AY14" s="10"/>
      <c r="AZ14" s="10"/>
      <c r="BA14" s="10"/>
      <c r="BB14" s="10"/>
      <c r="BC14" s="10"/>
      <c r="BD14" s="10"/>
      <c r="BE14" s="10"/>
      <c r="BF14" s="10"/>
      <c r="BG14" s="10"/>
    </row>
    <row r="15" spans="1:59" ht="6" customHeight="1" x14ac:dyDescent="0.15">
      <c r="A15" s="46"/>
      <c r="AH15" s="223"/>
      <c r="AQ15" s="10"/>
      <c r="AR15" s="10"/>
      <c r="AS15" s="10"/>
      <c r="AT15" s="10"/>
      <c r="AU15" s="10"/>
      <c r="AV15" s="10"/>
      <c r="AW15" s="10"/>
      <c r="AX15" s="10"/>
      <c r="AY15" s="10"/>
      <c r="AZ15" s="10"/>
      <c r="BA15" s="10"/>
      <c r="BB15" s="10"/>
      <c r="BC15" s="10"/>
      <c r="BD15" s="10"/>
      <c r="BE15" s="10"/>
      <c r="BF15" s="10"/>
      <c r="BG15" s="10"/>
    </row>
    <row r="16" spans="1:59" x14ac:dyDescent="0.15">
      <c r="A16" s="48" t="s">
        <v>45</v>
      </c>
      <c r="AH16" s="223"/>
      <c r="AQ16" s="10"/>
      <c r="AR16" s="10"/>
      <c r="AS16" s="10"/>
      <c r="AT16" s="10"/>
      <c r="AU16" s="10"/>
      <c r="AV16" s="10"/>
      <c r="AW16" s="10"/>
      <c r="AX16" s="10"/>
      <c r="AY16" s="10"/>
      <c r="AZ16" s="10"/>
      <c r="BA16" s="10"/>
      <c r="BB16" s="10"/>
      <c r="BC16" s="10"/>
      <c r="BD16" s="10"/>
      <c r="BE16" s="10"/>
      <c r="BF16" s="10"/>
      <c r="BG16" s="10"/>
    </row>
    <row r="17" spans="1:59" x14ac:dyDescent="0.15">
      <c r="A17" s="47" t="s">
        <v>3</v>
      </c>
      <c r="B17" s="130">
        <v>-29266</v>
      </c>
      <c r="C17" s="130">
        <f>-27640</f>
        <v>-27640</v>
      </c>
      <c r="D17" s="130">
        <v>-28704</v>
      </c>
      <c r="E17" s="130">
        <f>+F17-SUM(B17:D17)</f>
        <v>-30592</v>
      </c>
      <c r="F17" s="130">
        <v>-116202</v>
      </c>
      <c r="G17" s="130">
        <v>-32531</v>
      </c>
      <c r="H17" s="130">
        <v>-31228</v>
      </c>
      <c r="I17" s="130">
        <v>-29590</v>
      </c>
      <c r="J17" s="130">
        <f>+K17-SUM(G17:I17)</f>
        <v>-33560</v>
      </c>
      <c r="K17" s="130">
        <f>-'[1]Statements of Income'!$J$11</f>
        <v>-126909</v>
      </c>
      <c r="L17" s="130">
        <v>-28941</v>
      </c>
      <c r="M17" s="130">
        <v>-28750</v>
      </c>
      <c r="N17" s="130">
        <v>-26810</v>
      </c>
      <c r="O17" s="130">
        <f>+P17-SUM(L17:N17)</f>
        <v>-29390</v>
      </c>
      <c r="P17" s="130">
        <f>-'[2]Statements of Income'!$J$11</f>
        <v>-113891</v>
      </c>
      <c r="Q17" s="130">
        <v>-30703</v>
      </c>
      <c r="R17" s="130">
        <v>-36499</v>
      </c>
      <c r="S17" s="130">
        <v>-36167</v>
      </c>
      <c r="T17" s="130">
        <f>+U17-SUM(Q17:S17)</f>
        <v>-38671</v>
      </c>
      <c r="U17" s="130">
        <f>-'[3]Statements of Income'!$J$11</f>
        <v>-142040</v>
      </c>
      <c r="V17" s="130">
        <v>-39945</v>
      </c>
      <c r="W17" s="130">
        <v>-40434</v>
      </c>
      <c r="X17" s="130">
        <v>-42519</v>
      </c>
      <c r="Y17" s="130">
        <f>+Z17-SUM(V17:X17)</f>
        <v>-46118</v>
      </c>
      <c r="Z17" s="130">
        <f>-'[4]Statements of Income'!$J$11</f>
        <v>-169016</v>
      </c>
      <c r="AA17" s="130">
        <f>-'[5]Statements of Income'!$J$11</f>
        <v>-46746</v>
      </c>
      <c r="AB17" s="130">
        <f>-'[6]Statements of Income'!$F$11</f>
        <v>-45605</v>
      </c>
      <c r="AC17" s="130">
        <f>-'[7]Statements of Income'!$F$11</f>
        <v>-52213</v>
      </c>
      <c r="AD17" s="130">
        <f>+AE17-SUM(AA17:AC17)</f>
        <v>-53730</v>
      </c>
      <c r="AE17" s="130">
        <f>-'[8]Statements of Income'!$J$11</f>
        <v>-198294</v>
      </c>
      <c r="AF17" s="130">
        <f>-'[9]Statements of Income'!$J$11</f>
        <v>-53243</v>
      </c>
      <c r="AG17" s="130">
        <f>-'[10]Statements of Income'!$F$11</f>
        <v>-56457</v>
      </c>
      <c r="AH17" s="275">
        <f>SUM('[11]Income Statement'!B17:AF17)-SUM(B17:AF17)</f>
        <v>0</v>
      </c>
      <c r="AQ17" s="10"/>
      <c r="AR17" s="10"/>
      <c r="AS17" s="10"/>
      <c r="AT17" s="10"/>
      <c r="AU17" s="10"/>
      <c r="AV17" s="10"/>
      <c r="AW17" s="10"/>
      <c r="AX17" s="10"/>
      <c r="AY17" s="10"/>
      <c r="AZ17" s="10"/>
      <c r="BA17" s="10"/>
      <c r="BB17" s="10"/>
      <c r="BC17" s="10"/>
      <c r="BD17" s="10"/>
      <c r="BE17" s="10"/>
      <c r="BF17" s="10"/>
      <c r="BG17" s="10"/>
    </row>
    <row r="18" spans="1:59" x14ac:dyDescent="0.15">
      <c r="A18" s="46" t="s">
        <v>86</v>
      </c>
      <c r="B18" s="106">
        <f t="shared" ref="B18:AE18" si="11">-B17/B$8</f>
        <v>0.14140008600155576</v>
      </c>
      <c r="C18" s="106">
        <f t="shared" si="11"/>
        <v>0.13154888821200122</v>
      </c>
      <c r="D18" s="106">
        <f t="shared" si="11"/>
        <v>0.12419307384780465</v>
      </c>
      <c r="E18" s="106">
        <f t="shared" si="11"/>
        <v>0.13023247893811488</v>
      </c>
      <c r="F18" s="106">
        <f t="shared" si="11"/>
        <v>0.13158240404388119</v>
      </c>
      <c r="G18" s="106">
        <f t="shared" si="11"/>
        <v>0.13578742178793102</v>
      </c>
      <c r="H18" s="106">
        <f t="shared" si="11"/>
        <v>0.1282416666324448</v>
      </c>
      <c r="I18" s="106">
        <f t="shared" si="11"/>
        <v>0.11770462067209776</v>
      </c>
      <c r="J18" s="106">
        <f t="shared" si="11"/>
        <v>0.13064872777102993</v>
      </c>
      <c r="K18" s="106">
        <f t="shared" si="11"/>
        <v>0.12801685788816417</v>
      </c>
      <c r="L18" s="106">
        <f t="shared" si="11"/>
        <v>0.11765112402943209</v>
      </c>
      <c r="M18" s="106">
        <f>-M17/M$8</f>
        <v>0.12922916488742453</v>
      </c>
      <c r="N18" s="106">
        <f t="shared" si="11"/>
        <v>0.11123650515729115</v>
      </c>
      <c r="O18" s="106">
        <f t="shared" si="11"/>
        <v>0.11805441187694063</v>
      </c>
      <c r="P18" s="106">
        <f t="shared" si="11"/>
        <v>0.11883030026063349</v>
      </c>
      <c r="Q18" s="106">
        <f t="shared" si="11"/>
        <v>0.11744926649197636</v>
      </c>
      <c r="R18" s="106">
        <f t="shared" si="11"/>
        <v>0.13269275514062182</v>
      </c>
      <c r="S18" s="106">
        <f t="shared" si="11"/>
        <v>0.12457418410402135</v>
      </c>
      <c r="T18" s="106">
        <f t="shared" si="11"/>
        <v>0.13087119994314508</v>
      </c>
      <c r="U18" s="106">
        <f t="shared" si="11"/>
        <v>0.12656231483222297</v>
      </c>
      <c r="V18" s="106">
        <f t="shared" si="11"/>
        <v>0.12133666253553985</v>
      </c>
      <c r="W18" s="106">
        <f t="shared" si="11"/>
        <v>0.11659774728792152</v>
      </c>
      <c r="X18" s="106">
        <f t="shared" si="11"/>
        <v>0.1176667561456866</v>
      </c>
      <c r="Y18" s="106">
        <f t="shared" si="11"/>
        <v>0.12307881175224111</v>
      </c>
      <c r="Z18" s="106">
        <f t="shared" si="11"/>
        <v>0.11969598681060931</v>
      </c>
      <c r="AA18" s="106">
        <f t="shared" si="11"/>
        <v>0.11667744101357068</v>
      </c>
      <c r="AB18" s="106">
        <f t="shared" si="11"/>
        <v>0.11260605043012771</v>
      </c>
      <c r="AC18" s="106">
        <f t="shared" ref="AC18:AD18" si="12">-AC17/AC$8</f>
        <v>0.12704789389032317</v>
      </c>
      <c r="AD18" s="106">
        <f t="shared" si="12"/>
        <v>0.12976442913794686</v>
      </c>
      <c r="AE18" s="106">
        <f t="shared" si="11"/>
        <v>0.12160292591747676</v>
      </c>
      <c r="AF18" s="106">
        <f t="shared" ref="AF18:AG18" si="13">-AF17/AF$8</f>
        <v>0.12197513441937929</v>
      </c>
      <c r="AG18" s="106">
        <f t="shared" si="13"/>
        <v>0.12591721941449618</v>
      </c>
      <c r="AH18" s="229">
        <f>SUM('[11]Income Statement'!B18:AF18)-SUM(B18:AF18)</f>
        <v>0</v>
      </c>
      <c r="AQ18" s="10"/>
      <c r="AR18" s="10"/>
      <c r="AS18" s="10"/>
      <c r="AT18" s="10"/>
      <c r="AU18" s="10"/>
      <c r="AV18" s="10"/>
      <c r="AW18" s="10"/>
      <c r="AX18" s="10"/>
      <c r="AY18" s="10"/>
      <c r="AZ18" s="10"/>
      <c r="BA18" s="10"/>
      <c r="BB18" s="10"/>
      <c r="BC18" s="10"/>
      <c r="BD18" s="10"/>
      <c r="BE18" s="10"/>
      <c r="BF18" s="10"/>
      <c r="BG18" s="10"/>
    </row>
    <row r="19" spans="1:59" ht="6" customHeight="1" x14ac:dyDescent="0.15">
      <c r="A19" s="46"/>
      <c r="AH19" s="223"/>
      <c r="AQ19" s="10"/>
      <c r="AR19" s="10"/>
      <c r="AS19" s="10"/>
      <c r="AT19" s="10"/>
      <c r="AU19" s="10"/>
      <c r="AV19" s="10"/>
      <c r="AW19" s="10"/>
      <c r="AX19" s="10"/>
      <c r="AY19" s="10"/>
      <c r="AZ19" s="10"/>
      <c r="BA19" s="10"/>
      <c r="BB19" s="10"/>
      <c r="BC19" s="10"/>
      <c r="BD19" s="10"/>
      <c r="BE19" s="10"/>
      <c r="BF19" s="10"/>
      <c r="BG19" s="10"/>
    </row>
    <row r="20" spans="1:59" x14ac:dyDescent="0.15">
      <c r="A20" s="47" t="s">
        <v>4</v>
      </c>
      <c r="B20" s="130">
        <v>-13952</v>
      </c>
      <c r="C20" s="130">
        <v>-15151</v>
      </c>
      <c r="D20" s="130">
        <v>-16490</v>
      </c>
      <c r="E20" s="130">
        <f>+F20-SUM(B20:D20)</f>
        <v>-18019</v>
      </c>
      <c r="F20" s="130">
        <v>-63612</v>
      </c>
      <c r="G20" s="130">
        <v>-18047</v>
      </c>
      <c r="H20" s="130">
        <v>-17647</v>
      </c>
      <c r="I20" s="130">
        <v>-18302</v>
      </c>
      <c r="J20" s="130">
        <f>+K20-SUM(G20:I20)</f>
        <v>-17846</v>
      </c>
      <c r="K20" s="130">
        <f>-'[1]Statements of Income'!$J$12</f>
        <v>-71842</v>
      </c>
      <c r="L20" s="130">
        <v>-14456</v>
      </c>
      <c r="M20" s="130">
        <v>-13051</v>
      </c>
      <c r="N20" s="130">
        <v>-15290</v>
      </c>
      <c r="O20" s="130">
        <f>+P20-SUM(L20:N20)</f>
        <v>-17326</v>
      </c>
      <c r="P20" s="130">
        <f>-'[2]Statements of Income'!$J$12</f>
        <v>-60123</v>
      </c>
      <c r="Q20" s="130">
        <v>-18235</v>
      </c>
      <c r="R20" s="130">
        <v>-19724</v>
      </c>
      <c r="S20" s="130">
        <v>-21672</v>
      </c>
      <c r="T20" s="130">
        <f>+U20-SUM(Q20:S20)</f>
        <v>-24675</v>
      </c>
      <c r="U20" s="130">
        <f>-'[3]Statements of Income'!$J$12</f>
        <v>-84306</v>
      </c>
      <c r="V20" s="130">
        <v>-24170</v>
      </c>
      <c r="W20" s="130">
        <v>-23985</v>
      </c>
      <c r="X20" s="130">
        <v>-23879</v>
      </c>
      <c r="Y20" s="130">
        <f>+Z20-SUM(V20:X20)</f>
        <v>-25955</v>
      </c>
      <c r="Z20" s="130">
        <f>-'[4]Statements of Income'!$J$12</f>
        <v>-97989</v>
      </c>
      <c r="AA20" s="130">
        <f>-'[5]Statements of Income'!$J$12</f>
        <v>-29493</v>
      </c>
      <c r="AB20" s="130">
        <f>-'[6]Statements of Income'!$F$12</f>
        <v>-28238</v>
      </c>
      <c r="AC20" s="130">
        <f>-'[7]Statements of Income'!$F$12</f>
        <v>-30943</v>
      </c>
      <c r="AD20" s="130">
        <f>+AE20-SUM(AA20:AC20)</f>
        <v>-31553</v>
      </c>
      <c r="AE20" s="130">
        <f>-'[8]Statements of Income'!$J$12</f>
        <v>-120227</v>
      </c>
      <c r="AF20" s="130">
        <f>-'[9]Statements of Income'!$J$12</f>
        <v>-35970</v>
      </c>
      <c r="AG20" s="130">
        <f>-'[10]Statements of Income'!$F$12</f>
        <v>-35444</v>
      </c>
      <c r="AH20" s="275">
        <f>SUM('[11]Income Statement'!B20:AF20)-SUM(B20:AF20)</f>
        <v>0</v>
      </c>
      <c r="AQ20" s="10"/>
      <c r="AR20" s="10"/>
      <c r="AS20" s="10"/>
      <c r="AT20" s="10"/>
      <c r="AU20" s="10"/>
      <c r="AV20" s="10"/>
      <c r="AW20" s="10"/>
      <c r="AX20" s="10"/>
      <c r="AY20" s="10"/>
      <c r="AZ20" s="10"/>
      <c r="BA20" s="10"/>
      <c r="BB20" s="10"/>
      <c r="BC20" s="10"/>
      <c r="BD20" s="10"/>
      <c r="BE20" s="10"/>
      <c r="BF20" s="10"/>
      <c r="BG20" s="10"/>
    </row>
    <row r="21" spans="1:59" x14ac:dyDescent="0.15">
      <c r="A21" s="46" t="s">
        <v>86</v>
      </c>
      <c r="B21" s="106">
        <f t="shared" ref="B21:R21" si="14">-B20/B$8</f>
        <v>6.7409758760804545E-2</v>
      </c>
      <c r="C21" s="106">
        <f t="shared" si="14"/>
        <v>7.2109160828510502E-2</v>
      </c>
      <c r="D21" s="106">
        <f t="shared" si="14"/>
        <v>7.1346982572125781E-2</v>
      </c>
      <c r="E21" s="106">
        <f t="shared" si="14"/>
        <v>7.6708258302363108E-2</v>
      </c>
      <c r="F21" s="106">
        <f t="shared" si="14"/>
        <v>7.2031633586679827E-2</v>
      </c>
      <c r="G21" s="106">
        <f t="shared" si="14"/>
        <v>7.5329857705167105E-2</v>
      </c>
      <c r="H21" s="106">
        <f t="shared" si="14"/>
        <v>7.246960071290999E-2</v>
      </c>
      <c r="I21" s="106">
        <f t="shared" si="14"/>
        <v>7.28026349287169E-2</v>
      </c>
      <c r="J21" s="106">
        <f t="shared" si="14"/>
        <v>6.9474290697312285E-2</v>
      </c>
      <c r="K21" s="106">
        <f t="shared" si="14"/>
        <v>7.2469148006851294E-2</v>
      </c>
      <c r="L21" s="106">
        <f t="shared" si="14"/>
        <v>5.8766616529127201E-2</v>
      </c>
      <c r="M21" s="106">
        <f>-M20/M$8</f>
        <v>5.8663298467679224E-2</v>
      </c>
      <c r="N21" s="106">
        <f t="shared" si="14"/>
        <v>6.3439245201603198E-2</v>
      </c>
      <c r="O21" s="106">
        <f t="shared" si="14"/>
        <v>6.9595465810815701E-2</v>
      </c>
      <c r="P21" s="106">
        <f t="shared" si="14"/>
        <v>6.2730454053174234E-2</v>
      </c>
      <c r="Q21" s="106">
        <f t="shared" si="14"/>
        <v>6.9754987280760475E-2</v>
      </c>
      <c r="R21" s="106">
        <f t="shared" si="14"/>
        <v>7.1706948201145912E-2</v>
      </c>
      <c r="S21" s="106">
        <f>-S20/S$8-0.05%</f>
        <v>7.4147377938517181E-2</v>
      </c>
      <c r="T21" s="106">
        <f>ROUNDDOWN(-T20/T$8,3)</f>
        <v>8.3000000000000004E-2</v>
      </c>
      <c r="U21" s="106">
        <f>-U20/U$8</f>
        <v>7.5119420686041882E-2</v>
      </c>
      <c r="V21" s="106">
        <f>-V20/V$8</f>
        <v>7.3418628951908829E-2</v>
      </c>
      <c r="W21" s="106">
        <f>-W20/W$8</f>
        <v>6.916448950637577E-2</v>
      </c>
      <c r="X21" s="106">
        <f>-X20/X$8</f>
        <v>6.6082562383942486E-2</v>
      </c>
      <c r="Y21" s="106">
        <f>ROUNDDOWN(-Y20/Y$8,3)</f>
        <v>6.9000000000000006E-2</v>
      </c>
      <c r="Z21" s="106">
        <f t="shared" ref="Z21:AD21" si="15">-Z20/Z$8</f>
        <v>6.9395146326884996E-2</v>
      </c>
      <c r="AA21" s="106">
        <f t="shared" si="15"/>
        <v>7.3614165229393749E-2</v>
      </c>
      <c r="AB21" s="106">
        <f t="shared" si="15"/>
        <v>6.9724145423658498E-2</v>
      </c>
      <c r="AC21" s="106">
        <f t="shared" si="15"/>
        <v>7.5292417226519637E-2</v>
      </c>
      <c r="AD21" s="106">
        <f t="shared" si="15"/>
        <v>7.6204299880693049E-2</v>
      </c>
      <c r="AE21" s="106">
        <f>ROUNDDOWN(-AE20/AE$8,3)</f>
        <v>7.2999999999999995E-2</v>
      </c>
      <c r="AF21" s="106">
        <f t="shared" ref="AF21:AG21" si="16">-AF20/AF$8</f>
        <v>8.2404176794415668E-2</v>
      </c>
      <c r="AG21" s="106">
        <f t="shared" si="16"/>
        <v>7.9051489185174614E-2</v>
      </c>
      <c r="AH21" s="229">
        <f>SUM('[11]Income Statement'!B21:AF21)-SUM(B21:AF21)</f>
        <v>0</v>
      </c>
      <c r="AQ21" s="10"/>
      <c r="AR21" s="10"/>
      <c r="AS21" s="10"/>
      <c r="AT21" s="10"/>
      <c r="AU21" s="10"/>
      <c r="AV21" s="10"/>
      <c r="AW21" s="10"/>
      <c r="AX21" s="10"/>
      <c r="AY21" s="10"/>
      <c r="AZ21" s="10"/>
      <c r="BA21" s="10"/>
      <c r="BB21" s="10"/>
      <c r="BC21" s="10"/>
      <c r="BD21" s="10"/>
      <c r="BE21" s="10"/>
      <c r="BF21" s="10"/>
      <c r="BG21" s="10"/>
    </row>
    <row r="22" spans="1:59" ht="6" customHeight="1" x14ac:dyDescent="0.15">
      <c r="A22" s="46"/>
      <c r="AH22" s="223"/>
      <c r="AQ22" s="10"/>
      <c r="AR22" s="10"/>
      <c r="AS22" s="10"/>
      <c r="AT22" s="10"/>
      <c r="AU22" s="10"/>
      <c r="AV22" s="10"/>
      <c r="AW22" s="10"/>
      <c r="AX22" s="10"/>
      <c r="AY22" s="10"/>
      <c r="AZ22" s="10"/>
      <c r="BA22" s="10"/>
      <c r="BB22" s="10"/>
      <c r="BC22" s="10"/>
      <c r="BD22" s="10"/>
      <c r="BE22" s="10"/>
      <c r="BF22" s="10"/>
      <c r="BG22" s="10"/>
    </row>
    <row r="23" spans="1:59" x14ac:dyDescent="0.15">
      <c r="A23" s="47" t="s">
        <v>140</v>
      </c>
      <c r="B23" s="67">
        <v>-10504</v>
      </c>
      <c r="C23" s="67">
        <v>-10582</v>
      </c>
      <c r="D23" s="67">
        <v>-14099</v>
      </c>
      <c r="E23" s="130">
        <f>+F23-SUM(B23:D23)</f>
        <v>-13381</v>
      </c>
      <c r="F23" s="24">
        <v>-48566</v>
      </c>
      <c r="G23" s="24">
        <v>-13667</v>
      </c>
      <c r="H23" s="24">
        <v>-12752</v>
      </c>
      <c r="I23" s="24">
        <v>-13047</v>
      </c>
      <c r="J23" s="130">
        <f>+K23-SUM(G23:I23)</f>
        <v>-12515</v>
      </c>
      <c r="K23" s="24">
        <f>-'[1]Statements of Income'!$J$13</f>
        <v>-51981</v>
      </c>
      <c r="L23" s="24">
        <v>-12450</v>
      </c>
      <c r="M23" s="24">
        <v>-12405</v>
      </c>
      <c r="N23" s="24">
        <v>-12425</v>
      </c>
      <c r="O23" s="24">
        <f>+P23-SUM(L23:N23)</f>
        <v>-13182</v>
      </c>
      <c r="P23" s="24">
        <f>-'[2]Statements of Income'!$J$13</f>
        <v>-50462</v>
      </c>
      <c r="Q23" s="24">
        <v>-12101</v>
      </c>
      <c r="R23" s="24">
        <v>-12310</v>
      </c>
      <c r="S23" s="24">
        <v>-12305</v>
      </c>
      <c r="T23" s="24">
        <f>+U23-SUM(Q23:S23)</f>
        <v>-12416</v>
      </c>
      <c r="U23" s="24">
        <f>-'[3]Statements of Income'!$J$13</f>
        <v>-49132</v>
      </c>
      <c r="V23" s="24">
        <v>-13602</v>
      </c>
      <c r="W23" s="24">
        <v>-14075</v>
      </c>
      <c r="X23" s="24">
        <v>-14380</v>
      </c>
      <c r="Y23" s="24">
        <f>+Z23-SUM(V23:X23)</f>
        <v>-14225</v>
      </c>
      <c r="Z23" s="24">
        <f>-'[4]Statements of Income'!$J$13</f>
        <v>-56282</v>
      </c>
      <c r="AA23" s="24">
        <f>-'[5]Statements of Income'!$J$13</f>
        <v>-13487</v>
      </c>
      <c r="AB23" s="24">
        <f>-'[6]Statements of Income'!$F$13</f>
        <v>-13122</v>
      </c>
      <c r="AC23" s="24">
        <f>-'[7]Statements of Income'!$F$13</f>
        <v>-11583</v>
      </c>
      <c r="AD23" s="24">
        <f>+AE23-SUM(AA23:AC23)</f>
        <v>-12298</v>
      </c>
      <c r="AE23" s="24">
        <f>-'[8]Statements of Income'!$J$13</f>
        <v>-50490</v>
      </c>
      <c r="AF23" s="24">
        <f>-'[9]Statements of Income'!$J$13</f>
        <v>-12346</v>
      </c>
      <c r="AG23" s="24">
        <f>-'[10]Statements of Income'!$F$13</f>
        <v>-12910</v>
      </c>
      <c r="AH23" s="275">
        <f>SUM('[11]Income Statement'!B23:AF23)-SUM(B23:AF23)</f>
        <v>0</v>
      </c>
      <c r="AQ23" s="10"/>
      <c r="AR23" s="10"/>
      <c r="AS23" s="10"/>
      <c r="AT23" s="10"/>
      <c r="AU23" s="10"/>
      <c r="AV23" s="10"/>
      <c r="AW23" s="10"/>
      <c r="AX23" s="10"/>
      <c r="AY23" s="10"/>
      <c r="AZ23" s="10"/>
      <c r="BA23" s="10"/>
      <c r="BB23" s="10"/>
      <c r="BC23" s="10"/>
      <c r="BD23" s="10"/>
      <c r="BE23" s="10"/>
      <c r="BF23" s="10"/>
      <c r="BG23" s="10"/>
    </row>
    <row r="24" spans="1:59" x14ac:dyDescent="0.15">
      <c r="A24" s="46" t="s">
        <v>86</v>
      </c>
      <c r="B24" s="28">
        <f t="shared" ref="B24:AB24" si="17">-B23/B$8</f>
        <v>5.0750580993656175E-2</v>
      </c>
      <c r="C24" s="28">
        <f t="shared" si="17"/>
        <v>5.0363615595491927E-2</v>
      </c>
      <c r="D24" s="28">
        <f t="shared" si="17"/>
        <v>6.1001886433256609E-2</v>
      </c>
      <c r="E24" s="28">
        <f t="shared" si="17"/>
        <v>5.6963938306449899E-2</v>
      </c>
      <c r="F24" s="28">
        <f t="shared" si="17"/>
        <v>5.4994157026515327E-2</v>
      </c>
      <c r="G24" s="28">
        <f t="shared" si="17"/>
        <v>5.7047330041365266E-2</v>
      </c>
      <c r="H24" s="28">
        <f t="shared" si="17"/>
        <v>5.2367674295405918E-2</v>
      </c>
      <c r="I24" s="28">
        <f t="shared" si="17"/>
        <v>5.1899026221995929E-2</v>
      </c>
      <c r="J24" s="28">
        <f t="shared" si="17"/>
        <v>4.8720763648821205E-2</v>
      </c>
      <c r="K24" s="28">
        <f t="shared" si="17"/>
        <v>5.243477050394111E-2</v>
      </c>
      <c r="L24" s="28">
        <f t="shared" si="17"/>
        <v>5.0611813488353183E-2</v>
      </c>
      <c r="M24" s="28">
        <f>-M23/M$8</f>
        <v>5.5759575319252221E-2</v>
      </c>
      <c r="N24" s="28">
        <f t="shared" si="17"/>
        <v>5.1552166228248514E-2</v>
      </c>
      <c r="O24" s="28">
        <f t="shared" si="17"/>
        <v>5.2949753567942542E-2</v>
      </c>
      <c r="P24" s="28">
        <f t="shared" si="17"/>
        <v>5.2650469411560943E-2</v>
      </c>
      <c r="Q24" s="28">
        <f t="shared" si="17"/>
        <v>4.6290381194652182E-2</v>
      </c>
      <c r="R24" s="28">
        <f t="shared" si="17"/>
        <v>4.475322106855132E-2</v>
      </c>
      <c r="S24" s="28">
        <f t="shared" si="17"/>
        <v>4.2383535692758115E-2</v>
      </c>
      <c r="T24" s="28">
        <f t="shared" si="17"/>
        <v>4.2018484613640439E-2</v>
      </c>
      <c r="U24" s="28">
        <f t="shared" si="17"/>
        <v>4.3778229036445918E-2</v>
      </c>
      <c r="V24" s="28">
        <f t="shared" si="17"/>
        <v>4.1317343442443685E-2</v>
      </c>
      <c r="W24" s="28">
        <f t="shared" si="17"/>
        <v>4.0587458403261993E-2</v>
      </c>
      <c r="X24" s="28">
        <f t="shared" si="17"/>
        <v>3.9795102268985007E-2</v>
      </c>
      <c r="Y24" s="28">
        <f t="shared" si="17"/>
        <v>3.7963400346407689E-2</v>
      </c>
      <c r="Z24" s="28">
        <f t="shared" si="17"/>
        <v>3.9858531320553753E-2</v>
      </c>
      <c r="AA24" s="28">
        <f t="shared" si="17"/>
        <v>3.3663386106833268E-2</v>
      </c>
      <c r="AB24" s="28">
        <f t="shared" si="17"/>
        <v>3.2400320003160524E-2</v>
      </c>
      <c r="AC24" s="28">
        <f t="shared" ref="AC24:AF24" si="18">-AC23/AC$8</f>
        <v>2.81844704370868E-2</v>
      </c>
      <c r="AD24" s="28">
        <f t="shared" si="18"/>
        <v>2.9701152978568221E-2</v>
      </c>
      <c r="AE24" s="28">
        <f t="shared" si="18"/>
        <v>3.096277108522397E-2</v>
      </c>
      <c r="AF24" s="28">
        <f t="shared" si="18"/>
        <v>2.828362431759399E-2</v>
      </c>
      <c r="AG24" s="28">
        <f t="shared" ref="AG24" si="19">-AG23/AG$8</f>
        <v>2.8793441072695075E-2</v>
      </c>
      <c r="AH24" s="229">
        <f>SUM('[11]Income Statement'!B24:AF24)-SUM(B24:AF24)</f>
        <v>0</v>
      </c>
      <c r="AQ24" s="10"/>
      <c r="AR24" s="10"/>
      <c r="AS24" s="10"/>
      <c r="AT24" s="10"/>
      <c r="AU24" s="10"/>
      <c r="AV24" s="10"/>
      <c r="AW24" s="10"/>
      <c r="AX24" s="10"/>
      <c r="AY24" s="10"/>
      <c r="AZ24" s="10"/>
      <c r="BA24" s="10"/>
      <c r="BB24" s="10"/>
      <c r="BC24" s="10"/>
      <c r="BD24" s="10"/>
      <c r="BE24" s="10"/>
      <c r="BF24" s="10"/>
      <c r="BG24" s="10"/>
    </row>
    <row r="25" spans="1:59" ht="6" customHeight="1" x14ac:dyDescent="0.15">
      <c r="A25" s="46"/>
      <c r="AH25" s="223"/>
      <c r="AQ25" s="10"/>
      <c r="AR25" s="10"/>
      <c r="AS25" s="10"/>
      <c r="AT25" s="10"/>
      <c r="AU25" s="10"/>
      <c r="AV25" s="10"/>
      <c r="AW25" s="10"/>
      <c r="AX25" s="10"/>
      <c r="AY25" s="10"/>
      <c r="AZ25" s="10"/>
      <c r="BA25" s="10"/>
      <c r="BB25" s="10"/>
      <c r="BC25" s="10"/>
      <c r="BD25" s="10"/>
      <c r="BE25" s="10"/>
      <c r="BF25" s="10"/>
      <c r="BG25" s="10"/>
    </row>
    <row r="26" spans="1:59" x14ac:dyDescent="0.15">
      <c r="A26" s="47" t="s">
        <v>137</v>
      </c>
      <c r="B26" s="161">
        <v>0</v>
      </c>
      <c r="C26" s="161">
        <v>0</v>
      </c>
      <c r="D26" s="27">
        <v>0</v>
      </c>
      <c r="E26" s="130">
        <f>+F26-SUM(B26:D26)</f>
        <v>-20056</v>
      </c>
      <c r="F26" s="24">
        <v>-20056</v>
      </c>
      <c r="G26" s="24">
        <v>-1227</v>
      </c>
      <c r="H26" s="24">
        <v>-5580</v>
      </c>
      <c r="I26" s="162">
        <v>-489</v>
      </c>
      <c r="J26" s="130">
        <f>+K26-SUM(G26:I26)</f>
        <v>-1375</v>
      </c>
      <c r="K26" s="24">
        <f>-'[1]Statements of Income'!$J$14</f>
        <v>-8671</v>
      </c>
      <c r="L26" s="24">
        <v>0</v>
      </c>
      <c r="M26" s="24">
        <v>0</v>
      </c>
      <c r="N26" s="24">
        <v>0</v>
      </c>
      <c r="O26" s="24">
        <f>+P26-SUM(L26:N26)</f>
        <v>0</v>
      </c>
      <c r="P26" s="24">
        <f>-'[2]Statements of Income'!$J$14</f>
        <v>0</v>
      </c>
      <c r="Q26" s="24">
        <v>0</v>
      </c>
      <c r="R26" s="24">
        <v>0</v>
      </c>
      <c r="S26" s="24">
        <v>0</v>
      </c>
      <c r="T26" s="24">
        <f>+U26-SUM(Q26:S26)</f>
        <v>0</v>
      </c>
      <c r="U26" s="24">
        <f>-'[3]Statements of Income'!$J$14</f>
        <v>0</v>
      </c>
      <c r="V26" s="24">
        <v>0</v>
      </c>
      <c r="W26" s="24">
        <v>0</v>
      </c>
      <c r="X26" s="24">
        <v>0</v>
      </c>
      <c r="Y26" s="24">
        <f>+Z26-SUM(V26:X26)</f>
        <v>0</v>
      </c>
      <c r="Z26" s="24">
        <v>0</v>
      </c>
      <c r="AA26" s="24">
        <v>0</v>
      </c>
      <c r="AB26" s="24">
        <v>0</v>
      </c>
      <c r="AC26" s="24">
        <v>0</v>
      </c>
      <c r="AD26" s="24">
        <f>+AE26-SUM(AA26:AC26)</f>
        <v>0</v>
      </c>
      <c r="AE26" s="24">
        <v>0</v>
      </c>
      <c r="AF26" s="24">
        <v>0</v>
      </c>
      <c r="AG26" s="24">
        <v>0</v>
      </c>
      <c r="AH26" s="275">
        <f>SUM('[11]Income Statement'!B26:AF26)-SUM(B26:AF26)</f>
        <v>0</v>
      </c>
      <c r="AQ26" s="10"/>
      <c r="AR26" s="10"/>
      <c r="AS26" s="10"/>
      <c r="AT26" s="10"/>
      <c r="AU26" s="10"/>
      <c r="AV26" s="10"/>
      <c r="AW26" s="10"/>
      <c r="AX26" s="10"/>
      <c r="AY26" s="10"/>
      <c r="AZ26" s="10"/>
      <c r="BA26" s="10"/>
      <c r="BB26" s="10"/>
      <c r="BC26" s="10"/>
      <c r="BD26" s="10"/>
      <c r="BE26" s="10"/>
      <c r="BF26" s="10"/>
      <c r="BG26" s="10"/>
    </row>
    <row r="27" spans="1:59" x14ac:dyDescent="0.15">
      <c r="A27" s="46" t="s">
        <v>86</v>
      </c>
      <c r="B27" s="28">
        <v>0</v>
      </c>
      <c r="C27" s="28">
        <v>0</v>
      </c>
      <c r="D27" s="28">
        <v>0</v>
      </c>
      <c r="E27" s="28">
        <f>-E26/E$8</f>
        <v>8.5379922776635461E-2</v>
      </c>
      <c r="F27" s="28">
        <f>-F26/F$8</f>
        <v>2.2710596164472911E-2</v>
      </c>
      <c r="G27" s="28">
        <f>-G26/G$8</f>
        <v>5.1216122017088738E-3</v>
      </c>
      <c r="H27" s="28">
        <f>-H26/H$8</f>
        <v>2.2914964128635903E-2</v>
      </c>
      <c r="I27" s="28">
        <f t="shared" ref="I27:AE27" si="20">-I26/I$8</f>
        <v>1.9451692973523422E-3</v>
      </c>
      <c r="J27" s="28">
        <f t="shared" si="20"/>
        <v>5.3528605686879067E-3</v>
      </c>
      <c r="K27" s="28">
        <f t="shared" si="20"/>
        <v>8.7466938889146674E-3</v>
      </c>
      <c r="L27" s="28">
        <f t="shared" si="20"/>
        <v>0</v>
      </c>
      <c r="M27" s="28">
        <f>-M26/M$8</f>
        <v>0</v>
      </c>
      <c r="N27" s="28">
        <f t="shared" si="20"/>
        <v>0</v>
      </c>
      <c r="O27" s="28">
        <f t="shared" si="20"/>
        <v>0</v>
      </c>
      <c r="P27" s="28">
        <f t="shared" si="20"/>
        <v>0</v>
      </c>
      <c r="Q27" s="28">
        <f t="shared" si="20"/>
        <v>0</v>
      </c>
      <c r="R27" s="28">
        <f t="shared" si="20"/>
        <v>0</v>
      </c>
      <c r="S27" s="28">
        <f t="shared" si="20"/>
        <v>0</v>
      </c>
      <c r="T27" s="28">
        <f t="shared" si="20"/>
        <v>0</v>
      </c>
      <c r="U27" s="28">
        <f t="shared" si="20"/>
        <v>0</v>
      </c>
      <c r="V27" s="28">
        <f t="shared" si="20"/>
        <v>0</v>
      </c>
      <c r="W27" s="28">
        <f t="shared" si="20"/>
        <v>0</v>
      </c>
      <c r="X27" s="28">
        <f t="shared" si="20"/>
        <v>0</v>
      </c>
      <c r="Y27" s="28">
        <f t="shared" si="20"/>
        <v>0</v>
      </c>
      <c r="Z27" s="28">
        <f t="shared" si="20"/>
        <v>0</v>
      </c>
      <c r="AA27" s="28">
        <f t="shared" si="20"/>
        <v>0</v>
      </c>
      <c r="AB27" s="28">
        <f t="shared" si="20"/>
        <v>0</v>
      </c>
      <c r="AC27" s="28">
        <f t="shared" ref="AC27" si="21">-AC26/AC$8</f>
        <v>0</v>
      </c>
      <c r="AD27" s="28">
        <f t="shared" si="20"/>
        <v>0</v>
      </c>
      <c r="AE27" s="28">
        <f t="shared" si="20"/>
        <v>0</v>
      </c>
      <c r="AF27" s="28">
        <f t="shared" ref="AF27:AG27" si="22">-AF26/AF$8</f>
        <v>0</v>
      </c>
      <c r="AG27" s="28">
        <f t="shared" si="22"/>
        <v>0</v>
      </c>
      <c r="AH27" s="229">
        <f>SUM('[11]Income Statement'!B27:AF27)-SUM(B27:AF27)</f>
        <v>0</v>
      </c>
      <c r="AQ27" s="10"/>
      <c r="AR27" s="10"/>
      <c r="AS27" s="10"/>
      <c r="AT27" s="10"/>
      <c r="AU27" s="10"/>
      <c r="AV27" s="10"/>
      <c r="AW27" s="10"/>
      <c r="AX27" s="10"/>
      <c r="AY27" s="10"/>
      <c r="AZ27" s="10"/>
      <c r="BA27" s="10"/>
      <c r="BB27" s="10"/>
      <c r="BC27" s="10"/>
      <c r="BD27" s="10"/>
      <c r="BE27" s="10"/>
      <c r="BF27" s="10"/>
      <c r="BG27" s="10"/>
    </row>
    <row r="28" spans="1:59" ht="6" customHeight="1" x14ac:dyDescent="0.15">
      <c r="A28" s="46"/>
      <c r="AH28" s="223"/>
      <c r="AQ28" s="10"/>
      <c r="AR28" s="10"/>
      <c r="AS28" s="10"/>
      <c r="AT28" s="10"/>
      <c r="AU28" s="10"/>
      <c r="AV28" s="10"/>
      <c r="AW28" s="10"/>
      <c r="AX28" s="10"/>
      <c r="AY28" s="10"/>
      <c r="AZ28" s="10"/>
      <c r="BA28" s="10"/>
      <c r="BB28" s="10"/>
      <c r="BC28" s="10"/>
      <c r="BD28" s="10"/>
      <c r="BE28" s="10"/>
      <c r="BF28" s="10"/>
      <c r="BG28" s="10"/>
    </row>
    <row r="29" spans="1:59" s="10" customFormat="1" x14ac:dyDescent="0.15">
      <c r="A29" s="48" t="s">
        <v>5</v>
      </c>
      <c r="B29" s="23">
        <f t="shared" ref="B29:AB29" si="23">B17+B20+B23+B26</f>
        <v>-53722</v>
      </c>
      <c r="C29" s="23">
        <f t="shared" si="23"/>
        <v>-53373</v>
      </c>
      <c r="D29" s="23">
        <f t="shared" si="23"/>
        <v>-59293</v>
      </c>
      <c r="E29" s="23">
        <f t="shared" si="23"/>
        <v>-82048</v>
      </c>
      <c r="F29" s="23">
        <f t="shared" si="23"/>
        <v>-248436</v>
      </c>
      <c r="G29" s="23">
        <f t="shared" si="23"/>
        <v>-65472</v>
      </c>
      <c r="H29" s="23">
        <f t="shared" si="23"/>
        <v>-67207</v>
      </c>
      <c r="I29" s="23">
        <f t="shared" si="23"/>
        <v>-61428</v>
      </c>
      <c r="J29" s="23">
        <f t="shared" si="23"/>
        <v>-65296</v>
      </c>
      <c r="K29" s="23">
        <f t="shared" si="23"/>
        <v>-259403</v>
      </c>
      <c r="L29" s="23">
        <f t="shared" si="23"/>
        <v>-55847</v>
      </c>
      <c r="M29" s="23">
        <f>M17+M20+M23+M26</f>
        <v>-54206</v>
      </c>
      <c r="N29" s="23">
        <f t="shared" si="23"/>
        <v>-54525</v>
      </c>
      <c r="O29" s="23">
        <f t="shared" si="23"/>
        <v>-59898</v>
      </c>
      <c r="P29" s="23">
        <f t="shared" si="23"/>
        <v>-224476</v>
      </c>
      <c r="Q29" s="23">
        <f t="shared" si="23"/>
        <v>-61039</v>
      </c>
      <c r="R29" s="23">
        <f t="shared" si="23"/>
        <v>-68533</v>
      </c>
      <c r="S29" s="23">
        <f t="shared" si="23"/>
        <v>-70144</v>
      </c>
      <c r="T29" s="23">
        <f t="shared" si="23"/>
        <v>-75762</v>
      </c>
      <c r="U29" s="23">
        <f t="shared" si="23"/>
        <v>-275478</v>
      </c>
      <c r="V29" s="23">
        <f t="shared" si="23"/>
        <v>-77717</v>
      </c>
      <c r="W29" s="23">
        <f t="shared" si="23"/>
        <v>-78494</v>
      </c>
      <c r="X29" s="23">
        <f t="shared" si="23"/>
        <v>-80778</v>
      </c>
      <c r="Y29" s="23">
        <f t="shared" si="23"/>
        <v>-86298</v>
      </c>
      <c r="Z29" s="23">
        <f t="shared" si="23"/>
        <v>-323287</v>
      </c>
      <c r="AA29" s="23">
        <f t="shared" si="23"/>
        <v>-89726</v>
      </c>
      <c r="AB29" s="23">
        <f t="shared" si="23"/>
        <v>-86965</v>
      </c>
      <c r="AC29" s="23">
        <f t="shared" ref="AC29:AF29" si="24">AC17+AC20+AC23+AC26</f>
        <v>-94739</v>
      </c>
      <c r="AD29" s="23">
        <f t="shared" si="24"/>
        <v>-97581</v>
      </c>
      <c r="AE29" s="23">
        <f t="shared" si="24"/>
        <v>-369011</v>
      </c>
      <c r="AF29" s="23">
        <f t="shared" si="24"/>
        <v>-101559</v>
      </c>
      <c r="AG29" s="23">
        <f t="shared" ref="AG29" si="25">AG17+AG20+AG23+AG26</f>
        <v>-104811</v>
      </c>
      <c r="AH29" s="275">
        <f>SUM('[11]Income Statement'!B29:AF29)-SUM(B29:AF29)</f>
        <v>0</v>
      </c>
    </row>
    <row r="30" spans="1:59" ht="6" customHeight="1" x14ac:dyDescent="0.15">
      <c r="A30" s="46"/>
      <c r="AH30" s="223"/>
      <c r="AQ30" s="10"/>
      <c r="AR30" s="10"/>
      <c r="AS30" s="10"/>
      <c r="AT30" s="10"/>
      <c r="AU30" s="10"/>
      <c r="AV30" s="10"/>
      <c r="AW30" s="10"/>
      <c r="AX30" s="10"/>
      <c r="AY30" s="10"/>
      <c r="AZ30" s="10"/>
      <c r="BA30" s="10"/>
      <c r="BB30" s="10"/>
      <c r="BC30" s="10"/>
      <c r="BD30" s="10"/>
      <c r="BE30" s="10"/>
      <c r="BF30" s="10"/>
      <c r="BG30" s="10"/>
    </row>
    <row r="31" spans="1:59" s="10" customFormat="1" x14ac:dyDescent="0.15">
      <c r="A31" s="45" t="s">
        <v>190</v>
      </c>
      <c r="B31" s="33">
        <f t="shared" ref="B31:F31" si="26">B13+B29</f>
        <v>15150</v>
      </c>
      <c r="C31" s="33">
        <f t="shared" si="26"/>
        <v>17090</v>
      </c>
      <c r="D31" s="33">
        <f t="shared" si="26"/>
        <v>19674</v>
      </c>
      <c r="E31" s="33">
        <f t="shared" si="26"/>
        <v>-2093</v>
      </c>
      <c r="F31" s="33">
        <f t="shared" si="26"/>
        <v>49821</v>
      </c>
      <c r="G31" s="33">
        <f>G13+G29</f>
        <v>16861</v>
      </c>
      <c r="H31" s="33">
        <f>H13+H29</f>
        <v>13856</v>
      </c>
      <c r="I31" s="33">
        <f t="shared" ref="I31:AB31" si="27">I13+I29</f>
        <v>22422</v>
      </c>
      <c r="J31" s="33">
        <f t="shared" si="27"/>
        <v>23314</v>
      </c>
      <c r="K31" s="33">
        <f t="shared" si="27"/>
        <v>76453</v>
      </c>
      <c r="L31" s="33">
        <f t="shared" si="27"/>
        <v>27487</v>
      </c>
      <c r="M31" s="33">
        <f>M13+M29</f>
        <v>9866</v>
      </c>
      <c r="N31" s="33">
        <f t="shared" si="27"/>
        <v>34406</v>
      </c>
      <c r="O31" s="33">
        <f t="shared" si="27"/>
        <v>38263</v>
      </c>
      <c r="P31" s="33">
        <f t="shared" si="27"/>
        <v>110022</v>
      </c>
      <c r="Q31" s="33">
        <f t="shared" si="27"/>
        <v>41555</v>
      </c>
      <c r="R31" s="33">
        <f t="shared" si="27"/>
        <v>35830</v>
      </c>
      <c r="S31" s="33">
        <f t="shared" si="27"/>
        <v>42438</v>
      </c>
      <c r="T31" s="33">
        <f t="shared" si="27"/>
        <v>36058</v>
      </c>
      <c r="U31" s="33">
        <f t="shared" si="27"/>
        <v>155881</v>
      </c>
      <c r="V31" s="33">
        <f t="shared" si="27"/>
        <v>43975</v>
      </c>
      <c r="W31" s="33">
        <f t="shared" si="27"/>
        <v>47081</v>
      </c>
      <c r="X31" s="33">
        <f t="shared" si="27"/>
        <v>50111</v>
      </c>
      <c r="Y31" s="33">
        <f t="shared" si="27"/>
        <v>50995</v>
      </c>
      <c r="Z31" s="33">
        <f t="shared" si="27"/>
        <v>192162</v>
      </c>
      <c r="AA31" s="33">
        <f t="shared" si="27"/>
        <v>59448</v>
      </c>
      <c r="AB31" s="33">
        <f t="shared" si="27"/>
        <v>64811</v>
      </c>
      <c r="AC31" s="33">
        <f t="shared" ref="AC31:AF31" si="28">AC13+AC29</f>
        <v>60230</v>
      </c>
      <c r="AD31" s="33">
        <f t="shared" si="28"/>
        <v>54266</v>
      </c>
      <c r="AE31" s="33">
        <f t="shared" si="28"/>
        <v>238755</v>
      </c>
      <c r="AF31" s="33">
        <f t="shared" si="28"/>
        <v>61524</v>
      </c>
      <c r="AG31" s="33">
        <f t="shared" ref="AG31" si="29">AG13+AG29</f>
        <v>61449</v>
      </c>
      <c r="AH31" s="275">
        <f>SUM('[11]Income Statement'!B31:AF31)-SUM(B31:AF31)</f>
        <v>0</v>
      </c>
    </row>
    <row r="32" spans="1:59" s="10" customFormat="1" x14ac:dyDescent="0.15">
      <c r="A32" s="46" t="s">
        <v>84</v>
      </c>
      <c r="B32" s="28">
        <v>-7.055214723926384E-2</v>
      </c>
      <c r="C32" s="28">
        <f>C31/B31-1</f>
        <v>0.12805280528052809</v>
      </c>
      <c r="D32" s="28">
        <f>D31/C31-1</f>
        <v>0.15119953188999413</v>
      </c>
      <c r="E32" s="28">
        <f>E31/D31-1</f>
        <v>-1.1063840601809494</v>
      </c>
      <c r="F32" s="29" t="s">
        <v>53</v>
      </c>
      <c r="G32" s="28">
        <f>G31/E31-1</f>
        <v>-9.0559006211180133</v>
      </c>
      <c r="H32" s="28">
        <f>H31/G31-1</f>
        <v>-0.17822193226973493</v>
      </c>
      <c r="I32" s="28">
        <f>I31/H31-1</f>
        <v>0.61821593533487307</v>
      </c>
      <c r="J32" s="28">
        <f>J31/I31-1</f>
        <v>3.9782356614039838E-2</v>
      </c>
      <c r="K32" s="29" t="s">
        <v>53</v>
      </c>
      <c r="L32" s="28">
        <f>L31/J31-1</f>
        <v>0.17899116410740334</v>
      </c>
      <c r="M32" s="28">
        <f>M31/L31-1</f>
        <v>-0.64106668606977846</v>
      </c>
      <c r="N32" s="28">
        <f>N31/M31-1</f>
        <v>2.4873302250152038</v>
      </c>
      <c r="O32" s="28">
        <f>O31/N31-1</f>
        <v>0.11210254025460675</v>
      </c>
      <c r="P32" s="29" t="s">
        <v>53</v>
      </c>
      <c r="Q32" s="28">
        <f>Q31/O31-1</f>
        <v>8.6036118443404863E-2</v>
      </c>
      <c r="R32" s="28">
        <f>R31/Q31-1</f>
        <v>-0.13776922151365656</v>
      </c>
      <c r="S32" s="28">
        <f>S31/R31-1</f>
        <v>0.18442645827518844</v>
      </c>
      <c r="T32" s="28">
        <f>T31/S31-1</f>
        <v>-0.15033696215655779</v>
      </c>
      <c r="U32" s="29" t="s">
        <v>53</v>
      </c>
      <c r="V32" s="28">
        <f>V31/T31-1</f>
        <v>0.21956292639636144</v>
      </c>
      <c r="W32" s="28">
        <f>W31/V31-1</f>
        <v>7.0631040363843045E-2</v>
      </c>
      <c r="X32" s="28">
        <f>X31/W31-1</f>
        <v>6.4357171682844383E-2</v>
      </c>
      <c r="Y32" s="28">
        <f>Y31/X31-1</f>
        <v>1.7640837341102777E-2</v>
      </c>
      <c r="Z32" s="29" t="s">
        <v>53</v>
      </c>
      <c r="AA32" s="28">
        <f>AA31/Y31-1</f>
        <v>0.16576134915187768</v>
      </c>
      <c r="AB32" s="28">
        <f>AB31/AA31-1</f>
        <v>9.0213295653344128E-2</v>
      </c>
      <c r="AC32" s="28">
        <f>AC31/AB31-1</f>
        <v>-7.0682445881100398E-2</v>
      </c>
      <c r="AD32" s="28">
        <f>AD31/AC31-1</f>
        <v>-9.9020421716752405E-2</v>
      </c>
      <c r="AE32" s="29" t="s">
        <v>53</v>
      </c>
      <c r="AF32" s="28">
        <f>AF31/AD31-1</f>
        <v>0.13374857184977706</v>
      </c>
      <c r="AG32" s="28">
        <f>AG31/AF31-1</f>
        <v>-1.2190364735712444E-3</v>
      </c>
      <c r="AH32" s="229">
        <f>SUM('[11]Income Statement'!B32:AF32)-SUM(B32:AF32)</f>
        <v>0</v>
      </c>
    </row>
    <row r="33" spans="1:59" s="10" customFormat="1" x14ac:dyDescent="0.15">
      <c r="A33" s="46" t="s">
        <v>85</v>
      </c>
      <c r="B33" s="28">
        <v>-0.1198001394376017</v>
      </c>
      <c r="C33" s="28">
        <v>-6.4484344208451949E-2</v>
      </c>
      <c r="D33" s="28">
        <v>-6.0682740510861755E-2</v>
      </c>
      <c r="E33" s="28">
        <v>-1.1284049079754601</v>
      </c>
      <c r="F33" s="28">
        <v>-0.31493984187005841</v>
      </c>
      <c r="G33" s="28">
        <f t="shared" ref="G33:J33" si="30">G31/B31-1</f>
        <v>0.11293729372937289</v>
      </c>
      <c r="H33" s="28">
        <f t="shared" si="30"/>
        <v>-0.18923346986541834</v>
      </c>
      <c r="I33" s="28">
        <f t="shared" si="30"/>
        <v>0.1396767307105824</v>
      </c>
      <c r="J33" s="28">
        <f t="shared" si="30"/>
        <v>-12.139034878165313</v>
      </c>
      <c r="K33" s="28">
        <f>K31/F31-1</f>
        <v>0.53455370225406962</v>
      </c>
      <c r="L33" s="28">
        <f t="shared" ref="L33:O33" si="31">L31/G31-1</f>
        <v>0.63021173121404428</v>
      </c>
      <c r="M33" s="28">
        <f t="shared" si="31"/>
        <v>-0.28796189376443415</v>
      </c>
      <c r="N33" s="28">
        <f t="shared" si="31"/>
        <v>0.53447506912853449</v>
      </c>
      <c r="O33" s="28">
        <f t="shared" si="31"/>
        <v>0.64120271081753444</v>
      </c>
      <c r="P33" s="28">
        <f>P31/K31-1</f>
        <v>0.43908021921965124</v>
      </c>
      <c r="Q33" s="28">
        <f t="shared" ref="Q33:T33" si="32">Q31/L31-1</f>
        <v>0.51180558082002392</v>
      </c>
      <c r="R33" s="28">
        <f t="shared" si="32"/>
        <v>2.6316643016420027</v>
      </c>
      <c r="S33" s="28">
        <f t="shared" si="32"/>
        <v>0.23344765447886995</v>
      </c>
      <c r="T33" s="28">
        <f t="shared" si="32"/>
        <v>-5.7627473015707031E-2</v>
      </c>
      <c r="U33" s="28">
        <f>U31/P31-1</f>
        <v>0.41681663667266555</v>
      </c>
      <c r="V33" s="28">
        <f t="shared" ref="V33:Y33" si="33">V31/Q31-1</f>
        <v>5.823607267476838E-2</v>
      </c>
      <c r="W33" s="28">
        <f t="shared" si="33"/>
        <v>0.31401060563773364</v>
      </c>
      <c r="X33" s="28">
        <f t="shared" si="33"/>
        <v>0.18080493896979122</v>
      </c>
      <c r="Y33" s="28">
        <f t="shared" si="33"/>
        <v>0.41424926507293813</v>
      </c>
      <c r="Z33" s="28">
        <f>Z31/U31-1</f>
        <v>0.23274805781333185</v>
      </c>
      <c r="AA33" s="28">
        <f t="shared" ref="AA33:AG33" si="34">AA31/V31-1</f>
        <v>0.35185901080159177</v>
      </c>
      <c r="AB33" s="28">
        <f t="shared" si="34"/>
        <v>0.37658503430258494</v>
      </c>
      <c r="AC33" s="28">
        <f t="shared" si="34"/>
        <v>0.20193171160024748</v>
      </c>
      <c r="AD33" s="28">
        <f t="shared" si="34"/>
        <v>6.4143543484655341E-2</v>
      </c>
      <c r="AE33" s="28">
        <f>AE31/Z31-1</f>
        <v>0.24246729322134453</v>
      </c>
      <c r="AF33" s="28">
        <f t="shared" si="34"/>
        <v>3.4921275736778279E-2</v>
      </c>
      <c r="AG33" s="28">
        <f t="shared" si="34"/>
        <v>-5.1873910293005809E-2</v>
      </c>
      <c r="AH33" s="229">
        <f>SUM('[11]Income Statement'!B33:AF33)-SUM(B33:AF33)</f>
        <v>0</v>
      </c>
    </row>
    <row r="34" spans="1:59" x14ac:dyDescent="0.15">
      <c r="A34" s="46" t="s">
        <v>49</v>
      </c>
      <c r="B34" s="28">
        <v>7.3197953356234871E-2</v>
      </c>
      <c r="C34" s="28">
        <f t="shared" ref="C34:Q34" si="35">IF(C31/C8&lt;0, "NM",C31/C8)</f>
        <v>8.1337572342369782E-2</v>
      </c>
      <c r="D34" s="28">
        <f t="shared" si="35"/>
        <v>8.5123137363493195E-2</v>
      </c>
      <c r="E34" s="29" t="str">
        <f t="shared" si="35"/>
        <v>NM</v>
      </c>
      <c r="F34" s="28">
        <f t="shared" si="35"/>
        <v>5.6415267825598567E-2</v>
      </c>
      <c r="G34" s="28">
        <f t="shared" si="35"/>
        <v>7.0379383319489258E-2</v>
      </c>
      <c r="H34" s="28">
        <f t="shared" si="35"/>
        <v>5.6901387628383343E-2</v>
      </c>
      <c r="I34" s="28">
        <f t="shared" si="35"/>
        <v>8.9191382382892051E-2</v>
      </c>
      <c r="J34" s="28">
        <f t="shared" si="35"/>
        <v>9.0761157307919893E-2</v>
      </c>
      <c r="K34" s="28">
        <f t="shared" si="35"/>
        <v>7.7120399941090198E-2</v>
      </c>
      <c r="L34" s="28">
        <f t="shared" si="35"/>
        <v>0.11174031464693687</v>
      </c>
      <c r="M34" s="28">
        <f t="shared" si="35"/>
        <v>4.4346954461889757E-2</v>
      </c>
      <c r="N34" s="28">
        <f t="shared" si="35"/>
        <v>0.14275282344057291</v>
      </c>
      <c r="O34" s="28">
        <f t="shared" si="35"/>
        <v>0.15369567749735893</v>
      </c>
      <c r="P34" s="28">
        <f t="shared" si="35"/>
        <v>0.11479350690814391</v>
      </c>
      <c r="Q34" s="28">
        <f t="shared" si="35"/>
        <v>0.15896180402807797</v>
      </c>
      <c r="R34" s="28">
        <f>IF(R31/R8&lt;0, "NM",R31/R8)</f>
        <v>0.13026059389814734</v>
      </c>
      <c r="S34" s="28">
        <f>IF(S31/S8&lt;0, "NM",S31/S8)</f>
        <v>0.14617411521570653</v>
      </c>
      <c r="T34" s="28">
        <f t="shared" ref="T34:V34" si="36">IF(T31/T8&lt;0, "NM",T31/T8)</f>
        <v>0.12202823116934979</v>
      </c>
      <c r="U34" s="28">
        <f t="shared" si="36"/>
        <v>0.13889510136835925</v>
      </c>
      <c r="V34" s="28">
        <f t="shared" si="36"/>
        <v>0.13357816334961484</v>
      </c>
      <c r="W34" s="28">
        <f>IF(W31/W8&lt;0, "NM",W31/W8)</f>
        <v>0.13576540881591317</v>
      </c>
      <c r="X34" s="28">
        <f>IF(X31/X8&lt;0, "NM",X31/X8)</f>
        <v>0.13867679901259441</v>
      </c>
      <c r="Y34" s="28">
        <f t="shared" ref="Y34:AA34" si="37">IF(Y31/Y8&lt;0, "NM",Y31/Y8)</f>
        <v>0.13609445347381793</v>
      </c>
      <c r="Z34" s="28">
        <f t="shared" si="37"/>
        <v>0.13608782729150082</v>
      </c>
      <c r="AA34" s="28">
        <f t="shared" si="37"/>
        <v>0.14838147677608246</v>
      </c>
      <c r="AB34" s="28">
        <f>IF(AB31/AB8&lt;0, "NM",AB31/AB8)</f>
        <v>0.16002874102460271</v>
      </c>
      <c r="AC34" s="28">
        <f>IF(AC31/AC8&lt;0, "NM",AC31/AC8)</f>
        <v>0.14655535305410844</v>
      </c>
      <c r="AD34" s="28">
        <f t="shared" ref="AD34:AF34" si="38">IF(AD31/AD8&lt;0, "NM",AD31/AD8)</f>
        <v>0.13105893377256325</v>
      </c>
      <c r="AE34" s="28">
        <f t="shared" si="38"/>
        <v>0.14641545673306891</v>
      </c>
      <c r="AF34" s="28">
        <f t="shared" si="38"/>
        <v>0.140946193302742</v>
      </c>
      <c r="AG34" s="28">
        <f t="shared" ref="AG34" si="39">IF(AG31/AG8&lt;0, "NM",AG31/AG8)</f>
        <v>0.13705098067204025</v>
      </c>
      <c r="AH34" s="229">
        <f>SUM('[11]Income Statement'!B34:AF34)-SUM(B34:AF34)</f>
        <v>0</v>
      </c>
      <c r="AQ34" s="10"/>
      <c r="AR34" s="10"/>
      <c r="AS34" s="10"/>
      <c r="AT34" s="10"/>
      <c r="AU34" s="10"/>
      <c r="AV34" s="10"/>
      <c r="AW34" s="10"/>
      <c r="AX34" s="10"/>
      <c r="AY34" s="10"/>
      <c r="AZ34" s="10"/>
      <c r="BA34" s="10"/>
      <c r="BB34" s="10"/>
      <c r="BC34" s="10"/>
      <c r="BD34" s="10"/>
      <c r="BE34" s="10"/>
      <c r="BF34" s="10"/>
      <c r="BG34" s="10"/>
    </row>
    <row r="35" spans="1:59" x14ac:dyDescent="0.15">
      <c r="A35" s="50"/>
      <c r="AH35" s="223"/>
      <c r="AQ35" s="10"/>
      <c r="AR35" s="10"/>
      <c r="AS35" s="10"/>
      <c r="AT35" s="10"/>
      <c r="AU35" s="10"/>
      <c r="AV35" s="10"/>
      <c r="AW35" s="10"/>
      <c r="AX35" s="10"/>
      <c r="AY35" s="10"/>
      <c r="AZ35" s="10"/>
      <c r="BA35" s="10"/>
      <c r="BB35" s="10"/>
      <c r="BC35" s="10"/>
      <c r="BD35" s="10"/>
      <c r="BE35" s="10"/>
      <c r="BF35" s="10"/>
      <c r="BG35" s="10"/>
    </row>
    <row r="36" spans="1:59" x14ac:dyDescent="0.15">
      <c r="A36" s="47" t="s">
        <v>13</v>
      </c>
      <c r="B36" s="52">
        <v>615</v>
      </c>
      <c r="C36" s="52">
        <v>1414</v>
      </c>
      <c r="D36" s="52">
        <v>1385</v>
      </c>
      <c r="E36" s="130">
        <f>+F36-SUM(B36:D36)</f>
        <v>1373</v>
      </c>
      <c r="F36" s="52">
        <v>4787</v>
      </c>
      <c r="G36" s="52">
        <v>1260</v>
      </c>
      <c r="H36" s="52">
        <v>1202</v>
      </c>
      <c r="I36" s="52">
        <v>1009</v>
      </c>
      <c r="J36" s="130">
        <f>+K36-SUM(G36:I36)</f>
        <v>281</v>
      </c>
      <c r="K36" s="52">
        <f>'[1]Statements of Income'!$J$17</f>
        <v>3752</v>
      </c>
      <c r="L36" s="52">
        <v>1377</v>
      </c>
      <c r="M36" s="52">
        <v>1359</v>
      </c>
      <c r="N36" s="52">
        <v>716</v>
      </c>
      <c r="O36" s="52">
        <f>+P36-SUM(L36:N36)</f>
        <v>980</v>
      </c>
      <c r="P36" s="52">
        <f>'[2]Statements of Income'!$J$17</f>
        <v>4432</v>
      </c>
      <c r="Q36" s="52">
        <v>434</v>
      </c>
      <c r="R36" s="52">
        <v>1353</v>
      </c>
      <c r="S36" s="52">
        <v>1171</v>
      </c>
      <c r="T36" s="52">
        <f>+U36-SUM(Q36:S36)</f>
        <v>1355</v>
      </c>
      <c r="U36" s="52">
        <f>'[3]Statements of Income'!$J$17</f>
        <v>4313</v>
      </c>
      <c r="V36" s="52">
        <v>1756</v>
      </c>
      <c r="W36" s="52">
        <v>1423</v>
      </c>
      <c r="X36" s="52">
        <v>1504</v>
      </c>
      <c r="Y36" s="52">
        <f>+Z36-SUM(V36:X36)</f>
        <v>1516</v>
      </c>
      <c r="Z36" s="52">
        <f>'[4]Statements of Income'!$J$17</f>
        <v>6199</v>
      </c>
      <c r="AA36" s="52">
        <f>'[5]Statements of Income'!$J$17</f>
        <v>105</v>
      </c>
      <c r="AB36" s="52">
        <f>'[6]Statements of Income'!$F$17</f>
        <v>324</v>
      </c>
      <c r="AC36" s="52">
        <f>'[7]Statements of Income'!$F$17</f>
        <v>409</v>
      </c>
      <c r="AD36" s="52">
        <f>+AE36-SUM(AA36:AC36)</f>
        <v>694</v>
      </c>
      <c r="AE36" s="52">
        <f>'[8]Statements of Income'!$J$17</f>
        <v>1532</v>
      </c>
      <c r="AF36" s="52">
        <f>'[9]Statements of Income'!$J$17</f>
        <v>359</v>
      </c>
      <c r="AG36" s="52">
        <f>'[10]Statements of Income'!$F$17</f>
        <v>36</v>
      </c>
      <c r="AH36" s="275">
        <f>SUM('[11]Income Statement'!B36:AF36)-SUM(B36:AF36)</f>
        <v>0</v>
      </c>
      <c r="AQ36" s="10"/>
      <c r="AR36" s="10"/>
      <c r="AS36" s="10"/>
      <c r="AT36" s="10"/>
      <c r="AU36" s="10"/>
      <c r="AV36" s="10"/>
      <c r="AW36" s="10"/>
      <c r="AX36" s="10"/>
      <c r="AY36" s="10"/>
      <c r="AZ36" s="10"/>
      <c r="BA36" s="10"/>
      <c r="BB36" s="10"/>
      <c r="BC36" s="10"/>
      <c r="BD36" s="10"/>
      <c r="BE36" s="10"/>
      <c r="BF36" s="10"/>
      <c r="BG36" s="10"/>
    </row>
    <row r="37" spans="1:59" x14ac:dyDescent="0.15">
      <c r="A37" s="47" t="s">
        <v>63</v>
      </c>
      <c r="B37" s="24">
        <v>2996</v>
      </c>
      <c r="C37" s="24">
        <v>1526</v>
      </c>
      <c r="D37" s="24">
        <v>-9</v>
      </c>
      <c r="E37" s="130">
        <f>+F37-SUM(B37:D37)</f>
        <v>1249</v>
      </c>
      <c r="F37" s="24">
        <v>5762</v>
      </c>
      <c r="G37" s="24">
        <v>841</v>
      </c>
      <c r="H37" s="24">
        <v>238</v>
      </c>
      <c r="I37" s="24">
        <v>1383</v>
      </c>
      <c r="J37" s="130">
        <f>+K37-SUM(G37:I37)</f>
        <v>433</v>
      </c>
      <c r="K37" s="24">
        <f>SUM('[1]Statements of Income'!$J$18:$J$19)</f>
        <v>2895</v>
      </c>
      <c r="L37" s="24">
        <v>-543</v>
      </c>
      <c r="M37" s="24">
        <v>1342</v>
      </c>
      <c r="N37" s="24">
        <v>-143</v>
      </c>
      <c r="O37" s="24">
        <f>+P37-SUM(L37:N37)</f>
        <v>219</v>
      </c>
      <c r="P37" s="24">
        <f>SUM('[2]Statements of Income'!$J$18:$J$19)</f>
        <v>875</v>
      </c>
      <c r="Q37" s="24">
        <v>-1064</v>
      </c>
      <c r="R37" s="24">
        <v>-305</v>
      </c>
      <c r="S37" s="24">
        <v>-89</v>
      </c>
      <c r="T37" s="24">
        <f>+U37-SUM(Q37:S37)</f>
        <v>670</v>
      </c>
      <c r="U37" s="24">
        <f>ROUND(SUM('[3]Statements of Income'!$J$18:$J$19),0)</f>
        <v>-788</v>
      </c>
      <c r="V37" s="24">
        <v>1535</v>
      </c>
      <c r="W37" s="24">
        <v>-1676</v>
      </c>
      <c r="X37" s="24">
        <v>-181</v>
      </c>
      <c r="Y37" s="24">
        <f>+Z37-SUM(V37:X37)</f>
        <v>-7940</v>
      </c>
      <c r="Z37" s="24">
        <f>ROUND(SUM('[4]Statements of Income'!$J$18:$J$19),0)</f>
        <v>-8262</v>
      </c>
      <c r="AA37" s="24">
        <f>SUM('[5]Statements of Income'!$J$18:$J$19)</f>
        <v>-230</v>
      </c>
      <c r="AB37" s="24">
        <f>SUM('[6]Statements of Income'!$F$18:$F$19)</f>
        <v>-579</v>
      </c>
      <c r="AC37" s="24">
        <f>SUM('[7]Statements of Income'!$F$18:$F$19)</f>
        <v>-2627</v>
      </c>
      <c r="AD37" s="24">
        <f>+AE37-SUM(AA37:AC37)</f>
        <v>1090</v>
      </c>
      <c r="AE37" s="24">
        <f>SUM('[8]Statements of Income'!$J$18:$J$19)</f>
        <v>-2346</v>
      </c>
      <c r="AF37" s="24">
        <f>SUM('[9]Statements of Income'!$J$18:$J$19)</f>
        <v>661</v>
      </c>
      <c r="AG37" s="24">
        <f>SUM('[10]Statements of Income'!$F$18:$F$19)</f>
        <v>-1778</v>
      </c>
      <c r="AH37" s="275">
        <f>SUM('[11]Income Statement'!B37:AF37)-SUM(B37:AF37)</f>
        <v>0</v>
      </c>
      <c r="AQ37" s="10"/>
      <c r="AR37" s="10"/>
      <c r="AS37" s="10"/>
      <c r="AT37" s="10"/>
      <c r="AU37" s="10"/>
      <c r="AV37" s="10"/>
      <c r="AW37" s="10"/>
      <c r="AX37" s="10"/>
      <c r="AY37" s="10"/>
      <c r="AZ37" s="10"/>
      <c r="BA37" s="10"/>
      <c r="BB37" s="10"/>
      <c r="BC37" s="10"/>
      <c r="BD37" s="10"/>
      <c r="BE37" s="10"/>
      <c r="BF37" s="10"/>
      <c r="BG37" s="10"/>
    </row>
    <row r="38" spans="1:59" ht="12.75" customHeight="1" outlineLevel="1" x14ac:dyDescent="0.15">
      <c r="A38" s="47" t="s">
        <v>160</v>
      </c>
      <c r="B38" s="24">
        <v>0</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52">
        <v>-12845</v>
      </c>
      <c r="T38" s="24">
        <f>+U38-SUM(Q38:S38)</f>
        <v>0</v>
      </c>
      <c r="U38" s="24">
        <f>'[3]Statements of Income'!$J$20</f>
        <v>-12845</v>
      </c>
      <c r="V38" s="24">
        <v>0</v>
      </c>
      <c r="W38" s="24">
        <v>0</v>
      </c>
      <c r="X38" s="27">
        <v>0</v>
      </c>
      <c r="Y38" s="24">
        <f>+Z38-SUM(V38:X38)</f>
        <v>0</v>
      </c>
      <c r="Z38" s="27">
        <v>0</v>
      </c>
      <c r="AA38" s="27">
        <v>0</v>
      </c>
      <c r="AB38" s="27">
        <v>0</v>
      </c>
      <c r="AC38" s="27">
        <v>0</v>
      </c>
      <c r="AD38" s="24">
        <f>+AE38-SUM(AA38:AC38)</f>
        <v>0</v>
      </c>
      <c r="AE38" s="27">
        <v>0</v>
      </c>
      <c r="AF38" s="27">
        <v>0</v>
      </c>
      <c r="AG38" s="27">
        <v>0</v>
      </c>
      <c r="AH38" s="275">
        <f>SUM('[11]Income Statement'!B38:AF38)-SUM(B38:AF38)</f>
        <v>0</v>
      </c>
      <c r="AQ38" s="10"/>
      <c r="AR38" s="10"/>
      <c r="AS38" s="10"/>
      <c r="AT38" s="10"/>
      <c r="AU38" s="10"/>
      <c r="AV38" s="10"/>
      <c r="AW38" s="10"/>
      <c r="AX38" s="10"/>
      <c r="AY38" s="10"/>
      <c r="AZ38" s="10"/>
      <c r="BA38" s="10"/>
      <c r="BB38" s="10"/>
      <c r="BC38" s="10"/>
      <c r="BD38" s="10"/>
      <c r="BE38" s="10"/>
      <c r="BF38" s="10"/>
      <c r="BG38" s="10"/>
    </row>
    <row r="39" spans="1:59" ht="6" customHeight="1" x14ac:dyDescent="0.15">
      <c r="A39" s="47"/>
      <c r="AH39" s="223"/>
      <c r="AQ39" s="10"/>
      <c r="AR39" s="10"/>
      <c r="AS39" s="10"/>
      <c r="AT39" s="10"/>
      <c r="AU39" s="10"/>
      <c r="AV39" s="10"/>
      <c r="AW39" s="10"/>
      <c r="AX39" s="10"/>
      <c r="AY39" s="10"/>
      <c r="AZ39" s="10"/>
      <c r="BA39" s="10"/>
      <c r="BB39" s="10"/>
      <c r="BC39" s="10"/>
      <c r="BD39" s="10"/>
      <c r="BE39" s="10"/>
      <c r="BF39" s="10"/>
      <c r="BG39" s="10"/>
    </row>
    <row r="40" spans="1:59" x14ac:dyDescent="0.15">
      <c r="A40" s="51" t="s">
        <v>191</v>
      </c>
      <c r="B40" s="33">
        <f t="shared" ref="B40:AB40" si="40">B31+B37+B36+B38</f>
        <v>18761</v>
      </c>
      <c r="C40" s="33">
        <f t="shared" si="40"/>
        <v>20030</v>
      </c>
      <c r="D40" s="33">
        <f t="shared" si="40"/>
        <v>21050</v>
      </c>
      <c r="E40" s="33">
        <f t="shared" si="40"/>
        <v>529</v>
      </c>
      <c r="F40" s="33">
        <f t="shared" si="40"/>
        <v>60370</v>
      </c>
      <c r="G40" s="33">
        <f t="shared" si="40"/>
        <v>18962</v>
      </c>
      <c r="H40" s="33">
        <f t="shared" si="40"/>
        <v>15296</v>
      </c>
      <c r="I40" s="33">
        <f t="shared" si="40"/>
        <v>24814</v>
      </c>
      <c r="J40" s="33">
        <f t="shared" si="40"/>
        <v>24028</v>
      </c>
      <c r="K40" s="33">
        <f t="shared" si="40"/>
        <v>83100</v>
      </c>
      <c r="L40" s="33">
        <f t="shared" si="40"/>
        <v>28321</v>
      </c>
      <c r="M40" s="33">
        <f>M31+M37+M36+M38</f>
        <v>12567</v>
      </c>
      <c r="N40" s="33">
        <f t="shared" si="40"/>
        <v>34979</v>
      </c>
      <c r="O40" s="33">
        <f t="shared" si="40"/>
        <v>39462</v>
      </c>
      <c r="P40" s="33">
        <f t="shared" si="40"/>
        <v>115329</v>
      </c>
      <c r="Q40" s="33">
        <f t="shared" si="40"/>
        <v>40925</v>
      </c>
      <c r="R40" s="33">
        <f t="shared" si="40"/>
        <v>36878</v>
      </c>
      <c r="S40" s="33">
        <f t="shared" si="40"/>
        <v>30675</v>
      </c>
      <c r="T40" s="33">
        <f t="shared" si="40"/>
        <v>38083</v>
      </c>
      <c r="U40" s="33">
        <f t="shared" si="40"/>
        <v>146561</v>
      </c>
      <c r="V40" s="33">
        <f t="shared" si="40"/>
        <v>47266</v>
      </c>
      <c r="W40" s="33">
        <f t="shared" si="40"/>
        <v>46828</v>
      </c>
      <c r="X40" s="33">
        <f t="shared" si="40"/>
        <v>51434</v>
      </c>
      <c r="Y40" s="33">
        <f t="shared" si="40"/>
        <v>44571</v>
      </c>
      <c r="Z40" s="33">
        <f t="shared" si="40"/>
        <v>190099</v>
      </c>
      <c r="AA40" s="33">
        <f t="shared" si="40"/>
        <v>59323</v>
      </c>
      <c r="AB40" s="33">
        <f t="shared" si="40"/>
        <v>64556</v>
      </c>
      <c r="AC40" s="33">
        <f t="shared" ref="AC40:AF40" si="41">AC31+AC37+AC36+AC38</f>
        <v>58012</v>
      </c>
      <c r="AD40" s="33">
        <f t="shared" si="41"/>
        <v>56050</v>
      </c>
      <c r="AE40" s="33">
        <f t="shared" si="41"/>
        <v>237941</v>
      </c>
      <c r="AF40" s="33">
        <f t="shared" si="41"/>
        <v>62544</v>
      </c>
      <c r="AG40" s="33">
        <f t="shared" ref="AG40" si="42">AG31+AG37+AG36+AG38</f>
        <v>59707</v>
      </c>
      <c r="AH40" s="275">
        <f>SUM('[11]Income Statement'!B40:AF40)-SUM(B40:AF40)</f>
        <v>0</v>
      </c>
      <c r="AQ40" s="10"/>
      <c r="AR40" s="10"/>
      <c r="AS40" s="10"/>
      <c r="AT40" s="10"/>
      <c r="AU40" s="10"/>
      <c r="AV40" s="10"/>
      <c r="AW40" s="10"/>
      <c r="AX40" s="10"/>
      <c r="AY40" s="10"/>
      <c r="AZ40" s="10"/>
      <c r="BA40" s="10"/>
      <c r="BB40" s="10"/>
      <c r="BC40" s="10"/>
      <c r="BD40" s="10"/>
      <c r="BE40" s="10"/>
      <c r="BF40" s="10"/>
      <c r="BG40" s="10"/>
    </row>
    <row r="41" spans="1:59" ht="6" customHeight="1" x14ac:dyDescent="0.15">
      <c r="A41" s="50"/>
      <c r="AH41" s="223"/>
      <c r="AQ41" s="10"/>
      <c r="AR41" s="10"/>
      <c r="AS41" s="10"/>
      <c r="AT41" s="10"/>
      <c r="AU41" s="10"/>
      <c r="AV41" s="10"/>
      <c r="AW41" s="10"/>
      <c r="AX41" s="10"/>
      <c r="AY41" s="10"/>
      <c r="AZ41" s="10"/>
      <c r="BA41" s="10"/>
      <c r="BB41" s="10"/>
      <c r="BC41" s="10"/>
      <c r="BD41" s="10"/>
      <c r="BE41" s="10"/>
      <c r="BF41" s="10"/>
      <c r="BG41" s="10"/>
    </row>
    <row r="42" spans="1:59" x14ac:dyDescent="0.15">
      <c r="A42" s="47" t="s">
        <v>44</v>
      </c>
      <c r="B42" s="25">
        <v>4453</v>
      </c>
      <c r="C42" s="25">
        <v>-5510</v>
      </c>
      <c r="D42" s="25">
        <v>-5739</v>
      </c>
      <c r="E42" s="130">
        <f>+F42-SUM(B42:D42)</f>
        <v>3399</v>
      </c>
      <c r="F42" s="25">
        <v>-3397</v>
      </c>
      <c r="G42" s="25">
        <v>-4200</v>
      </c>
      <c r="H42" s="25">
        <v>-2670</v>
      </c>
      <c r="I42" s="25">
        <v>-5701</v>
      </c>
      <c r="J42" s="130">
        <f>+K42-SUM(G42:I42)</f>
        <v>-2601</v>
      </c>
      <c r="K42" s="25">
        <f>-'[1]Statements of Income'!$J$21</f>
        <v>-15172</v>
      </c>
      <c r="L42" s="25">
        <v>-5855</v>
      </c>
      <c r="M42" s="25">
        <v>-4072</v>
      </c>
      <c r="N42" s="25">
        <v>-8490</v>
      </c>
      <c r="O42" s="25">
        <f>+P42-SUM(L42:N42)</f>
        <v>-7209</v>
      </c>
      <c r="P42" s="25">
        <f>-'[2]Statements of Income'!$J$21</f>
        <v>-25626</v>
      </c>
      <c r="Q42" s="25">
        <v>-8958</v>
      </c>
      <c r="R42" s="25">
        <v>-8865</v>
      </c>
      <c r="S42" s="25">
        <v>-4196</v>
      </c>
      <c r="T42" s="25">
        <f>+U42-SUM(Q42:S42)</f>
        <v>-9831</v>
      </c>
      <c r="U42" s="25">
        <f>-'[3]Statements of Income'!$J$22</f>
        <v>-31850</v>
      </c>
      <c r="V42" s="25">
        <v>-11202</v>
      </c>
      <c r="W42" s="25">
        <v>-11125</v>
      </c>
      <c r="X42" s="25">
        <v>-12447</v>
      </c>
      <c r="Y42" s="25">
        <f>+Z42-SUM(V42:X42)</f>
        <v>-12791</v>
      </c>
      <c r="Z42" s="25">
        <f>-'[4]Statements of Income'!$J$22</f>
        <v>-47565</v>
      </c>
      <c r="AA42" s="25">
        <f>-'[5]Statements of Income'!$J$22</f>
        <v>-8058</v>
      </c>
      <c r="AB42" s="25">
        <f>-'[6]Statements of Income'!$F$22</f>
        <v>-15554</v>
      </c>
      <c r="AC42" s="25">
        <f>-'[7]Statements of Income'!$F$22</f>
        <v>-14161</v>
      </c>
      <c r="AD42" s="25">
        <f>+AE42-SUM(AA42:AC42)</f>
        <v>-15763</v>
      </c>
      <c r="AE42" s="25">
        <f>-'[8]Statements of Income'!$J$22</f>
        <v>-53536</v>
      </c>
      <c r="AF42" s="25">
        <f>-'[9]Statements of Income'!$J$22</f>
        <v>-13753</v>
      </c>
      <c r="AG42" s="25">
        <f>-'[10]Statements of Income'!$F$22</f>
        <v>-13873</v>
      </c>
      <c r="AH42" s="275">
        <f>SUM('[11]Income Statement'!B42:AF42)-SUM(B42:AF42)</f>
        <v>0</v>
      </c>
      <c r="AQ42" s="10"/>
      <c r="AR42" s="10"/>
      <c r="AS42" s="10"/>
      <c r="AT42" s="10"/>
      <c r="AU42" s="10"/>
      <c r="AV42" s="10"/>
      <c r="AW42" s="10"/>
      <c r="AX42" s="10"/>
      <c r="AY42" s="10"/>
      <c r="AZ42" s="10"/>
      <c r="BA42" s="10"/>
      <c r="BB42" s="10"/>
      <c r="BC42" s="10"/>
      <c r="BD42" s="10"/>
      <c r="BE42" s="10"/>
      <c r="BF42" s="10"/>
      <c r="BG42" s="10"/>
    </row>
    <row r="43" spans="1:59" outlineLevel="1" x14ac:dyDescent="0.15">
      <c r="A43" s="47" t="s">
        <v>165</v>
      </c>
      <c r="B43" s="24">
        <v>-56</v>
      </c>
      <c r="C43" s="24">
        <v>-58</v>
      </c>
      <c r="D43" s="24">
        <v>-62</v>
      </c>
      <c r="E43" s="130">
        <f>+F43-SUM(B43:D43)</f>
        <v>-71</v>
      </c>
      <c r="F43" s="44">
        <v>-247</v>
      </c>
      <c r="G43" s="44">
        <v>-67</v>
      </c>
      <c r="H43" s="44">
        <v>-62</v>
      </c>
      <c r="I43" s="44">
        <v>-69</v>
      </c>
      <c r="J43" s="130">
        <f>+K43-SUM(G43:I43)</f>
        <v>-71</v>
      </c>
      <c r="K43" s="44">
        <f>-'[1]Statements of Income'!$J$23</f>
        <v>-269</v>
      </c>
      <c r="L43" s="44">
        <v>-55</v>
      </c>
      <c r="M43" s="44">
        <v>-66</v>
      </c>
      <c r="N43" s="44">
        <v>-71</v>
      </c>
      <c r="O43" s="44">
        <f>+P43-SUM(L43:N43)</f>
        <v>-35</v>
      </c>
      <c r="P43" s="44">
        <f>-'[2]Statements of Income'!$J$23</f>
        <v>-227</v>
      </c>
      <c r="Q43" s="44">
        <v>-36</v>
      </c>
      <c r="R43" s="44">
        <v>8</v>
      </c>
      <c r="S43" s="44">
        <v>28</v>
      </c>
      <c r="T43" s="44">
        <f>+U43-SUM(Q43:S43)</f>
        <v>47</v>
      </c>
      <c r="U43" s="44">
        <f>'[3]Statements of Income'!$J$24</f>
        <v>47</v>
      </c>
      <c r="V43" s="44">
        <v>114</v>
      </c>
      <c r="W43" s="44">
        <v>143</v>
      </c>
      <c r="X43" s="44">
        <v>108</v>
      </c>
      <c r="Y43" s="44">
        <f>+Z43-SUM(V43:X43)</f>
        <v>69</v>
      </c>
      <c r="Z43" s="44">
        <f>'[4]Statements of Income'!$J$24</f>
        <v>434</v>
      </c>
      <c r="AA43" s="44">
        <f>'[5]Statements of Income'!$J$24</f>
        <v>66</v>
      </c>
      <c r="AB43" s="44">
        <f>'[6]Statements of Income'!$F$24</f>
        <v>66</v>
      </c>
      <c r="AC43" s="44">
        <f>'[7]Statements of Income'!$F$24</f>
        <v>25</v>
      </c>
      <c r="AD43" s="44">
        <f>+AE43-SUM(AA43:AC43)</f>
        <v>-4</v>
      </c>
      <c r="AE43" s="44">
        <f>'[8]Statements of Income'!$J$24</f>
        <v>153</v>
      </c>
      <c r="AF43" s="44">
        <f>'[9]Statements of Income'!$J$24</f>
        <v>-28</v>
      </c>
      <c r="AG43" s="44">
        <f>'[10]Statements of Income'!$F$24</f>
        <v>-9</v>
      </c>
      <c r="AH43" s="275">
        <f>SUM('[11]Income Statement'!B43:AF43)-SUM(B43:AF43)</f>
        <v>0</v>
      </c>
      <c r="AQ43" s="10"/>
      <c r="AR43" s="10"/>
      <c r="AS43" s="10"/>
      <c r="AT43" s="10"/>
      <c r="AU43" s="10"/>
      <c r="AV43" s="10"/>
      <c r="AW43" s="10"/>
      <c r="AX43" s="10"/>
      <c r="AY43" s="10"/>
      <c r="AZ43" s="10"/>
      <c r="BA43" s="10"/>
      <c r="BB43" s="10"/>
      <c r="BC43" s="10"/>
      <c r="BD43" s="10"/>
      <c r="BE43" s="10"/>
      <c r="BF43" s="10"/>
      <c r="BG43" s="10"/>
    </row>
    <row r="44" spans="1:59" ht="6" customHeight="1" x14ac:dyDescent="0.15">
      <c r="A44" s="50"/>
      <c r="AH44" s="223"/>
      <c r="AQ44" s="10"/>
      <c r="AR44" s="10"/>
      <c r="AS44" s="10"/>
      <c r="AT44" s="10"/>
      <c r="AU44" s="10"/>
      <c r="AV44" s="10"/>
      <c r="AW44" s="10"/>
      <c r="AX44" s="10"/>
      <c r="AY44" s="10"/>
      <c r="AZ44" s="10"/>
      <c r="BA44" s="10"/>
      <c r="BB44" s="10"/>
      <c r="BC44" s="10"/>
      <c r="BD44" s="10"/>
      <c r="BE44" s="10"/>
      <c r="BF44" s="10"/>
      <c r="BG44" s="10"/>
    </row>
    <row r="45" spans="1:59" x14ac:dyDescent="0.15">
      <c r="A45" s="51" t="s">
        <v>64</v>
      </c>
      <c r="B45" s="33">
        <f t="shared" ref="B45:AB45" si="43">B40+B42+B43</f>
        <v>23158</v>
      </c>
      <c r="C45" s="33">
        <f t="shared" si="43"/>
        <v>14462</v>
      </c>
      <c r="D45" s="33">
        <f t="shared" si="43"/>
        <v>15249</v>
      </c>
      <c r="E45" s="33">
        <f t="shared" si="43"/>
        <v>3857</v>
      </c>
      <c r="F45" s="33">
        <f t="shared" si="43"/>
        <v>56726</v>
      </c>
      <c r="G45" s="33">
        <f t="shared" si="43"/>
        <v>14695</v>
      </c>
      <c r="H45" s="33">
        <f t="shared" si="43"/>
        <v>12564</v>
      </c>
      <c r="I45" s="33">
        <f t="shared" si="43"/>
        <v>19044</v>
      </c>
      <c r="J45" s="33">
        <f t="shared" si="43"/>
        <v>21356</v>
      </c>
      <c r="K45" s="33">
        <f t="shared" si="43"/>
        <v>67659</v>
      </c>
      <c r="L45" s="33">
        <f t="shared" si="43"/>
        <v>22411</v>
      </c>
      <c r="M45" s="33">
        <f t="shared" si="43"/>
        <v>8429</v>
      </c>
      <c r="N45" s="33">
        <f t="shared" si="43"/>
        <v>26418</v>
      </c>
      <c r="O45" s="33">
        <f t="shared" si="43"/>
        <v>32218</v>
      </c>
      <c r="P45" s="33">
        <f t="shared" si="43"/>
        <v>89476</v>
      </c>
      <c r="Q45" s="33">
        <f t="shared" si="43"/>
        <v>31931</v>
      </c>
      <c r="R45" s="33">
        <f t="shared" si="43"/>
        <v>28021</v>
      </c>
      <c r="S45" s="33">
        <f t="shared" si="43"/>
        <v>26507</v>
      </c>
      <c r="T45" s="33">
        <f t="shared" si="43"/>
        <v>28299</v>
      </c>
      <c r="U45" s="33">
        <f t="shared" si="43"/>
        <v>114758</v>
      </c>
      <c r="V45" s="33">
        <f t="shared" si="43"/>
        <v>36178</v>
      </c>
      <c r="W45" s="33">
        <f t="shared" si="43"/>
        <v>35846</v>
      </c>
      <c r="X45" s="33">
        <f t="shared" si="43"/>
        <v>39095</v>
      </c>
      <c r="Y45" s="33">
        <f t="shared" si="43"/>
        <v>31849</v>
      </c>
      <c r="Z45" s="33">
        <f t="shared" si="43"/>
        <v>142968</v>
      </c>
      <c r="AA45" s="33">
        <f t="shared" si="43"/>
        <v>51331</v>
      </c>
      <c r="AB45" s="33">
        <f t="shared" si="43"/>
        <v>49068</v>
      </c>
      <c r="AC45" s="33">
        <f t="shared" ref="AC45:AF45" si="44">AC40+AC42+AC43</f>
        <v>43876</v>
      </c>
      <c r="AD45" s="33">
        <f t="shared" si="44"/>
        <v>40283</v>
      </c>
      <c r="AE45" s="33">
        <f t="shared" si="44"/>
        <v>184558</v>
      </c>
      <c r="AF45" s="33">
        <f t="shared" si="44"/>
        <v>48763</v>
      </c>
      <c r="AG45" s="33">
        <f t="shared" ref="AG45" si="45">AG40+AG42+AG43</f>
        <v>45825</v>
      </c>
      <c r="AH45" s="275">
        <f>SUM('[11]Income Statement'!B45:AF45)-SUM(B45:AF45)</f>
        <v>0</v>
      </c>
      <c r="AQ45" s="10"/>
      <c r="AR45" s="10"/>
      <c r="AS45" s="10"/>
      <c r="AT45" s="10"/>
      <c r="AU45" s="10"/>
      <c r="AV45" s="10"/>
      <c r="AW45" s="10"/>
      <c r="AX45" s="10"/>
      <c r="AY45" s="10"/>
      <c r="AZ45" s="10"/>
      <c r="BA45" s="10"/>
      <c r="BB45" s="10"/>
      <c r="BC45" s="10"/>
      <c r="BD45" s="10"/>
      <c r="BE45" s="10"/>
      <c r="BF45" s="10"/>
      <c r="BG45" s="10"/>
    </row>
    <row r="46" spans="1:59" s="10" customFormat="1" x14ac:dyDescent="0.15">
      <c r="A46" s="46" t="s">
        <v>86</v>
      </c>
      <c r="B46" s="29">
        <f t="shared" ref="B46:AB46" si="46">B45/B8</f>
        <v>0.11188899035139849</v>
      </c>
      <c r="C46" s="29">
        <f t="shared" si="46"/>
        <v>6.8829957356076762E-2</v>
      </c>
      <c r="D46" s="29">
        <f t="shared" si="46"/>
        <v>6.5977570481646222E-2</v>
      </c>
      <c r="E46" s="29">
        <f t="shared" si="46"/>
        <v>1.6419543385993367E-2</v>
      </c>
      <c r="F46" s="29">
        <f t="shared" si="46"/>
        <v>6.4234208118562536E-2</v>
      </c>
      <c r="G46" s="29">
        <f t="shared" si="46"/>
        <v>6.1338297721362588E-2</v>
      </c>
      <c r="H46" s="29">
        <f t="shared" si="46"/>
        <v>5.1595628908993094E-2</v>
      </c>
      <c r="I46" s="29">
        <f t="shared" si="46"/>
        <v>7.5754200610997968E-2</v>
      </c>
      <c r="J46" s="29">
        <f t="shared" si="46"/>
        <v>8.3138683858108325E-2</v>
      </c>
      <c r="K46" s="29">
        <f t="shared" si="46"/>
        <v>6.8249632318080664E-2</v>
      </c>
      <c r="L46" s="29">
        <f t="shared" si="46"/>
        <v>9.1105329484938408E-2</v>
      </c>
      <c r="M46" s="29">
        <f t="shared" si="46"/>
        <v>3.7887743681255706E-2</v>
      </c>
      <c r="N46" s="29">
        <f t="shared" si="46"/>
        <v>0.10961007061713234</v>
      </c>
      <c r="O46" s="29">
        <f t="shared" si="46"/>
        <v>0.12941398577241486</v>
      </c>
      <c r="P46" s="29">
        <f t="shared" si="46"/>
        <v>9.3356454382878734E-2</v>
      </c>
      <c r="Q46" s="29">
        <f t="shared" si="46"/>
        <v>0.12214677811143201</v>
      </c>
      <c r="R46" s="29">
        <f t="shared" si="46"/>
        <v>0.10187083733240264</v>
      </c>
      <c r="S46" s="29">
        <f t="shared" si="46"/>
        <v>9.1301128046155172E-2</v>
      </c>
      <c r="T46" s="29">
        <f t="shared" si="46"/>
        <v>9.5770062506556924E-2</v>
      </c>
      <c r="U46" s="29">
        <f t="shared" si="46"/>
        <v>0.10225315492478346</v>
      </c>
      <c r="V46" s="29">
        <f t="shared" si="46"/>
        <v>0.10989404874729654</v>
      </c>
      <c r="W46" s="29">
        <f t="shared" si="46"/>
        <v>0.10336753349366461</v>
      </c>
      <c r="X46" s="29">
        <f t="shared" si="46"/>
        <v>0.10819120467357224</v>
      </c>
      <c r="Y46" s="29">
        <f t="shared" si="46"/>
        <v>8.4997985070842774E-2</v>
      </c>
      <c r="Z46" s="29">
        <f t="shared" si="46"/>
        <v>0.10124896957885166</v>
      </c>
      <c r="AA46" s="29">
        <f t="shared" si="46"/>
        <v>0.12812154461702813</v>
      </c>
      <c r="AB46" s="29">
        <f t="shared" si="46"/>
        <v>0.12115675216545349</v>
      </c>
      <c r="AC46" s="29">
        <f t="shared" ref="AC46:AF46" si="47">AC45/AC8</f>
        <v>0.10676179097795221</v>
      </c>
      <c r="AD46" s="29">
        <f t="shared" si="47"/>
        <v>9.728830260494907E-2</v>
      </c>
      <c r="AE46" s="29">
        <f t="shared" si="47"/>
        <v>0.11317938415422392</v>
      </c>
      <c r="AF46" s="29">
        <f t="shared" si="47"/>
        <v>0.1117118396726742</v>
      </c>
      <c r="AG46" s="29">
        <f t="shared" ref="AG46" si="48">AG45/AG8</f>
        <v>0.10220444904386149</v>
      </c>
      <c r="AH46" s="229">
        <f>SUM('[11]Income Statement'!B46:AF46)-SUM(B46:AF46)</f>
        <v>0</v>
      </c>
    </row>
    <row r="47" spans="1:59" s="10" customFormat="1" x14ac:dyDescent="0.15">
      <c r="A47" s="46" t="s">
        <v>84</v>
      </c>
      <c r="B47" s="29">
        <v>-3.4754676643506146</v>
      </c>
      <c r="C47" s="29">
        <f>C45/B45-1</f>
        <v>-0.37550738405734518</v>
      </c>
      <c r="D47" s="29">
        <f>D45/C45-1</f>
        <v>5.4418476006084848E-2</v>
      </c>
      <c r="E47" s="29">
        <f>E45/D45-1</f>
        <v>-0.74706538133648115</v>
      </c>
      <c r="F47" s="29" t="s">
        <v>53</v>
      </c>
      <c r="G47" s="29">
        <f>G45/E45-1</f>
        <v>2.8099559242934924</v>
      </c>
      <c r="H47" s="29">
        <f>H45/G45-1</f>
        <v>-0.14501531133038448</v>
      </c>
      <c r="I47" s="29">
        <f>I45/H45-1</f>
        <v>0.51575931232091698</v>
      </c>
      <c r="J47" s="29">
        <f>J45/I45-1</f>
        <v>0.12140306658265065</v>
      </c>
      <c r="K47" s="29" t="s">
        <v>53</v>
      </c>
      <c r="L47" s="29">
        <f>L45/J45-1</f>
        <v>4.9400636823375255E-2</v>
      </c>
      <c r="M47" s="29">
        <f>M45/L45-1</f>
        <v>-0.62389005399134356</v>
      </c>
      <c r="N47" s="29">
        <f>N45/M45-1</f>
        <v>2.1341796179855264</v>
      </c>
      <c r="O47" s="29">
        <f>O45/N45-1</f>
        <v>0.21954727837080767</v>
      </c>
      <c r="P47" s="29" t="s">
        <v>53</v>
      </c>
      <c r="Q47" s="29">
        <f>Q45/O45-1</f>
        <v>-8.908063815258549E-3</v>
      </c>
      <c r="R47" s="29">
        <f>R45/Q45-1</f>
        <v>-0.122451536124769</v>
      </c>
      <c r="S47" s="29">
        <f>S45/R45-1</f>
        <v>-5.403090539238431E-2</v>
      </c>
      <c r="T47" s="29">
        <f>T45/S45-1</f>
        <v>6.7604783642056798E-2</v>
      </c>
      <c r="U47" s="29" t="s">
        <v>53</v>
      </c>
      <c r="V47" s="29">
        <f>V45/T45-1</f>
        <v>0.27841973214601223</v>
      </c>
      <c r="W47" s="29">
        <f>W45/V45-1</f>
        <v>-9.1768478080601623E-3</v>
      </c>
      <c r="X47" s="29">
        <f>X45/W45-1</f>
        <v>9.0637728058918787E-2</v>
      </c>
      <c r="Y47" s="29">
        <f>Y45/X45-1</f>
        <v>-0.18534339429594582</v>
      </c>
      <c r="Z47" s="29" t="s">
        <v>53</v>
      </c>
      <c r="AA47" s="29">
        <f>AA45/Y45-1</f>
        <v>0.61169895444126965</v>
      </c>
      <c r="AB47" s="29">
        <f>AB45/AA45-1</f>
        <v>-4.4086419512575192E-2</v>
      </c>
      <c r="AC47" s="29">
        <f>AC45/AB45-1</f>
        <v>-0.10581234205592238</v>
      </c>
      <c r="AD47" s="29">
        <f>AD45/AC45-1</f>
        <v>-8.1889871455921193E-2</v>
      </c>
      <c r="AE47" s="29" t="s">
        <v>53</v>
      </c>
      <c r="AF47" s="29">
        <f>AF45/AD45-1</f>
        <v>0.2105106372415162</v>
      </c>
      <c r="AG47" s="29">
        <f>AG45/AF45-1</f>
        <v>-6.0250599840042662E-2</v>
      </c>
      <c r="AH47" s="229">
        <f>SUM('[11]Income Statement'!B47:AF47)-SUM(B47:AF47)</f>
        <v>0</v>
      </c>
    </row>
    <row r="48" spans="1:59" s="10" customFormat="1" ht="14" thickBot="1" x14ac:dyDescent="0.2">
      <c r="A48" s="80" t="s">
        <v>85</v>
      </c>
      <c r="B48" s="62">
        <v>0.37943769359066004</v>
      </c>
      <c r="C48" s="62">
        <v>-0.2903130827362842</v>
      </c>
      <c r="D48" s="62">
        <v>-0.27650993974474547</v>
      </c>
      <c r="E48" s="62">
        <v>-1.4122928915018707</v>
      </c>
      <c r="F48" s="62">
        <v>0.16032564228440527</v>
      </c>
      <c r="G48" s="62">
        <f t="shared" ref="G48:Q48" si="49">G45/B45-1</f>
        <v>-0.3654460661542448</v>
      </c>
      <c r="H48" s="62">
        <f t="shared" si="49"/>
        <v>-0.13124049232471302</v>
      </c>
      <c r="I48" s="62">
        <f t="shared" si="49"/>
        <v>0.24886877828054299</v>
      </c>
      <c r="J48" s="62">
        <f t="shared" si="49"/>
        <v>4.5369458128078817</v>
      </c>
      <c r="K48" s="62">
        <f t="shared" si="49"/>
        <v>0.19273349081549918</v>
      </c>
      <c r="L48" s="62">
        <f t="shared" si="49"/>
        <v>0.52507655665192243</v>
      </c>
      <c r="M48" s="62">
        <f t="shared" si="49"/>
        <v>-0.32911493155046168</v>
      </c>
      <c r="N48" s="62">
        <f t="shared" si="49"/>
        <v>0.38720856962822947</v>
      </c>
      <c r="O48" s="62">
        <f t="shared" si="49"/>
        <v>0.50861584566398199</v>
      </c>
      <c r="P48" s="62">
        <f t="shared" si="49"/>
        <v>0.32245525355089488</v>
      </c>
      <c r="Q48" s="62">
        <f t="shared" si="49"/>
        <v>0.42479139708179026</v>
      </c>
      <c r="R48" s="62">
        <f>R45/M45-1</f>
        <v>2.3243563886582037</v>
      </c>
      <c r="S48" s="62">
        <f>S45/N45-1</f>
        <v>3.36891513362092E-3</v>
      </c>
      <c r="T48" s="62">
        <f t="shared" ref="T48:V48" si="50">T45/O45-1</f>
        <v>-0.12164007697560375</v>
      </c>
      <c r="U48" s="62">
        <f t="shared" si="50"/>
        <v>0.2825562161920514</v>
      </c>
      <c r="V48" s="62">
        <f t="shared" si="50"/>
        <v>0.13300554320253055</v>
      </c>
      <c r="W48" s="62">
        <f>W45/R45-1</f>
        <v>0.27925484458085004</v>
      </c>
      <c r="X48" s="62">
        <f>X45/S45-1</f>
        <v>0.47489342437846616</v>
      </c>
      <c r="Y48" s="62">
        <f t="shared" ref="Y48" si="51">Y45/T45-1</f>
        <v>0.12544612883847495</v>
      </c>
      <c r="Z48" s="62">
        <f>Z45/U45-1</f>
        <v>0.2458216420641699</v>
      </c>
      <c r="AA48" s="62">
        <f t="shared" ref="AA48" si="52">AA45/V45-1</f>
        <v>0.41884570733594995</v>
      </c>
      <c r="AB48" s="62">
        <f>AB45/W45-1</f>
        <v>0.36885566032472239</v>
      </c>
      <c r="AC48" s="62">
        <f>AC45/X45-1</f>
        <v>0.12229185317815583</v>
      </c>
      <c r="AD48" s="62">
        <f t="shared" ref="AD48" si="53">AD45/Y45-1</f>
        <v>0.26481208201199413</v>
      </c>
      <c r="AE48" s="62">
        <f>AE45/Z45-1</f>
        <v>0.29090425829556255</v>
      </c>
      <c r="AF48" s="62">
        <f t="shared" ref="AF48:AG48" si="54">AF45/AA45-1</f>
        <v>-5.0028248037248479E-2</v>
      </c>
      <c r="AG48" s="62">
        <f t="shared" si="54"/>
        <v>-6.6091954022988508E-2</v>
      </c>
      <c r="AH48" s="229">
        <f>SUM('[11]Income Statement'!B48:AF48)-SUM(B48:AF48)</f>
        <v>0</v>
      </c>
    </row>
    <row r="49" spans="1:59" s="10" customFormat="1" ht="15" x14ac:dyDescent="0.15">
      <c r="A49" s="47" t="s">
        <v>213</v>
      </c>
      <c r="AH49" s="223"/>
    </row>
    <row r="50" spans="1:59" s="10" customFormat="1" x14ac:dyDescent="0.15">
      <c r="A50" s="255" t="s">
        <v>66</v>
      </c>
      <c r="B50" s="256">
        <f t="shared" ref="B50:AB50" si="55">B45/B53</f>
        <v>0.13445973407652559</v>
      </c>
      <c r="C50" s="256">
        <f t="shared" si="55"/>
        <v>8.3808530366249426E-2</v>
      </c>
      <c r="D50" s="256">
        <f t="shared" si="55"/>
        <v>8.8505180069067588E-2</v>
      </c>
      <c r="E50" s="256">
        <f t="shared" si="55"/>
        <v>2.243224380597883E-2</v>
      </c>
      <c r="F50" s="256">
        <f t="shared" si="55"/>
        <v>0.32931409828452002</v>
      </c>
      <c r="G50" s="256">
        <f t="shared" si="55"/>
        <v>8.5498679265042996E-2</v>
      </c>
      <c r="H50" s="256">
        <f t="shared" si="55"/>
        <v>7.2937105968953544E-2</v>
      </c>
      <c r="I50" s="256">
        <f t="shared" si="55"/>
        <v>0.11097126075099643</v>
      </c>
      <c r="J50" s="256">
        <f t="shared" si="55"/>
        <v>0.12469419094162915</v>
      </c>
      <c r="K50" s="256">
        <f t="shared" si="55"/>
        <v>0.3939365709661079</v>
      </c>
      <c r="L50" s="256">
        <f t="shared" si="55"/>
        <v>0.130290451606902</v>
      </c>
      <c r="M50" s="256">
        <f t="shared" si="55"/>
        <v>4.8883321444519838E-2</v>
      </c>
      <c r="N50" s="256">
        <f t="shared" si="55"/>
        <v>0.15391786153335238</v>
      </c>
      <c r="O50" s="256">
        <f t="shared" si="55"/>
        <v>0.19017767546189718</v>
      </c>
      <c r="P50" s="256">
        <f t="shared" si="55"/>
        <v>0.52213086533579978</v>
      </c>
      <c r="Q50" s="256">
        <f t="shared" si="55"/>
        <v>0.18930936556965927</v>
      </c>
      <c r="R50" s="256">
        <f t="shared" si="55"/>
        <v>0.1669357481159334</v>
      </c>
      <c r="S50" s="256">
        <f t="shared" si="55"/>
        <v>0.15849013734177594</v>
      </c>
      <c r="T50" s="256">
        <f t="shared" si="55"/>
        <v>0.1692179819893084</v>
      </c>
      <c r="U50" s="256">
        <f t="shared" si="55"/>
        <v>0.68411765407222824</v>
      </c>
      <c r="V50" s="256">
        <f t="shared" si="55"/>
        <v>0.21636265773578137</v>
      </c>
      <c r="W50" s="256">
        <f t="shared" si="55"/>
        <v>0.21462485854733351</v>
      </c>
      <c r="X50" s="256">
        <f t="shared" si="55"/>
        <v>0.23524420990558942</v>
      </c>
      <c r="Y50" s="256">
        <f t="shared" si="55"/>
        <v>0.19162364776241531</v>
      </c>
      <c r="Z50" s="256">
        <f t="shared" si="55"/>
        <v>0.85788349374744977</v>
      </c>
      <c r="AA50" s="256">
        <f t="shared" si="55"/>
        <v>0.30700726085240254</v>
      </c>
      <c r="AB50" s="256">
        <f t="shared" si="55"/>
        <v>0.29421323084118312</v>
      </c>
      <c r="AC50" s="256">
        <f t="shared" ref="AC50:AF50" si="56">AC45/AC53</f>
        <v>0.26405873856523832</v>
      </c>
      <c r="AD50" s="256">
        <f t="shared" si="56"/>
        <v>0.24376414489210549</v>
      </c>
      <c r="AE50" s="256">
        <f t="shared" si="56"/>
        <v>1.1095159942527699</v>
      </c>
      <c r="AF50" s="256">
        <f t="shared" si="56"/>
        <v>0.29538653517645774</v>
      </c>
      <c r="AG50" s="256">
        <f t="shared" ref="AG50" si="57">AG45/AG53</f>
        <v>0.28149071833114242</v>
      </c>
      <c r="AH50" s="275">
        <f>SUM('[11]Income Statement'!B50:AF50)-SUM(B50:AF50)</f>
        <v>0</v>
      </c>
    </row>
    <row r="51" spans="1:59" x14ac:dyDescent="0.15">
      <c r="A51" s="255" t="s">
        <v>65</v>
      </c>
      <c r="B51" s="256">
        <f t="shared" ref="B51:AB51" si="58">B45/B54</f>
        <v>0.13119564909497777</v>
      </c>
      <c r="C51" s="256">
        <f t="shared" si="58"/>
        <v>8.230607250583348E-2</v>
      </c>
      <c r="D51" s="256">
        <f t="shared" si="58"/>
        <v>8.6622358554873893E-2</v>
      </c>
      <c r="E51" s="256">
        <f t="shared" si="58"/>
        <v>2.2089606945884185E-2</v>
      </c>
      <c r="F51" s="256">
        <f t="shared" si="58"/>
        <v>0.32386172247437983</v>
      </c>
      <c r="G51" s="256">
        <f t="shared" si="58"/>
        <v>8.437304426211624E-2</v>
      </c>
      <c r="H51" s="256">
        <f t="shared" si="58"/>
        <v>7.2409560090598402E-2</v>
      </c>
      <c r="I51" s="256">
        <f t="shared" si="58"/>
        <v>0.1097655867248425</v>
      </c>
      <c r="J51" s="256">
        <f t="shared" si="58"/>
        <v>0.12310068940075165</v>
      </c>
      <c r="K51" s="256">
        <f t="shared" si="58"/>
        <v>0.38959939653236442</v>
      </c>
      <c r="L51" s="256">
        <f t="shared" si="58"/>
        <v>0.12909339124323888</v>
      </c>
      <c r="M51" s="256">
        <f t="shared" si="58"/>
        <v>4.8725923185423264E-2</v>
      </c>
      <c r="N51" s="256">
        <f t="shared" si="58"/>
        <v>0.15298818624044475</v>
      </c>
      <c r="O51" s="256">
        <f t="shared" si="58"/>
        <v>0.18747745126563864</v>
      </c>
      <c r="P51" s="256">
        <f t="shared" si="58"/>
        <v>0.51787285271102468</v>
      </c>
      <c r="Q51" s="256">
        <f t="shared" si="58"/>
        <v>0.18608676395169937</v>
      </c>
      <c r="R51" s="256">
        <f t="shared" si="58"/>
        <v>0.16296111056185264</v>
      </c>
      <c r="S51" s="256">
        <f t="shared" si="58"/>
        <v>0.15453363571174553</v>
      </c>
      <c r="T51" s="256">
        <f t="shared" si="58"/>
        <v>0.16662054509806232</v>
      </c>
      <c r="U51" s="256">
        <f t="shared" si="58"/>
        <v>0.67022929296468914</v>
      </c>
      <c r="V51" s="256">
        <f t="shared" si="58"/>
        <v>0.21347227303303162</v>
      </c>
      <c r="W51" s="256">
        <f t="shared" si="58"/>
        <v>0.21191465714471514</v>
      </c>
      <c r="X51" s="256">
        <f t="shared" si="58"/>
        <v>0.23148340033986819</v>
      </c>
      <c r="Y51" s="256">
        <f t="shared" si="58"/>
        <v>0.18825845120790652</v>
      </c>
      <c r="Z51" s="256">
        <f t="shared" si="58"/>
        <v>0.84511937766375633</v>
      </c>
      <c r="AA51" s="256">
        <f t="shared" si="58"/>
        <v>0.30255751309996048</v>
      </c>
      <c r="AB51" s="256">
        <f t="shared" si="58"/>
        <v>0.29130501893826954</v>
      </c>
      <c r="AC51" s="256">
        <f t="shared" ref="AC51:AF51" si="59">AC45/AC54</f>
        <v>0.26165259291064358</v>
      </c>
      <c r="AD51" s="256">
        <f t="shared" si="59"/>
        <v>0.24138757557780693</v>
      </c>
      <c r="AE51" s="256">
        <f t="shared" si="59"/>
        <v>1.0975077455533686</v>
      </c>
      <c r="AF51" s="256">
        <f t="shared" si="59"/>
        <v>0.29247212509071718</v>
      </c>
      <c r="AG51" s="256">
        <f t="shared" ref="AG51" si="60">AG45/AG54</f>
        <v>0.2794854905404911</v>
      </c>
      <c r="AH51" s="275">
        <f>SUM('[11]Income Statement'!B51:AF51)-SUM(B51:AF51)</f>
        <v>0</v>
      </c>
      <c r="AI51" s="74"/>
      <c r="AJ51" s="74"/>
      <c r="AQ51" s="10"/>
      <c r="AR51" s="10"/>
      <c r="AS51" s="10"/>
      <c r="AT51" s="10"/>
      <c r="AU51" s="10"/>
      <c r="AV51" s="10"/>
      <c r="AW51" s="10"/>
      <c r="AX51" s="10"/>
      <c r="AY51" s="10"/>
      <c r="AZ51" s="10"/>
      <c r="BA51" s="10"/>
      <c r="BB51" s="10"/>
      <c r="BC51" s="10"/>
      <c r="BD51" s="10"/>
      <c r="BE51" s="10"/>
      <c r="BF51" s="10"/>
      <c r="BG51" s="10"/>
    </row>
    <row r="52" spans="1:59" ht="15" x14ac:dyDescent="0.15">
      <c r="A52" s="50" t="s">
        <v>212</v>
      </c>
      <c r="AH52" s="223"/>
      <c r="AJ52" s="198"/>
      <c r="AQ52" s="10"/>
      <c r="AR52" s="10"/>
      <c r="AS52" s="10"/>
      <c r="AT52" s="10"/>
      <c r="AU52" s="10"/>
      <c r="AV52" s="10"/>
      <c r="AW52" s="10"/>
      <c r="AX52" s="10"/>
      <c r="AY52" s="10"/>
      <c r="AZ52" s="10"/>
      <c r="BA52" s="10"/>
      <c r="BB52" s="10"/>
      <c r="BC52" s="10"/>
      <c r="BD52" s="10"/>
      <c r="BE52" s="10"/>
      <c r="BF52" s="10"/>
      <c r="BG52" s="10"/>
    </row>
    <row r="53" spans="1:59" x14ac:dyDescent="0.15">
      <c r="A53" s="47" t="s">
        <v>66</v>
      </c>
      <c r="B53" s="26">
        <f>(34446*5)</f>
        <v>172230</v>
      </c>
      <c r="C53" s="26">
        <f>(34512*5)</f>
        <v>172560</v>
      </c>
      <c r="D53" s="26">
        <f>(34459*5)</f>
        <v>172295</v>
      </c>
      <c r="E53" s="26">
        <f>ROUND(([12]EPS!B15*5)/1000,0)</f>
        <v>171940</v>
      </c>
      <c r="F53" s="26">
        <f>ROUND(([12]EPS!C15*5)/1000,0)</f>
        <v>172255</v>
      </c>
      <c r="G53" s="26">
        <v>171874</v>
      </c>
      <c r="H53" s="26">
        <v>172258</v>
      </c>
      <c r="I53" s="26">
        <v>171612</v>
      </c>
      <c r="J53" s="26">
        <f>ROUND(([13]EPS!B15*5)/1000,0)</f>
        <v>171267</v>
      </c>
      <c r="K53" s="26">
        <f>ROUND(([13]EPS!C15*5)/1000,0)</f>
        <v>171751</v>
      </c>
      <c r="L53" s="26">
        <v>172008</v>
      </c>
      <c r="M53" s="26">
        <v>172431</v>
      </c>
      <c r="N53" s="26">
        <v>171637</v>
      </c>
      <c r="O53" s="26">
        <f>ROUND(([14]EPS!$B$15*5)/1000,0)</f>
        <v>169410</v>
      </c>
      <c r="P53" s="26">
        <f>ROUND(([14]EPS!$C$15*5)/1000,0)</f>
        <v>171367</v>
      </c>
      <c r="Q53" s="26">
        <v>168671</v>
      </c>
      <c r="R53" s="26">
        <v>167855</v>
      </c>
      <c r="S53" s="26">
        <v>167247</v>
      </c>
      <c r="T53" s="26">
        <f>ROUND(([15]EPS!$B$15*5)/1000,0)</f>
        <v>167234</v>
      </c>
      <c r="U53" s="26">
        <f>ROUND(([15]EPS!$C$15*5)/1000,0)</f>
        <v>167746</v>
      </c>
      <c r="V53" s="26">
        <f>ROUND(([16]EPS!$B$15*5)/1000,0)</f>
        <v>167210</v>
      </c>
      <c r="W53" s="26">
        <f>ROUND(([17]EPS!$B$15*5)/1000,0)</f>
        <v>167017</v>
      </c>
      <c r="X53" s="26">
        <f>ROUND(([18]EPS!$B$15*5)/1000,0)</f>
        <v>166189</v>
      </c>
      <c r="Y53" s="26">
        <f>ROUND(([19]EPS!$B$15*5)/1000,0)</f>
        <v>166206</v>
      </c>
      <c r="Z53" s="26">
        <f>ROUND(([19]EPS!$C$15*5)/1000,0)</f>
        <v>166652</v>
      </c>
      <c r="AA53" s="26">
        <f>ROUND(([20]EPS!$C$9*5)/1000,0)</f>
        <v>167198</v>
      </c>
      <c r="AB53" s="26">
        <f>ROUND(([21]EPS!$B$9*5)/1000,0)</f>
        <v>166777</v>
      </c>
      <c r="AC53" s="26">
        <f>ROUND([22]EPS!$C$9/1000,0)</f>
        <v>166160</v>
      </c>
      <c r="AD53" s="26">
        <f>ROUND([23]EPS!$C$9/1000,0)</f>
        <v>165254</v>
      </c>
      <c r="AE53" s="26">
        <f>ROUND([23]EPS!$D$9/1000,0)</f>
        <v>166341</v>
      </c>
      <c r="AF53" s="26">
        <f>ROUND([24]EPS!$C$9/1000,0)</f>
        <v>165082</v>
      </c>
      <c r="AG53" s="26">
        <f>ROUND([25]EPS!$C$9/1000,0)</f>
        <v>162794</v>
      </c>
      <c r="AH53" s="230"/>
      <c r="AI53" s="130"/>
      <c r="AQ53" s="10"/>
      <c r="AR53" s="10"/>
      <c r="AS53" s="10"/>
      <c r="AT53" s="10"/>
      <c r="AU53" s="10"/>
      <c r="AV53" s="10"/>
      <c r="AW53" s="10"/>
      <c r="AX53" s="10"/>
      <c r="AY53" s="10"/>
      <c r="AZ53" s="10"/>
      <c r="BA53" s="10"/>
      <c r="BB53" s="10"/>
      <c r="BC53" s="10"/>
      <c r="BD53" s="10"/>
      <c r="BE53" s="10"/>
      <c r="BF53" s="10"/>
      <c r="BG53" s="10"/>
    </row>
    <row r="54" spans="1:59" ht="14" thickBot="1" x14ac:dyDescent="0.2">
      <c r="A54" s="257" t="s">
        <v>65</v>
      </c>
      <c r="B54" s="258">
        <f>(35303*5)</f>
        <v>176515</v>
      </c>
      <c r="C54" s="258">
        <f>(35142*5)</f>
        <v>175710</v>
      </c>
      <c r="D54" s="258">
        <f>(35208*5)</f>
        <v>176040</v>
      </c>
      <c r="E54" s="258">
        <f>ROUND(([12]EPS!B16*5)/1000,0)</f>
        <v>174607</v>
      </c>
      <c r="F54" s="258">
        <f>ROUND(([12]EPS!C16*5)/1000,0)</f>
        <v>175155</v>
      </c>
      <c r="G54" s="258">
        <v>174167</v>
      </c>
      <c r="H54" s="258">
        <v>173513</v>
      </c>
      <c r="I54" s="258">
        <v>173497</v>
      </c>
      <c r="J54" s="258">
        <f>ROUND(([13]EPS!B16*5)/1000,0)</f>
        <v>173484</v>
      </c>
      <c r="K54" s="258">
        <f>ROUND(([13]EPS!C16*5)/1000,0)</f>
        <v>173663</v>
      </c>
      <c r="L54" s="258">
        <v>173603</v>
      </c>
      <c r="M54" s="258">
        <v>172988</v>
      </c>
      <c r="N54" s="258">
        <v>172680</v>
      </c>
      <c r="O54" s="258">
        <f>ROUND(([14]EPS!$B$16*5)/1000,0)</f>
        <v>171850</v>
      </c>
      <c r="P54" s="258">
        <f>ROUND(([14]EPS!$C$16*5)/1000,0)</f>
        <v>172776</v>
      </c>
      <c r="Q54" s="258">
        <v>171592</v>
      </c>
      <c r="R54" s="258">
        <v>171949</v>
      </c>
      <c r="S54" s="258">
        <v>171529</v>
      </c>
      <c r="T54" s="258">
        <f>ROUND(([15]EPS!$B$16*5)/1000,0)</f>
        <v>169841</v>
      </c>
      <c r="U54" s="258">
        <f>ROUND(([15]EPS!$C$16*5)/1000,0)</f>
        <v>171222</v>
      </c>
      <c r="V54" s="258">
        <f>ROUND(([16]EPS!$B$16*5)/1000,0)</f>
        <v>169474</v>
      </c>
      <c r="W54" s="258">
        <f>ROUND(([17]EPS!$B$16*5)/1000,0)</f>
        <v>169153</v>
      </c>
      <c r="X54" s="258">
        <f>ROUND(([18]EPS!$B$16*5)/1000,0)</f>
        <v>168889</v>
      </c>
      <c r="Y54" s="258">
        <f>ROUND(([19]EPS!$B$16*5)/1000,0)</f>
        <v>169177</v>
      </c>
      <c r="Z54" s="258">
        <f>ROUND(([19]EPS!$C$16*5)/1000,0)</f>
        <v>169169</v>
      </c>
      <c r="AA54" s="258">
        <f>ROUND(([20]EPS!$C$10*5)/1000,0)</f>
        <v>169657</v>
      </c>
      <c r="AB54" s="258">
        <f>ROUND(([21]EPS!$B$10*5)/1000,0)</f>
        <v>168442</v>
      </c>
      <c r="AC54" s="258">
        <f>ROUND([22]EPS!$C$10/1000,0)</f>
        <v>167688</v>
      </c>
      <c r="AD54" s="258">
        <f>ROUND([23]EPS!$C$10/1000,0)</f>
        <v>166881</v>
      </c>
      <c r="AE54" s="258">
        <f>ROUND([23]EPS!$D$10/1000,0)</f>
        <v>168161</v>
      </c>
      <c r="AF54" s="258">
        <f>ROUND([24]EPS!$C$10/1000,0)</f>
        <v>166727</v>
      </c>
      <c r="AG54" s="258">
        <f>ROUND([25]EPS!$C$10/1000,0)</f>
        <v>163962</v>
      </c>
      <c r="AH54" s="230"/>
      <c r="AQ54" s="10"/>
      <c r="AR54" s="10"/>
      <c r="AS54" s="10"/>
      <c r="AT54" s="10"/>
      <c r="AU54" s="10"/>
      <c r="AV54" s="10"/>
      <c r="AW54" s="10"/>
      <c r="AX54" s="10"/>
      <c r="AY54" s="10"/>
      <c r="AZ54" s="10"/>
      <c r="BA54" s="10"/>
      <c r="BB54" s="10"/>
      <c r="BC54" s="10"/>
      <c r="BD54" s="10"/>
      <c r="BE54" s="10"/>
      <c r="BF54" s="10"/>
      <c r="BG54" s="10"/>
    </row>
    <row r="55" spans="1:59" x14ac:dyDescent="0.15">
      <c r="A55" s="83"/>
    </row>
    <row r="56" spans="1:59" ht="11.25" customHeight="1" x14ac:dyDescent="0.15">
      <c r="A56" s="100" t="s">
        <v>151</v>
      </c>
      <c r="J56" s="180"/>
    </row>
    <row r="57" spans="1:59" x14ac:dyDescent="0.15">
      <c r="A57" s="100" t="s">
        <v>215</v>
      </c>
    </row>
    <row r="58" spans="1:59" x14ac:dyDescent="0.15">
      <c r="B58" s="68"/>
      <c r="C58" s="68"/>
      <c r="D58" s="68"/>
      <c r="E58" s="68"/>
      <c r="F58" s="68"/>
      <c r="G58" s="253"/>
      <c r="H58" s="253"/>
      <c r="I58" s="253"/>
      <c r="J58" s="253"/>
      <c r="K58" s="68"/>
      <c r="L58" s="253"/>
      <c r="M58" s="253"/>
      <c r="N58" s="253"/>
      <c r="O58" s="253"/>
      <c r="P58" s="254"/>
      <c r="Q58" s="253"/>
      <c r="R58" s="253"/>
      <c r="S58" s="253"/>
      <c r="T58" s="253"/>
      <c r="U58" s="254"/>
      <c r="V58" s="253"/>
      <c r="W58" s="253"/>
      <c r="X58" s="253"/>
      <c r="Y58" s="253"/>
      <c r="Z58" s="254"/>
      <c r="AA58" s="253"/>
      <c r="AB58" s="253"/>
      <c r="AC58" s="253"/>
      <c r="AD58" s="253"/>
      <c r="AE58" s="253"/>
      <c r="AF58" s="253"/>
      <c r="AG58" s="253"/>
    </row>
    <row r="59" spans="1:59" x14ac:dyDescent="0.15">
      <c r="B59" s="29"/>
      <c r="C59" s="29"/>
      <c r="D59" s="29"/>
      <c r="E59" s="29"/>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row>
    <row r="60" spans="1:59" x14ac:dyDescent="0.15">
      <c r="A60" s="237"/>
      <c r="B60" s="252"/>
      <c r="C60" s="252"/>
      <c r="D60" s="252"/>
      <c r="E60" s="252"/>
      <c r="F60" s="252"/>
      <c r="G60" s="252"/>
      <c r="H60" s="252"/>
      <c r="I60" s="252"/>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2"/>
      <c r="AG60" s="252"/>
    </row>
    <row r="61" spans="1:59" x14ac:dyDescent="0.15">
      <c r="A61" s="237"/>
      <c r="B61" s="252"/>
      <c r="C61" s="252"/>
      <c r="D61" s="252"/>
      <c r="E61" s="252"/>
      <c r="F61" s="252"/>
      <c r="G61" s="252"/>
      <c r="H61" s="252"/>
      <c r="I61" s="252"/>
      <c r="J61" s="252"/>
      <c r="K61" s="252"/>
      <c r="L61" s="252"/>
      <c r="M61" s="252"/>
      <c r="N61" s="252"/>
      <c r="O61" s="252"/>
      <c r="P61" s="252"/>
      <c r="Q61" s="252"/>
      <c r="R61" s="252"/>
      <c r="S61" s="252"/>
      <c r="T61" s="252"/>
      <c r="U61" s="252"/>
      <c r="V61" s="252"/>
      <c r="W61" s="252"/>
      <c r="X61" s="252"/>
      <c r="Y61" s="252"/>
      <c r="Z61" s="252"/>
      <c r="AA61" s="252"/>
      <c r="AB61" s="252"/>
      <c r="AC61" s="252"/>
      <c r="AD61" s="252"/>
      <c r="AE61" s="252"/>
      <c r="AF61" s="252"/>
      <c r="AG61" s="252"/>
    </row>
    <row r="62" spans="1:59" x14ac:dyDescent="0.15">
      <c r="A62" s="237"/>
      <c r="B62" s="252"/>
      <c r="C62" s="252"/>
      <c r="D62" s="252"/>
      <c r="E62" s="252"/>
      <c r="F62" s="252"/>
      <c r="G62" s="252"/>
      <c r="H62" s="252"/>
      <c r="I62" s="252"/>
      <c r="J62" s="252"/>
      <c r="K62" s="252"/>
      <c r="L62" s="252"/>
      <c r="M62" s="252"/>
      <c r="N62" s="252"/>
      <c r="O62" s="252"/>
      <c r="P62" s="252"/>
      <c r="Q62" s="252"/>
      <c r="R62" s="252"/>
      <c r="S62" s="252"/>
      <c r="T62" s="252"/>
      <c r="U62" s="252"/>
      <c r="V62" s="252"/>
      <c r="W62" s="252"/>
      <c r="X62" s="252"/>
      <c r="Y62" s="252"/>
      <c r="Z62" s="252"/>
      <c r="AA62" s="252"/>
      <c r="AB62" s="252"/>
      <c r="AC62" s="252"/>
      <c r="AD62" s="252"/>
      <c r="AE62" s="252"/>
      <c r="AF62" s="252"/>
      <c r="AG62" s="252"/>
    </row>
    <row r="63" spans="1:59" x14ac:dyDescent="0.15">
      <c r="A63" s="237"/>
      <c r="B63" s="252"/>
      <c r="C63" s="252"/>
      <c r="D63" s="252"/>
      <c r="E63" s="252"/>
      <c r="F63" s="252"/>
      <c r="G63" s="252"/>
      <c r="H63" s="252"/>
      <c r="I63" s="252"/>
      <c r="J63" s="252"/>
      <c r="K63" s="252"/>
      <c r="L63" s="252"/>
      <c r="M63" s="252"/>
      <c r="N63" s="252"/>
      <c r="O63" s="252"/>
      <c r="P63" s="252"/>
      <c r="Q63" s="252"/>
      <c r="R63" s="252"/>
      <c r="S63" s="252"/>
      <c r="T63" s="252"/>
      <c r="U63" s="252"/>
      <c r="V63" s="252"/>
      <c r="W63" s="252"/>
      <c r="X63" s="252"/>
      <c r="Y63" s="252"/>
      <c r="Z63" s="252"/>
      <c r="AA63" s="252"/>
      <c r="AB63" s="252"/>
      <c r="AC63" s="252"/>
      <c r="AD63" s="252"/>
      <c r="AE63" s="252"/>
      <c r="AF63" s="252"/>
      <c r="AG63" s="252"/>
    </row>
    <row r="64" spans="1:59" x14ac:dyDescent="0.15">
      <c r="A64" s="237"/>
      <c r="B64" s="252"/>
      <c r="C64" s="252"/>
      <c r="D64" s="252"/>
      <c r="E64" s="252"/>
      <c r="F64" s="252"/>
      <c r="G64" s="252"/>
      <c r="H64" s="252"/>
      <c r="I64" s="252"/>
      <c r="J64" s="252"/>
      <c r="K64" s="252"/>
      <c r="L64" s="252"/>
      <c r="M64" s="252"/>
      <c r="N64" s="252"/>
      <c r="O64" s="252"/>
      <c r="P64" s="252"/>
      <c r="Q64" s="252"/>
      <c r="R64" s="252"/>
      <c r="S64" s="252"/>
      <c r="T64" s="252"/>
      <c r="U64" s="252"/>
      <c r="V64" s="252"/>
      <c r="W64" s="252"/>
      <c r="X64" s="252"/>
      <c r="Y64" s="252"/>
      <c r="Z64" s="252"/>
      <c r="AA64" s="252"/>
      <c r="AB64" s="252"/>
      <c r="AC64" s="252"/>
      <c r="AD64" s="252"/>
      <c r="AE64" s="252"/>
      <c r="AF64" s="252"/>
      <c r="AG64" s="252"/>
    </row>
    <row r="65" spans="1:33" x14ac:dyDescent="0.15">
      <c r="A65" s="23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row>
    <row r="66" spans="1:33" x14ac:dyDescent="0.15">
      <c r="A66" s="23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row>
  </sheetData>
  <mergeCells count="1">
    <mergeCell ref="AH3:AH6"/>
  </mergeCells>
  <pageMargins left="0.25" right="0" top="0.25" bottom="0" header="0.3" footer="0.3"/>
  <pageSetup paperSize="9" scale="44" orientation="landscape" r:id="rId1"/>
  <colBreaks count="1" manualBreakCount="1">
    <brk id="28" max="5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HI65"/>
  <sheetViews>
    <sheetView showGridLines="0" view="pageBreakPreview" zoomScale="90" zoomScaleNormal="90" zoomScaleSheetLayoutView="90" workbookViewId="0">
      <pane xSplit="2" ySplit="4" topLeftCell="N5" activePane="bottomRight" state="frozen"/>
      <selection activeCell="AE38" sqref="AE38"/>
      <selection pane="topRight" activeCell="AE38" sqref="AE38"/>
      <selection pane="bottomLeft" activeCell="AE38" sqref="AE38"/>
      <selection pane="bottomRight" activeCell="N8" sqref="N8"/>
    </sheetView>
  </sheetViews>
  <sheetFormatPr baseColWidth="10" defaultColWidth="9.1640625" defaultRowHeight="13" outlineLevelCol="1" x14ac:dyDescent="0.15"/>
  <cols>
    <col min="1" max="1" width="45.1640625" style="20" customWidth="1"/>
    <col min="2" max="2" width="2.1640625" style="2" customWidth="1"/>
    <col min="3" max="3" width="11.5" style="2" customWidth="1" outlineLevel="1"/>
    <col min="4" max="4" width="12.33203125" style="2" customWidth="1" outlineLevel="1"/>
    <col min="5" max="5" width="12" style="2" customWidth="1" outlineLevel="1"/>
    <col min="6" max="6" width="12" style="2" customWidth="1"/>
    <col min="7" max="9" width="12" style="2" hidden="1" customWidth="1" outlineLevel="1"/>
    <col min="10" max="10" width="12" style="2" bestFit="1" customWidth="1" collapsed="1"/>
    <col min="11" max="13" width="11.5" style="2" hidden="1" customWidth="1" outlineLevel="1"/>
    <col min="14" max="14" width="11.5" style="2" bestFit="1" customWidth="1" collapsed="1"/>
    <col min="15" max="17" width="11.5" style="2" hidden="1" customWidth="1" outlineLevel="1"/>
    <col min="18" max="18" width="14.5" style="2" customWidth="1" collapsed="1"/>
    <col min="19" max="19" width="14.5" style="2" hidden="1" customWidth="1" outlineLevel="1"/>
    <col min="20" max="21" width="11.5" style="2" hidden="1" customWidth="1" outlineLevel="1"/>
    <col min="22" max="22" width="11.5" style="2" bestFit="1" customWidth="1" collapsed="1"/>
    <col min="23" max="25" width="11.5" style="2" bestFit="1" customWidth="1" outlineLevel="1"/>
    <col min="26" max="28" width="11.5" style="2" bestFit="1" customWidth="1"/>
    <col min="29" max="29" width="15.6640625" style="2" hidden="1" customWidth="1" outlineLevel="1"/>
    <col min="30" max="30" width="10.5" style="2" bestFit="1" customWidth="1" collapsed="1"/>
    <col min="31" max="16384" width="9.1640625" style="2"/>
  </cols>
  <sheetData>
    <row r="1" spans="1:32" x14ac:dyDescent="0.15">
      <c r="A1" s="8"/>
      <c r="C1" s="73"/>
      <c r="D1" s="73"/>
      <c r="E1" s="73"/>
      <c r="F1" s="73"/>
      <c r="G1" s="73"/>
      <c r="H1" s="73"/>
      <c r="I1" s="73"/>
      <c r="J1" s="73"/>
      <c r="K1" s="73"/>
      <c r="AE1" s="226" t="s">
        <v>184</v>
      </c>
      <c r="AF1" s="226"/>
    </row>
    <row r="2" spans="1:32" ht="45" customHeight="1" x14ac:dyDescent="0.15"/>
    <row r="3" spans="1:32" ht="14" x14ac:dyDescent="0.15">
      <c r="A3" s="15" t="s">
        <v>12</v>
      </c>
      <c r="C3" s="3">
        <v>2018</v>
      </c>
      <c r="D3" s="3">
        <v>2018</v>
      </c>
      <c r="E3" s="3">
        <v>2018</v>
      </c>
      <c r="F3" s="3">
        <v>2018</v>
      </c>
      <c r="G3" s="3">
        <v>2019</v>
      </c>
      <c r="H3" s="3">
        <v>2019</v>
      </c>
      <c r="I3" s="3">
        <v>2019</v>
      </c>
      <c r="J3" s="3">
        <v>2019</v>
      </c>
      <c r="K3" s="3">
        <v>2020</v>
      </c>
      <c r="L3" s="3">
        <v>2020</v>
      </c>
      <c r="M3" s="3">
        <v>2020</v>
      </c>
      <c r="N3" s="3">
        <v>2020</v>
      </c>
      <c r="O3" s="3">
        <v>2021</v>
      </c>
      <c r="P3" s="3">
        <v>2021</v>
      </c>
      <c r="Q3" s="3">
        <v>2021</v>
      </c>
      <c r="R3" s="3">
        <v>2021</v>
      </c>
      <c r="S3" s="3">
        <v>2022</v>
      </c>
      <c r="T3" s="3">
        <v>2022</v>
      </c>
      <c r="U3" s="3">
        <v>2022</v>
      </c>
      <c r="V3" s="3">
        <v>2022</v>
      </c>
      <c r="W3" s="3">
        <v>2023</v>
      </c>
      <c r="X3" s="3">
        <v>2023</v>
      </c>
      <c r="Y3" s="3">
        <v>2023</v>
      </c>
      <c r="Z3" s="3">
        <v>2023</v>
      </c>
      <c r="AA3" s="3">
        <v>2024</v>
      </c>
      <c r="AB3" s="3">
        <v>2024</v>
      </c>
    </row>
    <row r="4" spans="1:32" s="1" customFormat="1" x14ac:dyDescent="0.15">
      <c r="A4" s="22" t="s">
        <v>47</v>
      </c>
      <c r="C4" s="61" t="s">
        <v>6</v>
      </c>
      <c r="D4" s="61" t="s">
        <v>7</v>
      </c>
      <c r="E4" s="61" t="s">
        <v>8</v>
      </c>
      <c r="F4" s="61" t="s">
        <v>9</v>
      </c>
      <c r="G4" s="61" t="s">
        <v>6</v>
      </c>
      <c r="H4" s="61" t="s">
        <v>7</v>
      </c>
      <c r="I4" s="61" t="s">
        <v>8</v>
      </c>
      <c r="J4" s="61" t="s">
        <v>9</v>
      </c>
      <c r="K4" s="61" t="s">
        <v>6</v>
      </c>
      <c r="L4" s="61" t="s">
        <v>7</v>
      </c>
      <c r="M4" s="61" t="s">
        <v>8</v>
      </c>
      <c r="N4" s="61" t="s">
        <v>9</v>
      </c>
      <c r="O4" s="61" t="s">
        <v>6</v>
      </c>
      <c r="P4" s="61" t="s">
        <v>7</v>
      </c>
      <c r="Q4" s="61" t="s">
        <v>8</v>
      </c>
      <c r="R4" s="61" t="s">
        <v>9</v>
      </c>
      <c r="S4" s="61" t="s">
        <v>6</v>
      </c>
      <c r="T4" s="61" t="s">
        <v>7</v>
      </c>
      <c r="U4" s="61" t="s">
        <v>8</v>
      </c>
      <c r="V4" s="61" t="s">
        <v>9</v>
      </c>
      <c r="W4" s="61" t="s">
        <v>6</v>
      </c>
      <c r="X4" s="61" t="s">
        <v>7</v>
      </c>
      <c r="Y4" s="61" t="s">
        <v>8</v>
      </c>
      <c r="Z4" s="61" t="s">
        <v>9</v>
      </c>
      <c r="AA4" s="61" t="s">
        <v>6</v>
      </c>
      <c r="AB4" s="61" t="s">
        <v>7</v>
      </c>
      <c r="AC4" s="251" t="s">
        <v>170</v>
      </c>
    </row>
    <row r="5" spans="1:32" s="3" customFormat="1" x14ac:dyDescent="0.15">
      <c r="A5" s="15"/>
    </row>
    <row r="6" spans="1:32" ht="14" x14ac:dyDescent="0.15">
      <c r="A6" s="40" t="s">
        <v>14</v>
      </c>
    </row>
    <row r="7" spans="1:32" ht="14" x14ac:dyDescent="0.15">
      <c r="A7" s="53" t="s">
        <v>15</v>
      </c>
      <c r="B7" s="85"/>
    </row>
    <row r="8" spans="1:32" ht="14" x14ac:dyDescent="0.15">
      <c r="A8" s="54" t="s">
        <v>68</v>
      </c>
      <c r="B8" s="91"/>
      <c r="C8" s="92">
        <v>69955</v>
      </c>
      <c r="D8" s="92">
        <v>84091</v>
      </c>
      <c r="E8" s="92">
        <v>97636</v>
      </c>
      <c r="F8" s="92">
        <v>95881</v>
      </c>
      <c r="G8" s="92">
        <v>86688</v>
      </c>
      <c r="H8" s="92">
        <v>84842</v>
      </c>
      <c r="I8" s="92">
        <v>101432</v>
      </c>
      <c r="J8" s="92">
        <f>'[1]Balance Sheets'!C9</f>
        <v>119165</v>
      </c>
      <c r="K8" s="73">
        <v>224874</v>
      </c>
      <c r="L8" s="73">
        <v>163619</v>
      </c>
      <c r="M8" s="73">
        <v>206423</v>
      </c>
      <c r="N8" s="73">
        <f>'[2]Balance Sheets'!C9</f>
        <v>218530</v>
      </c>
      <c r="O8" s="73">
        <v>177121</v>
      </c>
      <c r="P8" s="73">
        <v>150211</v>
      </c>
      <c r="Q8" s="73">
        <v>114581</v>
      </c>
      <c r="R8" s="73">
        <f>'[3]Balance Sheets'!C9</f>
        <v>135337</v>
      </c>
      <c r="S8" s="73">
        <v>106540</v>
      </c>
      <c r="T8" s="73">
        <v>106304</v>
      </c>
      <c r="U8" s="73">
        <v>89262</v>
      </c>
      <c r="V8" s="73">
        <f>'[4]Balance Sheets'!$C$9</f>
        <v>118669</v>
      </c>
      <c r="W8" s="73">
        <f>'[5]Balance Sheets'!$C$9</f>
        <v>87298</v>
      </c>
      <c r="X8" s="73">
        <f>'[6]Balance Sheets'!$C$9</f>
        <v>93960</v>
      </c>
      <c r="Y8" s="73">
        <f>'[7]Balance Sheets'!$C$9</f>
        <v>122655</v>
      </c>
      <c r="Z8" s="73">
        <f>'[8]Balance Sheets'!$C$9</f>
        <v>136953</v>
      </c>
      <c r="AA8" s="73">
        <f>'[9]Balance Sheets'!$C$9</f>
        <v>108565</v>
      </c>
      <c r="AB8" s="73">
        <f>'[10]Balance Sheets'!$C9</f>
        <v>115303</v>
      </c>
      <c r="AC8" s="139">
        <f>SUM('[11]Balance Sheet'!C8:AA8)-SUM(C8:AA8)</f>
        <v>0</v>
      </c>
      <c r="AD8" s="73"/>
      <c r="AE8" s="73"/>
    </row>
    <row r="9" spans="1:32" ht="14" x14ac:dyDescent="0.15">
      <c r="A9" s="54" t="s">
        <v>67</v>
      </c>
      <c r="B9" s="91"/>
      <c r="C9" s="107">
        <v>169461</v>
      </c>
      <c r="D9" s="107">
        <v>149045</v>
      </c>
      <c r="E9" s="107">
        <v>144878</v>
      </c>
      <c r="F9" s="107">
        <v>184489</v>
      </c>
      <c r="G9" s="107">
        <v>216056</v>
      </c>
      <c r="H9" s="107">
        <v>168204</v>
      </c>
      <c r="I9" s="107">
        <v>179340</v>
      </c>
      <c r="J9" s="107">
        <f>'[1]Balance Sheets'!C10</f>
        <v>202238</v>
      </c>
      <c r="K9" s="179">
        <v>142539</v>
      </c>
      <c r="L9" s="179">
        <v>171962</v>
      </c>
      <c r="M9" s="179">
        <v>156175</v>
      </c>
      <c r="N9" s="179">
        <f>'[2]Balance Sheets'!C10</f>
        <v>184286</v>
      </c>
      <c r="O9" s="179">
        <v>198721</v>
      </c>
      <c r="P9" s="179">
        <v>144533</v>
      </c>
      <c r="Q9" s="179">
        <v>169739</v>
      </c>
      <c r="R9" s="179">
        <f>'[3]Balance Sheets'!C10</f>
        <v>178538</v>
      </c>
      <c r="S9" s="179">
        <v>162694</v>
      </c>
      <c r="T9" s="179">
        <v>158941</v>
      </c>
      <c r="U9" s="179">
        <v>172889</v>
      </c>
      <c r="V9" s="179">
        <f>'[4]Balance Sheets'!$C$10</f>
        <v>179027</v>
      </c>
      <c r="W9" s="179">
        <f>'[5]Balance Sheets'!$C$10</f>
        <v>116479</v>
      </c>
      <c r="X9" s="179">
        <f>'[6]Balance Sheets'!$C$10</f>
        <v>156098</v>
      </c>
      <c r="Y9" s="179">
        <f>'[7]Balance Sheets'!$C$10</f>
        <v>151581</v>
      </c>
      <c r="Z9" s="179">
        <f>'[8]Balance Sheets'!$C$10</f>
        <v>153881</v>
      </c>
      <c r="AA9" s="179">
        <f>'[9]Balance Sheets'!$C$10</f>
        <v>137585</v>
      </c>
      <c r="AB9" s="179">
        <f>'[10]Balance Sheets'!$C10</f>
        <v>160833</v>
      </c>
      <c r="AC9" s="139">
        <f>SUM('[11]Balance Sheet'!C9:AA9)-SUM(C9:AA9)</f>
        <v>0</v>
      </c>
      <c r="AD9" s="73"/>
      <c r="AE9" s="73"/>
    </row>
    <row r="10" spans="1:32" ht="14" x14ac:dyDescent="0.15">
      <c r="A10" s="54" t="s">
        <v>16</v>
      </c>
      <c r="B10" s="91"/>
      <c r="C10" s="107">
        <v>2727</v>
      </c>
      <c r="D10" s="107">
        <v>2256</v>
      </c>
      <c r="E10" s="107">
        <v>4679</v>
      </c>
      <c r="F10" s="107">
        <v>5608</v>
      </c>
      <c r="G10" s="107">
        <v>5364</v>
      </c>
      <c r="H10" s="107">
        <v>4098</v>
      </c>
      <c r="I10" s="107">
        <v>5412</v>
      </c>
      <c r="J10" s="107">
        <f>'[1]Balance Sheets'!C11</f>
        <v>5453</v>
      </c>
      <c r="K10" s="179">
        <v>6369</v>
      </c>
      <c r="L10" s="179">
        <v>4858</v>
      </c>
      <c r="M10" s="179">
        <v>7312</v>
      </c>
      <c r="N10" s="179">
        <f>'[2]Balance Sheets'!C11</f>
        <v>4690</v>
      </c>
      <c r="O10" s="179">
        <v>5295</v>
      </c>
      <c r="P10" s="179">
        <v>5065</v>
      </c>
      <c r="Q10" s="179">
        <v>6810</v>
      </c>
      <c r="R10" s="179">
        <f>'[3]Balance Sheets'!C11</f>
        <v>6174</v>
      </c>
      <c r="S10" s="179">
        <v>6274</v>
      </c>
      <c r="T10" s="179">
        <v>6840</v>
      </c>
      <c r="U10" s="179">
        <v>7013</v>
      </c>
      <c r="V10" s="179">
        <f>'[4]Balance Sheets'!$C$11</f>
        <v>4897</v>
      </c>
      <c r="W10" s="179">
        <f>'[5]Balance Sheets'!$C$11</f>
        <v>5598</v>
      </c>
      <c r="X10" s="179">
        <f>'[6]Balance Sheets'!$C$11</f>
        <v>4628</v>
      </c>
      <c r="Y10" s="179">
        <f>'[7]Balance Sheets'!$C$11</f>
        <v>3257</v>
      </c>
      <c r="Z10" s="179">
        <f>'[8]Balance Sheets'!$C$11</f>
        <v>4062</v>
      </c>
      <c r="AA10" s="179">
        <f>'[9]Balance Sheets'!$C$11</f>
        <v>4291</v>
      </c>
      <c r="AB10" s="179">
        <f>'[10]Balance Sheets'!$C11</f>
        <v>6351</v>
      </c>
      <c r="AC10" s="139">
        <f>SUM('[11]Balance Sheet'!C10:AA10)-SUM(C10:AA10)</f>
        <v>0</v>
      </c>
      <c r="AD10" s="73"/>
      <c r="AE10" s="73"/>
    </row>
    <row r="11" spans="1:32" ht="14" x14ac:dyDescent="0.15">
      <c r="A11" s="54" t="s">
        <v>116</v>
      </c>
      <c r="B11" s="91"/>
      <c r="C11" s="107">
        <v>137150</v>
      </c>
      <c r="D11" s="107">
        <v>147099</v>
      </c>
      <c r="E11" s="107">
        <v>164307</v>
      </c>
      <c r="F11" s="107">
        <v>164752</v>
      </c>
      <c r="G11" s="107">
        <v>176889</v>
      </c>
      <c r="H11" s="107">
        <v>180680</v>
      </c>
      <c r="I11" s="107">
        <v>179702</v>
      </c>
      <c r="J11" s="107">
        <f>'[1]Balance Sheets'!C12</f>
        <v>171864</v>
      </c>
      <c r="K11" s="179">
        <v>187137</v>
      </c>
      <c r="L11" s="179">
        <v>157505</v>
      </c>
      <c r="M11" s="179">
        <v>154983</v>
      </c>
      <c r="N11" s="179">
        <f>'[2]Balance Sheets'!C12</f>
        <v>147635</v>
      </c>
      <c r="O11" s="179">
        <v>159296</v>
      </c>
      <c r="P11" s="179">
        <v>182111</v>
      </c>
      <c r="Q11" s="179">
        <v>192170</v>
      </c>
      <c r="R11" s="179">
        <f>'[3]Balance Sheets'!C12</f>
        <v>194232</v>
      </c>
      <c r="S11" s="179">
        <v>239279</v>
      </c>
      <c r="T11" s="179">
        <v>237453</v>
      </c>
      <c r="U11" s="179">
        <v>256911</v>
      </c>
      <c r="V11" s="179">
        <f>'[4]Balance Sheets'!$C$12</f>
        <v>259222</v>
      </c>
      <c r="W11" s="179">
        <f>'[5]Balance Sheets'!$C$12</f>
        <v>290512</v>
      </c>
      <c r="X11" s="179">
        <f>'[6]Balance Sheets'!$C$12</f>
        <v>288305</v>
      </c>
      <c r="Y11" s="179">
        <f>'[7]Balance Sheets'!$C$12</f>
        <v>303378</v>
      </c>
      <c r="Z11" s="179">
        <f>'[8]Balance Sheets'!$C$12</f>
        <v>308108</v>
      </c>
      <c r="AA11" s="179">
        <f>'[9]Balance Sheets'!$C$12</f>
        <v>335523</v>
      </c>
      <c r="AB11" s="179">
        <f>'[10]Balance Sheets'!$C12</f>
        <v>327613</v>
      </c>
      <c r="AC11" s="139">
        <f>SUM('[11]Balance Sheet'!C11:AA11)-SUM(C11:AA11)</f>
        <v>0</v>
      </c>
      <c r="AD11" s="73"/>
      <c r="AE11" s="73"/>
    </row>
    <row r="12" spans="1:32" ht="14" x14ac:dyDescent="0.15">
      <c r="A12" s="54" t="s">
        <v>178</v>
      </c>
      <c r="B12" s="91"/>
      <c r="C12" s="107">
        <f>38878+17802</f>
        <v>56680</v>
      </c>
      <c r="D12" s="107">
        <v>44243</v>
      </c>
      <c r="E12" s="107">
        <v>42327</v>
      </c>
      <c r="F12" s="107">
        <v>49205</v>
      </c>
      <c r="G12" s="107">
        <v>51061</v>
      </c>
      <c r="H12" s="107">
        <v>51251</v>
      </c>
      <c r="I12" s="107">
        <f>37338+3002</f>
        <v>40340</v>
      </c>
      <c r="J12" s="107">
        <f>'[1]Balance Sheets'!$C$13+'[1]Balance Sheets'!$C$15+'[1]Balance Sheets'!$C$14</f>
        <v>42538</v>
      </c>
      <c r="K12" s="179">
        <v>43973</v>
      </c>
      <c r="L12" s="179">
        <v>38596</v>
      </c>
      <c r="M12" s="179">
        <v>40170</v>
      </c>
      <c r="N12" s="179">
        <f>'[2]Balance Sheets'!$C$13+'[2]Balance Sheets'!$C$15+'[2]Balance Sheets'!$C$14</f>
        <v>54137</v>
      </c>
      <c r="O12" s="179">
        <v>56117</v>
      </c>
      <c r="P12" s="179">
        <v>59242</v>
      </c>
      <c r="Q12" s="179">
        <v>61875</v>
      </c>
      <c r="R12" s="179">
        <f>'[3]Balance Sheets'!$C$13+'[3]Balance Sheets'!$C$15+'[3]Balance Sheets'!$C$14</f>
        <v>63863</v>
      </c>
      <c r="S12" s="179">
        <v>57831</v>
      </c>
      <c r="T12" s="179">
        <v>51476</v>
      </c>
      <c r="U12" s="179">
        <f>ROUND(SUM('[26]BS 2022'!$AO$16,'[26]BS 2022'!$AO$19,'[26]BS 2022'!$AO$15),0)+ROUND('[26]BS 2022'!$AO$18,0)</f>
        <v>54509</v>
      </c>
      <c r="V12" s="179">
        <f>ROUND('[27]BS 2022'!$AM$16/1000,0)</f>
        <v>50979</v>
      </c>
      <c r="W12" s="179">
        <f>'[5]Balance Sheets'!$C$13</f>
        <v>66340</v>
      </c>
      <c r="X12" s="179">
        <f>'[6]Balance Sheets'!$C$13</f>
        <v>70186</v>
      </c>
      <c r="Y12" s="179">
        <f>'[7]Balance Sheets'!$C$13</f>
        <v>70697</v>
      </c>
      <c r="Z12" s="179">
        <f>'[8]Balance Sheets'!$C$13</f>
        <v>76669</v>
      </c>
      <c r="AA12" s="179">
        <f>'[9]Balance Sheets'!$C$13</f>
        <v>78753</v>
      </c>
      <c r="AB12" s="179">
        <f>'[10]Balance Sheets'!$C13</f>
        <v>93612</v>
      </c>
      <c r="AC12" s="139">
        <f>SUM('[11]Balance Sheet'!C12:AA12)-SUM(C12:AA12)</f>
        <v>0</v>
      </c>
      <c r="AD12" s="73"/>
      <c r="AE12" s="73"/>
    </row>
    <row r="13" spans="1:32" ht="14" x14ac:dyDescent="0.15">
      <c r="A13" s="41" t="s">
        <v>69</v>
      </c>
      <c r="B13" s="99"/>
      <c r="C13" s="98">
        <f t="shared" ref="C13:M13" si="0">SUM(C8:C12)</f>
        <v>435973</v>
      </c>
      <c r="D13" s="98">
        <f t="shared" si="0"/>
        <v>426734</v>
      </c>
      <c r="E13" s="98">
        <f t="shared" si="0"/>
        <v>453827</v>
      </c>
      <c r="F13" s="98">
        <f t="shared" si="0"/>
        <v>499935</v>
      </c>
      <c r="G13" s="98">
        <f t="shared" si="0"/>
        <v>536058</v>
      </c>
      <c r="H13" s="98">
        <f t="shared" si="0"/>
        <v>489075</v>
      </c>
      <c r="I13" s="98">
        <f t="shared" si="0"/>
        <v>506226</v>
      </c>
      <c r="J13" s="98">
        <f t="shared" si="0"/>
        <v>541258</v>
      </c>
      <c r="K13" s="98">
        <f t="shared" si="0"/>
        <v>604892</v>
      </c>
      <c r="L13" s="98">
        <f t="shared" si="0"/>
        <v>536540</v>
      </c>
      <c r="M13" s="98">
        <f t="shared" si="0"/>
        <v>565063</v>
      </c>
      <c r="N13" s="98">
        <f>ROUND(SUM(N8:N12),0)</f>
        <v>609278</v>
      </c>
      <c r="O13" s="98">
        <f t="shared" ref="O13:W13" si="1">SUM(O8:O12)</f>
        <v>596550</v>
      </c>
      <c r="P13" s="98">
        <f t="shared" si="1"/>
        <v>541162</v>
      </c>
      <c r="Q13" s="98">
        <f t="shared" si="1"/>
        <v>545175</v>
      </c>
      <c r="R13" s="98">
        <f t="shared" si="1"/>
        <v>578144</v>
      </c>
      <c r="S13" s="98">
        <f t="shared" si="1"/>
        <v>572618</v>
      </c>
      <c r="T13" s="98">
        <f t="shared" si="1"/>
        <v>561014</v>
      </c>
      <c r="U13" s="98">
        <f t="shared" si="1"/>
        <v>580584</v>
      </c>
      <c r="V13" s="242">
        <f t="shared" si="1"/>
        <v>612794</v>
      </c>
      <c r="W13" s="242">
        <f t="shared" si="1"/>
        <v>566227</v>
      </c>
      <c r="X13" s="242">
        <f t="shared" ref="X13:AA13" si="2">SUM(X8:X12)</f>
        <v>613177</v>
      </c>
      <c r="Y13" s="242">
        <f t="shared" si="2"/>
        <v>651568</v>
      </c>
      <c r="Z13" s="242">
        <f t="shared" si="2"/>
        <v>679673</v>
      </c>
      <c r="AA13" s="242">
        <f t="shared" si="2"/>
        <v>664717</v>
      </c>
      <c r="AB13" s="242">
        <f t="shared" ref="AB13" si="3">SUM(AB8:AB12)</f>
        <v>703712</v>
      </c>
      <c r="AC13" s="139">
        <f>SUM('[11]Balance Sheet'!C13:AA13)-SUM(C13:AA13)</f>
        <v>0</v>
      </c>
      <c r="AD13" s="73"/>
      <c r="AE13" s="73"/>
    </row>
    <row r="14" spans="1:32" ht="14" x14ac:dyDescent="0.15">
      <c r="A14" s="16" t="s">
        <v>18</v>
      </c>
      <c r="B14" s="85"/>
      <c r="AC14" s="73"/>
      <c r="AE14" s="73"/>
    </row>
    <row r="15" spans="1:32" ht="14" x14ac:dyDescent="0.15">
      <c r="A15" s="55" t="s">
        <v>117</v>
      </c>
      <c r="B15" s="91"/>
      <c r="C15" s="107">
        <v>67748</v>
      </c>
      <c r="D15" s="107">
        <v>66112</v>
      </c>
      <c r="E15" s="107">
        <v>67675</v>
      </c>
      <c r="F15" s="107">
        <v>73510</v>
      </c>
      <c r="G15" s="107">
        <v>73447</v>
      </c>
      <c r="H15" s="107">
        <v>78083</v>
      </c>
      <c r="I15" s="107">
        <v>78471</v>
      </c>
      <c r="J15" s="107">
        <f>'[1]Balance Sheets'!C17</f>
        <v>79142</v>
      </c>
      <c r="K15" s="179">
        <v>90513</v>
      </c>
      <c r="L15" s="179">
        <v>91848</v>
      </c>
      <c r="M15" s="179">
        <v>94103</v>
      </c>
      <c r="N15" s="179">
        <f>'[2]Balance Sheets'!C17</f>
        <v>92875</v>
      </c>
      <c r="O15" s="179">
        <v>90153</v>
      </c>
      <c r="P15" s="179">
        <v>86511</v>
      </c>
      <c r="Q15" s="179">
        <v>83905</v>
      </c>
      <c r="R15" s="179">
        <f>'[3]Balance Sheets'!C17</f>
        <v>86008</v>
      </c>
      <c r="S15" s="179">
        <v>85610</v>
      </c>
      <c r="T15" s="179">
        <v>82649</v>
      </c>
      <c r="U15" s="179">
        <v>79933</v>
      </c>
      <c r="V15" s="179">
        <f>'[4]Balance Sheets'!$C$15</f>
        <v>82828</v>
      </c>
      <c r="W15" s="179">
        <f>'[5]Balance Sheets'!$C$15</f>
        <v>86652</v>
      </c>
      <c r="X15" s="179">
        <f>'[6]Balance Sheets'!$C$15</f>
        <v>93688</v>
      </c>
      <c r="Y15" s="179">
        <f>'[7]Balance Sheets'!$C$15</f>
        <v>96729</v>
      </c>
      <c r="Z15" s="179">
        <f>'[8]Balance Sheets'!$C$15</f>
        <v>100373</v>
      </c>
      <c r="AA15" s="179">
        <f>'[9]Balance Sheets'!$C$15</f>
        <v>101622</v>
      </c>
      <c r="AB15" s="179">
        <f>'[10]Balance Sheets'!$C15</f>
        <v>103478</v>
      </c>
      <c r="AC15" s="139">
        <f>SUM('[11]Balance Sheet'!C15:AA15)-SUM(C15:AA15)</f>
        <v>0</v>
      </c>
      <c r="AD15" s="73"/>
      <c r="AE15" s="73"/>
    </row>
    <row r="16" spans="1:32" ht="14" x14ac:dyDescent="0.15">
      <c r="A16" s="56" t="s">
        <v>222</v>
      </c>
      <c r="B16" s="91"/>
      <c r="C16" s="107">
        <v>0</v>
      </c>
      <c r="D16" s="107">
        <v>0</v>
      </c>
      <c r="E16" s="107">
        <v>0</v>
      </c>
      <c r="F16" s="107">
        <v>0</v>
      </c>
      <c r="G16" s="107">
        <v>89835</v>
      </c>
      <c r="H16" s="107">
        <v>93162</v>
      </c>
      <c r="I16" s="107">
        <v>88753</v>
      </c>
      <c r="J16" s="107">
        <f>'[1]Balance Sheets'!C18</f>
        <v>86396</v>
      </c>
      <c r="K16" s="179">
        <v>99940</v>
      </c>
      <c r="L16" s="179">
        <v>96789</v>
      </c>
      <c r="M16" s="179">
        <v>95873</v>
      </c>
      <c r="N16" s="179">
        <f>'[2]Balance Sheets'!C18</f>
        <v>91918</v>
      </c>
      <c r="O16" s="179">
        <v>88777</v>
      </c>
      <c r="P16" s="179">
        <v>83280</v>
      </c>
      <c r="Q16" s="179">
        <v>81324</v>
      </c>
      <c r="R16" s="179">
        <f>'[3]Balance Sheets'!C18</f>
        <v>76692</v>
      </c>
      <c r="S16" s="179">
        <v>75147</v>
      </c>
      <c r="T16" s="179">
        <v>67962</v>
      </c>
      <c r="U16" s="179">
        <v>61966</v>
      </c>
      <c r="V16" s="179">
        <f>'[4]Balance Sheets'!$C$16</f>
        <v>55347</v>
      </c>
      <c r="W16" s="179">
        <f>'[5]Balance Sheets'!$C$16</f>
        <v>52782</v>
      </c>
      <c r="X16" s="179">
        <f>'[6]Balance Sheets'!$C$16</f>
        <v>58423</v>
      </c>
      <c r="Y16" s="179">
        <f>'[7]Balance Sheets'!$C$16</f>
        <v>56817</v>
      </c>
      <c r="Z16" s="179">
        <f>'[8]Balance Sheets'!$C$16</f>
        <v>64856</v>
      </c>
      <c r="AA16" s="179">
        <f>'[9]Balance Sheets'!$C$16</f>
        <v>66799</v>
      </c>
      <c r="AB16" s="179">
        <f>'[10]Balance Sheets'!$C16</f>
        <v>72822</v>
      </c>
      <c r="AC16" s="139">
        <f>SUM('[11]Balance Sheet'!C16:AA16)-SUM(C16:AA16)</f>
        <v>0</v>
      </c>
      <c r="AD16" s="73"/>
      <c r="AE16" s="73"/>
    </row>
    <row r="17" spans="1:46" ht="14" hidden="1" x14ac:dyDescent="0.15">
      <c r="A17" s="276" t="s">
        <v>16</v>
      </c>
      <c r="B17" s="91"/>
      <c r="C17" s="155">
        <v>0</v>
      </c>
      <c r="D17" s="107">
        <v>0</v>
      </c>
      <c r="E17" s="107">
        <v>0</v>
      </c>
      <c r="F17" s="107">
        <v>0</v>
      </c>
      <c r="G17" s="107">
        <v>0</v>
      </c>
      <c r="H17" s="107">
        <v>0</v>
      </c>
      <c r="I17" s="107">
        <v>0</v>
      </c>
      <c r="J17" s="107">
        <v>0</v>
      </c>
      <c r="K17" s="179">
        <v>0</v>
      </c>
      <c r="L17" s="179">
        <v>0</v>
      </c>
      <c r="M17" s="179">
        <v>0</v>
      </c>
      <c r="N17" s="179">
        <v>0</v>
      </c>
      <c r="O17" s="179">
        <v>0</v>
      </c>
      <c r="P17" s="179">
        <v>0</v>
      </c>
      <c r="Q17" s="179">
        <v>0</v>
      </c>
      <c r="R17" s="179">
        <v>0</v>
      </c>
      <c r="S17" s="179">
        <v>0</v>
      </c>
      <c r="T17" s="179">
        <v>0</v>
      </c>
      <c r="U17" s="179">
        <v>0</v>
      </c>
      <c r="V17" s="179">
        <v>0</v>
      </c>
      <c r="W17" s="179">
        <v>0</v>
      </c>
      <c r="X17" s="179">
        <v>0</v>
      </c>
      <c r="Y17" s="179">
        <v>0</v>
      </c>
      <c r="Z17" s="179">
        <v>0</v>
      </c>
      <c r="AA17" s="179">
        <v>0</v>
      </c>
      <c r="AB17" s="179">
        <v>0</v>
      </c>
      <c r="AC17" s="139">
        <v>0</v>
      </c>
      <c r="AD17" s="73"/>
      <c r="AE17" s="73"/>
    </row>
    <row r="18" spans="1:46" ht="14" x14ac:dyDescent="0.15">
      <c r="A18" s="55" t="s">
        <v>142</v>
      </c>
      <c r="B18" s="91"/>
      <c r="C18" s="107">
        <v>6518</v>
      </c>
      <c r="D18" s="107">
        <v>12702</v>
      </c>
      <c r="E18" s="107">
        <v>12201</v>
      </c>
      <c r="F18" s="107">
        <v>6602</v>
      </c>
      <c r="G18" s="107">
        <v>4570</v>
      </c>
      <c r="H18" s="107">
        <v>4200</v>
      </c>
      <c r="I18" s="107">
        <v>6190</v>
      </c>
      <c r="J18" s="107">
        <f>'[1]Balance Sheets'!C20</f>
        <v>11855</v>
      </c>
      <c r="K18" s="179">
        <v>16640</v>
      </c>
      <c r="L18" s="179">
        <v>17070</v>
      </c>
      <c r="M18" s="179">
        <v>13230</v>
      </c>
      <c r="N18" s="179">
        <f>'[2]Balance Sheets'!C20</f>
        <v>7749</v>
      </c>
      <c r="O18" s="179">
        <v>10657</v>
      </c>
      <c r="P18" s="179">
        <v>24132</v>
      </c>
      <c r="Q18" s="179">
        <v>26747</v>
      </c>
      <c r="R18" s="179">
        <f>'[3]Balance Sheets'!C20</f>
        <v>21404</v>
      </c>
      <c r="S18" s="179">
        <v>22447</v>
      </c>
      <c r="T18" s="179">
        <v>40924</v>
      </c>
      <c r="U18" s="179">
        <v>54898</v>
      </c>
      <c r="V18" s="179">
        <f>'[4]Balance Sheets'!$C$18</f>
        <v>55791</v>
      </c>
      <c r="W18" s="179">
        <f>'[5]Balance Sheets'!$C$18</f>
        <v>62252</v>
      </c>
      <c r="X18" s="179">
        <f>'[6]Balance Sheets'!$C$18</f>
        <v>68612</v>
      </c>
      <c r="Y18" s="179">
        <f>'[7]Balance Sheets'!$C$18</f>
        <v>79767</v>
      </c>
      <c r="Z18" s="179">
        <f>'[8]Balance Sheets'!$C$18</f>
        <v>82927</v>
      </c>
      <c r="AA18" s="179">
        <f>'[9]Balance Sheets'!$C$18</f>
        <v>91840</v>
      </c>
      <c r="AB18" s="179">
        <f>'[10]Balance Sheets'!$C18</f>
        <v>100993</v>
      </c>
      <c r="AC18" s="139">
        <f>SUM('[11]Balance Sheet'!C18:AA18)-SUM(C18:AA18)</f>
        <v>0</v>
      </c>
      <c r="AD18" s="73"/>
      <c r="AE18" s="73"/>
    </row>
    <row r="19" spans="1:46" ht="14" x14ac:dyDescent="0.15">
      <c r="A19" s="55" t="s">
        <v>19</v>
      </c>
      <c r="B19" s="91"/>
      <c r="C19" s="107">
        <v>202337</v>
      </c>
      <c r="D19" s="107">
        <v>200981</v>
      </c>
      <c r="E19" s="107">
        <v>357533</v>
      </c>
      <c r="F19" s="107">
        <v>349984</v>
      </c>
      <c r="G19" s="107">
        <v>350239</v>
      </c>
      <c r="H19" s="107">
        <v>350220</v>
      </c>
      <c r="I19" s="107">
        <v>349530</v>
      </c>
      <c r="J19" s="107">
        <f>'[1]Balance Sheets'!C22</f>
        <v>349529</v>
      </c>
      <c r="K19" s="179">
        <v>348076</v>
      </c>
      <c r="L19" s="179">
        <v>348110</v>
      </c>
      <c r="M19" s="179">
        <v>348723</v>
      </c>
      <c r="N19" s="179">
        <f>'[2]Balance Sheets'!C22</f>
        <v>349088</v>
      </c>
      <c r="O19" s="179">
        <v>349098</v>
      </c>
      <c r="P19" s="179">
        <v>348747</v>
      </c>
      <c r="Q19" s="179">
        <v>348699</v>
      </c>
      <c r="R19" s="179">
        <f>'[3]Balance Sheets'!C22</f>
        <v>403902</v>
      </c>
      <c r="S19" s="179">
        <v>404561</v>
      </c>
      <c r="T19" s="179">
        <v>406575</v>
      </c>
      <c r="U19" s="179">
        <v>405781</v>
      </c>
      <c r="V19" s="179">
        <f>'[4]Balance Sheets'!$C$20</f>
        <v>405637</v>
      </c>
      <c r="W19" s="179">
        <f>'[5]Balance Sheets'!$C$20</f>
        <v>405824</v>
      </c>
      <c r="X19" s="179">
        <f>'[6]Balance Sheets'!$C$20</f>
        <v>405903</v>
      </c>
      <c r="Y19" s="179">
        <f>'[7]Balance Sheets'!$C$19</f>
        <v>405579</v>
      </c>
      <c r="Z19" s="179">
        <f>'[8]Balance Sheets'!$C$20</f>
        <v>405639</v>
      </c>
      <c r="AA19" s="179">
        <f>'[9]Balance Sheets'!$C$20</f>
        <v>405574</v>
      </c>
      <c r="AB19" s="179">
        <f>'[10]Balance Sheets'!$C20</f>
        <v>405581</v>
      </c>
      <c r="AC19" s="139">
        <f>SUM('[11]Balance Sheet'!C19:AA19)-SUM(C19:AA19)</f>
        <v>0</v>
      </c>
      <c r="AD19" s="73"/>
      <c r="AE19" s="73"/>
    </row>
    <row r="20" spans="1:46" ht="14" x14ac:dyDescent="0.15">
      <c r="A20" s="56" t="s">
        <v>214</v>
      </c>
      <c r="B20" s="97"/>
      <c r="C20" s="107">
        <v>45104</v>
      </c>
      <c r="D20" s="107">
        <v>41170</v>
      </c>
      <c r="E20" s="107">
        <v>114799</v>
      </c>
      <c r="F20" s="107">
        <v>95495</v>
      </c>
      <c r="G20" s="107">
        <v>90008</v>
      </c>
      <c r="H20" s="107">
        <v>84402</v>
      </c>
      <c r="I20" s="107">
        <v>78845</v>
      </c>
      <c r="J20" s="107">
        <f>'[1]Balance Sheets'!C21</f>
        <v>73982</v>
      </c>
      <c r="K20" s="179">
        <v>69734</v>
      </c>
      <c r="L20" s="179">
        <v>66296</v>
      </c>
      <c r="M20" s="179">
        <v>62941</v>
      </c>
      <c r="N20" s="179">
        <f>'[2]Balance Sheets'!C21</f>
        <v>59594</v>
      </c>
      <c r="O20" s="179">
        <v>56243</v>
      </c>
      <c r="P20" s="179">
        <v>52853</v>
      </c>
      <c r="Q20" s="179">
        <v>49807</v>
      </c>
      <c r="R20" s="179">
        <f>'[3]Balance Sheets'!C21</f>
        <v>81082</v>
      </c>
      <c r="S20" s="179">
        <v>76578</v>
      </c>
      <c r="T20" s="179">
        <v>73298</v>
      </c>
      <c r="U20" s="179">
        <v>69008</v>
      </c>
      <c r="V20" s="179">
        <f>'[4]Balance Sheets'!$C$19</f>
        <v>64819</v>
      </c>
      <c r="W20" s="179">
        <f>'[5]Balance Sheets'!$C$19</f>
        <v>60681</v>
      </c>
      <c r="X20" s="179">
        <f>'[6]Balance Sheets'!$C$19</f>
        <v>56487</v>
      </c>
      <c r="Y20" s="179">
        <f>'[7]Balance Sheets'!$C$20</f>
        <v>53315</v>
      </c>
      <c r="Z20" s="179">
        <f>'[8]Balance Sheets'!$C$19</f>
        <v>50164</v>
      </c>
      <c r="AA20" s="179">
        <f>'[9]Balance Sheets'!$C$19</f>
        <v>47080</v>
      </c>
      <c r="AB20" s="179">
        <f>'[10]Balance Sheets'!$C19</f>
        <v>44003</v>
      </c>
      <c r="AC20" s="139">
        <f>SUM('[11]Balance Sheet'!C20:AA20)-SUM(C20:AA20)</f>
        <v>0</v>
      </c>
      <c r="AD20" s="73"/>
      <c r="AE20" s="73"/>
    </row>
    <row r="21" spans="1:46" ht="14" x14ac:dyDescent="0.15">
      <c r="A21" s="17" t="s">
        <v>177</v>
      </c>
      <c r="B21" s="91"/>
      <c r="C21" s="107">
        <v>2944</v>
      </c>
      <c r="D21" s="107">
        <v>2886</v>
      </c>
      <c r="E21" s="107">
        <v>2824</v>
      </c>
      <c r="F21" s="107">
        <v>2753</v>
      </c>
      <c r="G21" s="107">
        <v>2686</v>
      </c>
      <c r="H21" s="107">
        <v>2624</v>
      </c>
      <c r="I21" s="107">
        <v>2555</v>
      </c>
      <c r="J21" s="107">
        <f>'[1]Balance Sheets'!C24</f>
        <v>2484</v>
      </c>
      <c r="K21" s="179">
        <v>3128</v>
      </c>
      <c r="L21" s="179">
        <v>3063</v>
      </c>
      <c r="M21" s="179">
        <v>2991</v>
      </c>
      <c r="N21" s="179">
        <f>'[2]Balance Sheets'!C24</f>
        <v>2957</v>
      </c>
      <c r="O21" s="179">
        <v>2921</v>
      </c>
      <c r="P21" s="179">
        <v>2929</v>
      </c>
      <c r="Q21" s="179">
        <v>2957</v>
      </c>
      <c r="R21" s="179">
        <f>'[3]Balance Sheets'!C24</f>
        <v>3004</v>
      </c>
      <c r="S21" s="179">
        <v>3118</v>
      </c>
      <c r="T21" s="179">
        <v>3261</v>
      </c>
      <c r="U21" s="179">
        <f>ROUND('[26]BS 2022'!$AO$29,0)</f>
        <v>3369</v>
      </c>
      <c r="V21" s="179">
        <f>ROUND('[27]BS Dump Dec 22'!$AL$70/1000,0)</f>
        <v>3438</v>
      </c>
      <c r="W21" s="179">
        <f>ROUND('[28]BS Dump Mar 23'!$AL$70/1000,0)</f>
        <v>3504</v>
      </c>
      <c r="X21" s="179">
        <f>ROUND('[29]BS Dump Jun 23'!$AL$70/1000,0)</f>
        <v>3570</v>
      </c>
      <c r="Y21" s="179">
        <f>ROUND('[30]BS Dump Sep 23'!$AL$70/1000,0)</f>
        <v>4195</v>
      </c>
      <c r="Z21" s="179">
        <f>ROUND('[31]BS Dump Dec 23'!$AL$73/1000,0)</f>
        <v>4191</v>
      </c>
      <c r="AA21" s="179">
        <f>ROUND('[32]BS Dump Mar 24'!$AL$73/1000,0)-1</f>
        <v>4163</v>
      </c>
      <c r="AB21" s="179">
        <f>ROUND('[33]BS Dump Jun 24'!$AL$74/1000,0)</f>
        <v>4155</v>
      </c>
      <c r="AC21" s="139">
        <f>SUM('[11]Balance Sheet'!C21:AA21)-SUM(C21:AA21)</f>
        <v>0</v>
      </c>
      <c r="AD21" s="73"/>
      <c r="AE21" s="73"/>
    </row>
    <row r="22" spans="1:46" ht="14" x14ac:dyDescent="0.15">
      <c r="A22" s="17" t="s">
        <v>176</v>
      </c>
      <c r="C22" s="155">
        <v>3783</v>
      </c>
      <c r="D22" s="107">
        <v>3645</v>
      </c>
      <c r="E22" s="107">
        <v>3499</v>
      </c>
      <c r="F22" s="107">
        <v>2642</v>
      </c>
      <c r="G22" s="107">
        <v>2575</v>
      </c>
      <c r="H22" s="107">
        <v>2507</v>
      </c>
      <c r="I22" s="107">
        <v>2441</v>
      </c>
      <c r="J22" s="107">
        <f>'[1]Balance Sheets'!C19</f>
        <v>2426</v>
      </c>
      <c r="K22" s="179">
        <v>2291</v>
      </c>
      <c r="L22" s="179">
        <v>2298</v>
      </c>
      <c r="M22" s="179">
        <v>2277</v>
      </c>
      <c r="N22" s="107">
        <f>'[2]Balance Sheets'!C19</f>
        <v>2299</v>
      </c>
      <c r="O22" s="179">
        <v>2298</v>
      </c>
      <c r="P22" s="179">
        <v>2260</v>
      </c>
      <c r="Q22" s="179">
        <v>2302</v>
      </c>
      <c r="R22" s="2">
        <f>ROUND(('[34]BS Dump Dec 21'!$AN$44/10^3),0)+'[3]Balance Sheets'!C19</f>
        <v>2485</v>
      </c>
      <c r="S22" s="107">
        <v>2439</v>
      </c>
      <c r="T22" s="107">
        <v>25053</v>
      </c>
      <c r="U22" s="107">
        <v>33351</v>
      </c>
      <c r="V22" s="215">
        <f>ROUND('[27]BS Dump Dec 22'!$AL$69/1000,0)+'[4]Balance Sheets'!$C$17</f>
        <v>33396</v>
      </c>
      <c r="W22" s="179">
        <f>ROUND('[28]BS Dump Mar 23'!$AL$69/1000,0)+'[5]Balance Sheets'!$C$17</f>
        <v>34124</v>
      </c>
      <c r="X22" s="179">
        <f>ROUNDDOWN('[29]BS Dump Jun 23'!$AL$69/1000,0)+'[6]Balance Sheets'!$C$17</f>
        <v>14587</v>
      </c>
      <c r="Y22" s="179">
        <f>ROUNDDOWN('[30]BS Dump Sep 23'!$AL$69/1000,0)+'[7]Balance Sheets'!$C$17</f>
        <v>3125</v>
      </c>
      <c r="Z22" s="179">
        <f>ROUND('[31]BS Dump Dec 23'!$AL$72/1000,0)+'[8]Balance Sheets'!$C$17</f>
        <v>4625</v>
      </c>
      <c r="AA22" s="179">
        <f>ROUND('[32]BS Dump Mar 24'!$AL$72/1000,0)+'[9]Balance Sheets'!$C$17</f>
        <v>4617</v>
      </c>
      <c r="AB22" s="179">
        <f>ROUND(SUM('[33]BS Dump Jun 24'!$AL$72:$AL$73,'[33]BS Dump Jun 24'!$AL$75)/1000,0)-1</f>
        <v>15084</v>
      </c>
      <c r="AC22" s="139">
        <f>SUM('[11]Balance Sheet'!C22:AA22)+SUM('[11]Balance Sheet'!C17:AA17)-SUM(C22:AA22)</f>
        <v>0</v>
      </c>
      <c r="AD22" s="73"/>
      <c r="AE22" s="73"/>
    </row>
    <row r="23" spans="1:46" ht="14" x14ac:dyDescent="0.15">
      <c r="A23" s="55" t="s">
        <v>26</v>
      </c>
      <c r="B23" s="91"/>
      <c r="C23" s="107">
        <v>33863</v>
      </c>
      <c r="D23" s="107">
        <v>36033</v>
      </c>
      <c r="E23" s="107">
        <v>32779</v>
      </c>
      <c r="F23" s="107">
        <v>31015</v>
      </c>
      <c r="G23" s="107">
        <v>33164</v>
      </c>
      <c r="H23" s="107">
        <v>33194</v>
      </c>
      <c r="I23" s="107">
        <v>32967</v>
      </c>
      <c r="J23" s="107">
        <f>'[1]Balance Sheets'!C23</f>
        <v>36016</v>
      </c>
      <c r="K23" s="179">
        <v>32045</v>
      </c>
      <c r="L23" s="179">
        <v>31599</v>
      </c>
      <c r="M23" s="179">
        <v>34280</v>
      </c>
      <c r="N23" s="179">
        <f>'[2]Balance Sheets'!C23</f>
        <v>32099</v>
      </c>
      <c r="O23" s="179">
        <v>29669</v>
      </c>
      <c r="P23" s="179">
        <v>27472</v>
      </c>
      <c r="Q23" s="179">
        <v>27154</v>
      </c>
      <c r="R23" s="179">
        <f>'[3]Balance Sheets'!C23-ROUND(('[34]BS Dump Dec 21'!$AN$44/10^3),0)</f>
        <v>30183</v>
      </c>
      <c r="S23" s="179">
        <v>32031</v>
      </c>
      <c r="T23" s="179">
        <v>30198</v>
      </c>
      <c r="U23" s="179">
        <f>ROUND('[26]BS 2022'!$AO$28,0)-ROUND(('[26]BS Dump Sep 22'!$AL$48/10^3),0)</f>
        <v>29838</v>
      </c>
      <c r="V23" s="179">
        <f>'[4]Balance Sheets'!$C$21</f>
        <v>32069</v>
      </c>
      <c r="W23" s="179">
        <f>'[5]Balance Sheets'!$C$21</f>
        <v>36525</v>
      </c>
      <c r="X23" s="179">
        <f>'[6]Balance Sheets'!$C$21</f>
        <v>48255</v>
      </c>
      <c r="Y23" s="179">
        <f>'[7]Balance Sheets'!$C$21</f>
        <v>51398</v>
      </c>
      <c r="Z23" s="179">
        <f>'[8]Balance Sheets'!$C$21</f>
        <v>49524</v>
      </c>
      <c r="AA23" s="179">
        <f>'[9]Balance Sheets'!$C$21</f>
        <v>52979</v>
      </c>
      <c r="AB23" s="179">
        <f>'[10]Balance Sheets'!$C21</f>
        <v>53939</v>
      </c>
      <c r="AC23" s="139">
        <f>SUM('[11]Balance Sheet'!C23:AA23)-SUM(C23:AA23)</f>
        <v>0</v>
      </c>
      <c r="AD23" s="73"/>
      <c r="AE23" s="73"/>
    </row>
    <row r="24" spans="1:46" s="1" customFormat="1" ht="14" x14ac:dyDescent="0.15">
      <c r="A24" s="37" t="s">
        <v>70</v>
      </c>
      <c r="B24" s="96"/>
      <c r="C24" s="86">
        <f t="shared" ref="C24:Y24" si="4">SUM(C13:C23)</f>
        <v>798270</v>
      </c>
      <c r="D24" s="86">
        <f t="shared" si="4"/>
        <v>790263</v>
      </c>
      <c r="E24" s="86">
        <f t="shared" si="4"/>
        <v>1045137</v>
      </c>
      <c r="F24" s="86">
        <f t="shared" si="4"/>
        <v>1061936</v>
      </c>
      <c r="G24" s="86">
        <f t="shared" si="4"/>
        <v>1182582</v>
      </c>
      <c r="H24" s="86">
        <f t="shared" si="4"/>
        <v>1137467</v>
      </c>
      <c r="I24" s="86">
        <f t="shared" si="4"/>
        <v>1145978</v>
      </c>
      <c r="J24" s="86">
        <f t="shared" si="4"/>
        <v>1183088</v>
      </c>
      <c r="K24" s="86">
        <f t="shared" si="4"/>
        <v>1267259</v>
      </c>
      <c r="L24" s="86">
        <f t="shared" si="4"/>
        <v>1193613</v>
      </c>
      <c r="M24" s="86">
        <f t="shared" si="4"/>
        <v>1219481</v>
      </c>
      <c r="N24" s="86">
        <f t="shared" si="4"/>
        <v>1247857</v>
      </c>
      <c r="O24" s="86">
        <f t="shared" si="4"/>
        <v>1226366</v>
      </c>
      <c r="P24" s="86">
        <f t="shared" si="4"/>
        <v>1169346</v>
      </c>
      <c r="Q24" s="86">
        <f t="shared" si="4"/>
        <v>1168070</v>
      </c>
      <c r="R24" s="86">
        <f t="shared" si="4"/>
        <v>1282904</v>
      </c>
      <c r="S24" s="86">
        <f t="shared" si="4"/>
        <v>1274549</v>
      </c>
      <c r="T24" s="86">
        <f t="shared" si="4"/>
        <v>1290934</v>
      </c>
      <c r="U24" s="86">
        <f t="shared" si="4"/>
        <v>1318728</v>
      </c>
      <c r="V24" s="86">
        <f t="shared" si="4"/>
        <v>1346119</v>
      </c>
      <c r="W24" s="86">
        <f t="shared" si="4"/>
        <v>1308571</v>
      </c>
      <c r="X24" s="86">
        <f t="shared" si="4"/>
        <v>1362702</v>
      </c>
      <c r="Y24" s="86">
        <f t="shared" si="4"/>
        <v>1402493</v>
      </c>
      <c r="Z24" s="86">
        <f t="shared" ref="Z24:AA24" si="5">SUM(Z13:Z23)</f>
        <v>1441972</v>
      </c>
      <c r="AA24" s="86">
        <f t="shared" si="5"/>
        <v>1439391</v>
      </c>
      <c r="AB24" s="86">
        <f t="shared" ref="AB24" si="6">SUM(AB13:AB23)</f>
        <v>1503767</v>
      </c>
      <c r="AC24" s="139">
        <f>SUM('[11]Balance Sheet'!C24:AA24)-SUM(C24:AA24)</f>
        <v>0</v>
      </c>
      <c r="AD24" s="73"/>
      <c r="AE24" s="73"/>
      <c r="AH24" s="2"/>
      <c r="AI24" s="2"/>
      <c r="AJ24" s="2"/>
      <c r="AK24" s="2"/>
      <c r="AL24" s="2"/>
      <c r="AM24" s="2"/>
      <c r="AN24" s="2"/>
      <c r="AO24" s="2"/>
      <c r="AP24" s="2"/>
      <c r="AQ24" s="2"/>
      <c r="AR24" s="2"/>
      <c r="AS24" s="2"/>
      <c r="AT24" s="2"/>
    </row>
    <row r="25" spans="1:46" ht="14" x14ac:dyDescent="0.15">
      <c r="A25" s="19" t="s">
        <v>18</v>
      </c>
      <c r="B25" s="85"/>
      <c r="AC25" s="73"/>
      <c r="AE25" s="73"/>
    </row>
    <row r="26" spans="1:46" ht="14" x14ac:dyDescent="0.15">
      <c r="A26" s="40" t="s">
        <v>208</v>
      </c>
      <c r="B26" s="95"/>
      <c r="AC26" s="73"/>
      <c r="AE26" s="73"/>
    </row>
    <row r="27" spans="1:46" ht="14" x14ac:dyDescent="0.15">
      <c r="A27" s="53" t="s">
        <v>20</v>
      </c>
      <c r="B27" s="85"/>
      <c r="AC27" s="73"/>
      <c r="AE27" s="73"/>
    </row>
    <row r="28" spans="1:46" s="1" customFormat="1" ht="14" x14ac:dyDescent="0.15">
      <c r="A28" s="54" t="s">
        <v>21</v>
      </c>
      <c r="B28" s="94"/>
      <c r="C28" s="107">
        <v>4114</v>
      </c>
      <c r="D28" s="107">
        <v>5428</v>
      </c>
      <c r="E28" s="107">
        <v>4310</v>
      </c>
      <c r="F28" s="107">
        <v>5653</v>
      </c>
      <c r="G28" s="107">
        <v>4560</v>
      </c>
      <c r="H28" s="107">
        <v>3269</v>
      </c>
      <c r="I28" s="107">
        <v>3658</v>
      </c>
      <c r="J28" s="107">
        <f>'[1]Balance Sheets'!C28</f>
        <v>6564</v>
      </c>
      <c r="K28" s="179">
        <v>8048</v>
      </c>
      <c r="L28" s="179">
        <v>9048</v>
      </c>
      <c r="M28" s="179">
        <v>6213</v>
      </c>
      <c r="N28" s="179">
        <f>'[2]Balance Sheets'!C28</f>
        <v>6992</v>
      </c>
      <c r="O28" s="179">
        <v>8304</v>
      </c>
      <c r="P28" s="179">
        <v>3877</v>
      </c>
      <c r="Q28" s="179">
        <v>2881</v>
      </c>
      <c r="R28" s="179">
        <v>5647</v>
      </c>
      <c r="S28" s="179">
        <v>4796</v>
      </c>
      <c r="T28" s="179">
        <v>4377</v>
      </c>
      <c r="U28" s="179">
        <v>3487</v>
      </c>
      <c r="V28" s="179">
        <f>'[4]Balance Sheets'!$C$26</f>
        <v>7789</v>
      </c>
      <c r="W28" s="179">
        <f>'[5]Balance Sheets'!$C$26</f>
        <v>3384</v>
      </c>
      <c r="X28" s="179">
        <f>'[6]Balance Sheets'!$C$26</f>
        <v>3019</v>
      </c>
      <c r="Y28" s="179">
        <f>'[7]Balance Sheets'!$C$26</f>
        <v>3159</v>
      </c>
      <c r="Z28" s="179">
        <f>'[8]Balance Sheets'!$C$26</f>
        <v>5055</v>
      </c>
      <c r="AA28" s="179">
        <f>'[9]Balance Sheets'!$C$26</f>
        <v>3093</v>
      </c>
      <c r="AB28" s="179">
        <f>'[10]Balance Sheets'!$C26</f>
        <v>2996</v>
      </c>
      <c r="AC28" s="139">
        <f>SUM('[11]Balance Sheet'!C28:AA28)-SUM(C28:AA28)</f>
        <v>0</v>
      </c>
      <c r="AD28" s="73"/>
      <c r="AE28" s="73"/>
      <c r="AH28" s="2"/>
      <c r="AI28" s="2"/>
      <c r="AJ28" s="2"/>
      <c r="AK28" s="2"/>
      <c r="AL28" s="2"/>
      <c r="AM28" s="2"/>
      <c r="AN28" s="2"/>
      <c r="AO28" s="2"/>
      <c r="AP28" s="2"/>
      <c r="AQ28" s="2"/>
      <c r="AR28" s="2"/>
      <c r="AS28" s="2"/>
      <c r="AT28" s="2"/>
    </row>
    <row r="29" spans="1:46" s="1" customFormat="1" ht="14" x14ac:dyDescent="0.15">
      <c r="A29" s="54" t="s">
        <v>119</v>
      </c>
      <c r="B29" s="94"/>
      <c r="C29" s="107">
        <v>318</v>
      </c>
      <c r="D29" s="107">
        <v>10318</v>
      </c>
      <c r="E29" s="107">
        <v>12318</v>
      </c>
      <c r="F29" s="107">
        <v>21423</v>
      </c>
      <c r="G29" s="107">
        <v>20876</v>
      </c>
      <c r="H29" s="107">
        <v>20885</v>
      </c>
      <c r="I29" s="107">
        <v>20876</v>
      </c>
      <c r="J29" s="107">
        <f>'[1]Balance Sheets'!C29</f>
        <v>40867</v>
      </c>
      <c r="K29" s="179">
        <v>100666</v>
      </c>
      <c r="L29" s="179">
        <v>20657</v>
      </c>
      <c r="M29" s="179">
        <v>10474</v>
      </c>
      <c r="N29" s="179">
        <f>'[2]Balance Sheets'!C29</f>
        <v>25000</v>
      </c>
      <c r="O29" s="179">
        <v>25000</v>
      </c>
      <c r="P29" s="179">
        <v>15000</v>
      </c>
      <c r="Q29" s="179">
        <v>15000</v>
      </c>
      <c r="R29" s="179">
        <f>'[3]Balance Sheets'!C29</f>
        <v>260016</v>
      </c>
      <c r="S29" s="179">
        <v>35000</v>
      </c>
      <c r="T29" s="179">
        <v>35000</v>
      </c>
      <c r="U29" s="179">
        <v>35000</v>
      </c>
      <c r="V29" s="179">
        <f>'[4]Balance Sheets'!$C$27</f>
        <v>30000</v>
      </c>
      <c r="W29" s="179">
        <f>'[5]Balance Sheets'!$C$27</f>
        <v>40000</v>
      </c>
      <c r="X29" s="179">
        <f>'[6]Balance Sheets'!$C$27</f>
        <v>30000</v>
      </c>
      <c r="Y29" s="179">
        <f>'[7]Balance Sheets'!$C$27</f>
        <v>50000</v>
      </c>
      <c r="Z29" s="179">
        <f>'[8]Balance Sheets'!$C$27</f>
        <v>65000</v>
      </c>
      <c r="AA29" s="179">
        <f>'[9]Balance Sheets'!$C$27</f>
        <v>65000</v>
      </c>
      <c r="AB29" s="179">
        <f>'[10]Balance Sheets'!$C27</f>
        <v>75000</v>
      </c>
      <c r="AC29" s="139">
        <f>SUM('[11]Balance Sheet'!C29:AA29)-SUM(C29:AA29)</f>
        <v>0</v>
      </c>
      <c r="AD29" s="73"/>
      <c r="AE29" s="73"/>
      <c r="AH29" s="2"/>
      <c r="AI29" s="2"/>
      <c r="AJ29" s="2"/>
      <c r="AK29" s="2"/>
      <c r="AL29" s="2"/>
      <c r="AM29" s="2"/>
      <c r="AN29" s="2"/>
      <c r="AO29" s="2"/>
      <c r="AP29" s="2"/>
      <c r="AQ29" s="2"/>
      <c r="AR29" s="2"/>
      <c r="AS29" s="2"/>
      <c r="AT29" s="2"/>
    </row>
    <row r="30" spans="1:46" ht="14" x14ac:dyDescent="0.15">
      <c r="A30" s="54" t="s">
        <v>22</v>
      </c>
      <c r="B30" s="93"/>
      <c r="C30" s="107">
        <v>11504</v>
      </c>
      <c r="D30" s="107">
        <v>10448</v>
      </c>
      <c r="E30" s="107">
        <v>7600</v>
      </c>
      <c r="F30" s="107">
        <v>7722</v>
      </c>
      <c r="G30" s="107">
        <v>11132</v>
      </c>
      <c r="H30" s="107">
        <v>11790</v>
      </c>
      <c r="I30" s="107">
        <v>9585</v>
      </c>
      <c r="J30" s="107">
        <f>'[1]Balance Sheets'!C30</f>
        <v>13436</v>
      </c>
      <c r="K30" s="179">
        <v>16038</v>
      </c>
      <c r="L30" s="179">
        <v>16752</v>
      </c>
      <c r="M30" s="179">
        <v>13562</v>
      </c>
      <c r="N30" s="179">
        <f>'[2]Balance Sheets'!C30</f>
        <v>32649</v>
      </c>
      <c r="O30" s="179">
        <v>14764</v>
      </c>
      <c r="P30" s="179">
        <v>12017</v>
      </c>
      <c r="Q30" s="179">
        <v>11866</v>
      </c>
      <c r="R30" s="179">
        <f>'[3]Balance Sheets'!C30</f>
        <v>20000</v>
      </c>
      <c r="S30" s="179">
        <v>22571</v>
      </c>
      <c r="T30" s="179">
        <v>22013</v>
      </c>
      <c r="U30" s="179">
        <v>19279</v>
      </c>
      <c r="V30" s="179">
        <f>'[4]Balance Sheets'!$C$28</f>
        <v>18782</v>
      </c>
      <c r="W30" s="179">
        <f>'[5]Balance Sheets'!$C$28</f>
        <v>21525</v>
      </c>
      <c r="X30" s="179">
        <f>'[6]Balance Sheets'!$C$28</f>
        <v>20755</v>
      </c>
      <c r="Y30" s="179">
        <f>'[7]Balance Sheets'!$C$28</f>
        <v>13766</v>
      </c>
      <c r="Z30" s="179">
        <f>'[8]Balance Sheets'!$C$28</f>
        <v>12318</v>
      </c>
      <c r="AA30" s="179">
        <f>'[9]Balance Sheets'!$C$28</f>
        <v>16939</v>
      </c>
      <c r="AB30" s="179">
        <f>'[10]Balance Sheets'!$C28</f>
        <v>15406</v>
      </c>
      <c r="AC30" s="139">
        <f>SUM('[11]Balance Sheet'!C30:AA30)-SUM(C30:AA30)</f>
        <v>0</v>
      </c>
      <c r="AD30" s="73"/>
      <c r="AE30" s="73"/>
    </row>
    <row r="31" spans="1:46" ht="14" x14ac:dyDescent="0.15">
      <c r="A31" s="54" t="s">
        <v>23</v>
      </c>
      <c r="B31" s="93"/>
      <c r="C31" s="107">
        <v>27615</v>
      </c>
      <c r="D31" s="107">
        <v>33338</v>
      </c>
      <c r="E31" s="107">
        <v>46638</v>
      </c>
      <c r="F31" s="107">
        <v>54893</v>
      </c>
      <c r="G31" s="107">
        <v>31954</v>
      </c>
      <c r="H31" s="107">
        <v>42967</v>
      </c>
      <c r="I31" s="107">
        <v>59568</v>
      </c>
      <c r="J31" s="107">
        <v>68885</v>
      </c>
      <c r="K31" s="179">
        <v>28937</v>
      </c>
      <c r="L31" s="179">
        <v>42376</v>
      </c>
      <c r="M31" s="179">
        <v>57402</v>
      </c>
      <c r="N31" s="179">
        <f>'[2]Balance Sheets'!C31</f>
        <v>67645</v>
      </c>
      <c r="O31" s="179">
        <v>43492</v>
      </c>
      <c r="P31" s="179">
        <v>70496</v>
      </c>
      <c r="Q31" s="179">
        <v>95833</v>
      </c>
      <c r="R31" s="179">
        <f>'[3]Balance Sheets'!C31</f>
        <v>114285</v>
      </c>
      <c r="S31" s="179">
        <v>52276</v>
      </c>
      <c r="T31" s="179">
        <v>75698</v>
      </c>
      <c r="U31" s="179">
        <v>92252</v>
      </c>
      <c r="V31" s="179">
        <f>'[4]Balance Sheets'!$C$29</f>
        <v>108100</v>
      </c>
      <c r="W31" s="179">
        <f>'[5]Balance Sheets'!$C$29</f>
        <v>49955</v>
      </c>
      <c r="X31" s="179">
        <f>'[6]Balance Sheets'!$C$29</f>
        <v>82044</v>
      </c>
      <c r="Y31" s="179">
        <f>'[7]Balance Sheets'!$C$29</f>
        <v>105535</v>
      </c>
      <c r="Z31" s="179">
        <f>'[8]Balance Sheets'!$C$29</f>
        <v>117137</v>
      </c>
      <c r="AA31" s="179">
        <f>'[9]Balance Sheets'!$C$29</f>
        <v>50970</v>
      </c>
      <c r="AB31" s="179">
        <f>'[10]Balance Sheets'!$C29</f>
        <v>80443</v>
      </c>
      <c r="AC31" s="139">
        <f>SUM('[11]Balance Sheet'!C31:AA31)-SUM(C31:AA31)</f>
        <v>0</v>
      </c>
      <c r="AD31" s="73"/>
      <c r="AE31" s="73"/>
    </row>
    <row r="32" spans="1:46" ht="14" x14ac:dyDescent="0.15">
      <c r="A32" s="214" t="s">
        <v>46</v>
      </c>
      <c r="B32" s="93"/>
      <c r="C32" s="107">
        <v>61394</v>
      </c>
      <c r="D32" s="107">
        <v>60105</v>
      </c>
      <c r="E32" s="107">
        <v>67305</v>
      </c>
      <c r="F32" s="107">
        <f>64392+1012</f>
        <v>65404</v>
      </c>
      <c r="G32" s="107">
        <f>66110+595</f>
        <v>66705</v>
      </c>
      <c r="H32" s="107">
        <f>65286+604</f>
        <v>65890</v>
      </c>
      <c r="I32" s="107">
        <f>70124+575</f>
        <v>70699</v>
      </c>
      <c r="J32" s="107">
        <v>75449</v>
      </c>
      <c r="K32" s="179">
        <f>84747+1692</f>
        <v>86439</v>
      </c>
      <c r="L32" s="179">
        <f>74772+2359</f>
        <v>77131</v>
      </c>
      <c r="M32" s="179">
        <f>73043+5157</f>
        <v>78200</v>
      </c>
      <c r="N32" s="179">
        <f>'[2]Balance Sheets'!C32+'[2]Balance Sheets'!C34</f>
        <v>69898</v>
      </c>
      <c r="O32" s="179">
        <f>73241+14443</f>
        <v>87684</v>
      </c>
      <c r="P32" s="179">
        <f>76424+11256</f>
        <v>87680</v>
      </c>
      <c r="Q32" s="179">
        <f>67926+11080</f>
        <v>79006</v>
      </c>
      <c r="R32" s="179">
        <v>77251</v>
      </c>
      <c r="S32" s="179">
        <v>88170</v>
      </c>
      <c r="T32" s="179">
        <v>110378</v>
      </c>
      <c r="U32" s="179">
        <v>120210</v>
      </c>
      <c r="V32" s="179">
        <f>'[4]Balance Sheets'!$C$30+'[4]Balance Sheets'!$C$32</f>
        <v>98297</v>
      </c>
      <c r="W32" s="179">
        <f>'[5]Balance Sheets'!$C$30+'[5]Balance Sheets'!$C$32</f>
        <v>151945</v>
      </c>
      <c r="X32" s="179">
        <f>'[6]Balance Sheets'!$C$30+'[6]Balance Sheets'!$C$32</f>
        <v>108763</v>
      </c>
      <c r="Y32" s="179">
        <f>'[7]Balance Sheets'!$C$30+'[7]Balance Sheets'!$C$32</f>
        <v>119678</v>
      </c>
      <c r="Z32" s="179">
        <f>'[8]Balance Sheets'!$C$30+'[8]Balance Sheets'!$C$32</f>
        <v>114113</v>
      </c>
      <c r="AA32" s="179">
        <f>'[9]Balance Sheets'!$C$30+'[9]Balance Sheets'!$C$32</f>
        <v>111953</v>
      </c>
      <c r="AB32" s="179">
        <f>'[10]Balance Sheets'!$C30+'[10]Balance Sheets'!$C$32</f>
        <v>97613</v>
      </c>
      <c r="AC32" s="139">
        <f>SUM('[11]Balance Sheet'!C32:AA32)+SUM('[11]Balance Sheet'!C34:AA34)-SUM(C32:AA32)</f>
        <v>0</v>
      </c>
      <c r="AD32" s="73"/>
      <c r="AE32" s="73"/>
    </row>
    <row r="33" spans="1:31" ht="14" x14ac:dyDescent="0.15">
      <c r="A33" s="54" t="s">
        <v>135</v>
      </c>
      <c r="B33" s="93"/>
      <c r="C33" s="107">
        <v>0</v>
      </c>
      <c r="D33" s="107">
        <v>0</v>
      </c>
      <c r="E33" s="107">
        <v>0</v>
      </c>
      <c r="F33" s="107">
        <v>0</v>
      </c>
      <c r="G33" s="107">
        <v>22306</v>
      </c>
      <c r="H33" s="107">
        <v>23439</v>
      </c>
      <c r="I33" s="107">
        <v>23516</v>
      </c>
      <c r="J33" s="107">
        <f>'[1]Balance Sheets'!$C$33</f>
        <v>24148</v>
      </c>
      <c r="K33" s="179">
        <v>18236</v>
      </c>
      <c r="L33" s="179">
        <v>18199</v>
      </c>
      <c r="M33" s="179">
        <v>19048</v>
      </c>
      <c r="N33" s="179">
        <f>'[2]Balance Sheets'!C33</f>
        <v>18894</v>
      </c>
      <c r="O33" s="179">
        <v>18476</v>
      </c>
      <c r="P33" s="179">
        <v>18039</v>
      </c>
      <c r="Q33" s="179">
        <v>18340</v>
      </c>
      <c r="R33" s="179">
        <f>'[3]Balance Sheets'!C33</f>
        <v>18487</v>
      </c>
      <c r="S33" s="179">
        <v>19308</v>
      </c>
      <c r="T33" s="179">
        <v>18548</v>
      </c>
      <c r="U33" s="179">
        <v>16740</v>
      </c>
      <c r="V33" s="179">
        <f>'[4]Balance Sheets'!$C$31</f>
        <v>14978</v>
      </c>
      <c r="W33" s="179">
        <f>'[5]Balance Sheets'!$C$31</f>
        <v>14095</v>
      </c>
      <c r="X33" s="179">
        <f>'[6]Balance Sheets'!$C$31</f>
        <v>14482</v>
      </c>
      <c r="Y33" s="179">
        <f>'[7]Balance Sheets'!$C$31</f>
        <v>14008</v>
      </c>
      <c r="Z33" s="179">
        <f>'[8]Balance Sheets'!$C$31</f>
        <v>12780</v>
      </c>
      <c r="AA33" s="179">
        <f>'[9]Balance Sheets'!$C$31</f>
        <v>13486</v>
      </c>
      <c r="AB33" s="179">
        <f>'[10]Balance Sheets'!$C31</f>
        <v>15404</v>
      </c>
      <c r="AC33" s="139">
        <f>SUM('[11]Balance Sheet'!C33:AA33)-SUM(C33:AA33)</f>
        <v>0</v>
      </c>
      <c r="AD33" s="73"/>
      <c r="AE33" s="73"/>
    </row>
    <row r="34" spans="1:31" ht="14" hidden="1" x14ac:dyDescent="0.15">
      <c r="A34" s="279" t="s">
        <v>141</v>
      </c>
      <c r="B34" s="93"/>
      <c r="C34" s="107">
        <v>0</v>
      </c>
      <c r="D34" s="107">
        <v>0</v>
      </c>
      <c r="E34" s="107">
        <v>0</v>
      </c>
      <c r="F34" s="107">
        <v>0</v>
      </c>
      <c r="G34" s="107">
        <v>0</v>
      </c>
      <c r="H34" s="107">
        <v>0</v>
      </c>
      <c r="I34" s="107">
        <v>0</v>
      </c>
      <c r="J34" s="107">
        <v>0</v>
      </c>
      <c r="K34" s="179">
        <v>0</v>
      </c>
      <c r="L34" s="179">
        <v>0</v>
      </c>
      <c r="M34" s="179">
        <v>0</v>
      </c>
      <c r="N34" s="179">
        <v>0</v>
      </c>
      <c r="O34" s="179">
        <v>0</v>
      </c>
      <c r="P34" s="179">
        <v>0</v>
      </c>
      <c r="Q34" s="179">
        <v>0</v>
      </c>
      <c r="R34" s="179">
        <v>0</v>
      </c>
      <c r="S34" s="179">
        <v>0</v>
      </c>
      <c r="T34" s="179">
        <v>0</v>
      </c>
      <c r="U34" s="179">
        <v>0</v>
      </c>
      <c r="V34" s="179">
        <v>0</v>
      </c>
      <c r="W34" s="179">
        <v>0</v>
      </c>
      <c r="X34" s="179">
        <v>0</v>
      </c>
      <c r="Y34" s="179">
        <v>0</v>
      </c>
      <c r="Z34" s="179">
        <v>0</v>
      </c>
      <c r="AA34" s="179">
        <v>0</v>
      </c>
      <c r="AB34" s="179">
        <v>0</v>
      </c>
      <c r="AC34" s="139"/>
      <c r="AD34" s="73"/>
      <c r="AE34" s="73"/>
    </row>
    <row r="35" spans="1:31" ht="14" x14ac:dyDescent="0.15">
      <c r="A35" s="41" t="s">
        <v>24</v>
      </c>
      <c r="B35" s="99"/>
      <c r="C35" s="98">
        <f t="shared" ref="C35:F35" si="7">SUM(C28:C34)</f>
        <v>104945</v>
      </c>
      <c r="D35" s="98">
        <f t="shared" si="7"/>
        <v>119637</v>
      </c>
      <c r="E35" s="98">
        <f t="shared" si="7"/>
        <v>138171</v>
      </c>
      <c r="F35" s="98">
        <f t="shared" si="7"/>
        <v>155095</v>
      </c>
      <c r="G35" s="98">
        <f t="shared" ref="G35:M35" si="8">SUM(G28:G34)</f>
        <v>157533</v>
      </c>
      <c r="H35" s="98">
        <f t="shared" si="8"/>
        <v>168240</v>
      </c>
      <c r="I35" s="98">
        <f t="shared" si="8"/>
        <v>187902</v>
      </c>
      <c r="J35" s="98">
        <f t="shared" si="8"/>
        <v>229349</v>
      </c>
      <c r="K35" s="98">
        <f t="shared" si="8"/>
        <v>258364</v>
      </c>
      <c r="L35" s="98">
        <f t="shared" si="8"/>
        <v>184163</v>
      </c>
      <c r="M35" s="98">
        <f t="shared" si="8"/>
        <v>184899</v>
      </c>
      <c r="N35" s="98">
        <f>ROUND(SUM(N28:N34),0)</f>
        <v>221078</v>
      </c>
      <c r="O35" s="98">
        <f t="shared" ref="O35:P35" si="9">SUM(O28:O34)</f>
        <v>197720</v>
      </c>
      <c r="P35" s="98">
        <f t="shared" si="9"/>
        <v>207109</v>
      </c>
      <c r="Q35" s="98">
        <f t="shared" ref="Q35:R35" si="10">SUM(Q28:Q34)</f>
        <v>222926</v>
      </c>
      <c r="R35" s="98">
        <f t="shared" si="10"/>
        <v>495686</v>
      </c>
      <c r="S35" s="98">
        <f t="shared" ref="S35:V35" si="11">SUM(S28:S34)</f>
        <v>222121</v>
      </c>
      <c r="T35" s="98">
        <f t="shared" si="11"/>
        <v>266014</v>
      </c>
      <c r="U35" s="98">
        <f t="shared" si="11"/>
        <v>286968</v>
      </c>
      <c r="V35" s="242">
        <f t="shared" si="11"/>
        <v>277946</v>
      </c>
      <c r="W35" s="242">
        <f t="shared" ref="W35:X35" si="12">SUM(W28:W34)</f>
        <v>280904</v>
      </c>
      <c r="X35" s="242">
        <f t="shared" si="12"/>
        <v>259063</v>
      </c>
      <c r="Y35" s="242">
        <f t="shared" ref="Y35" si="13">SUM(Y28:Y34)</f>
        <v>306146</v>
      </c>
      <c r="Z35" s="242">
        <f t="shared" ref="Z35:AA35" si="14">SUM(Z28:Z34)</f>
        <v>326403</v>
      </c>
      <c r="AA35" s="242">
        <f t="shared" si="14"/>
        <v>261441</v>
      </c>
      <c r="AB35" s="242">
        <f t="shared" ref="AB35" si="15">SUM(AB28:AB34)</f>
        <v>286862</v>
      </c>
      <c r="AC35" s="139">
        <f>SUM('[11]Balance Sheet'!C35:AA35)-SUM(C35:AA35)</f>
        <v>0</v>
      </c>
      <c r="AD35" s="73"/>
      <c r="AE35" s="73"/>
    </row>
    <row r="36" spans="1:31" ht="14" x14ac:dyDescent="0.15">
      <c r="A36" s="58" t="s">
        <v>18</v>
      </c>
      <c r="B36" s="93"/>
      <c r="AC36" s="73"/>
      <c r="AE36" s="73"/>
    </row>
    <row r="37" spans="1:31" ht="14" x14ac:dyDescent="0.15">
      <c r="A37" s="56" t="s">
        <v>188</v>
      </c>
      <c r="B37" s="93"/>
      <c r="C37" s="107">
        <v>67355</v>
      </c>
      <c r="D37" s="107">
        <v>57326</v>
      </c>
      <c r="E37" s="107">
        <v>288309</v>
      </c>
      <c r="F37" s="107">
        <v>263241</v>
      </c>
      <c r="G37" s="107">
        <v>299765</v>
      </c>
      <c r="H37" s="107">
        <v>231409</v>
      </c>
      <c r="I37" s="107">
        <v>223916</v>
      </c>
      <c r="J37" s="107">
        <f>'[1]Balance Sheets'!$C$37</f>
        <v>194131</v>
      </c>
      <c r="K37" s="107">
        <v>234820</v>
      </c>
      <c r="L37" s="107">
        <v>215527</v>
      </c>
      <c r="M37" s="107">
        <v>216235</v>
      </c>
      <c r="N37" s="107">
        <f>'[2]Balance Sheets'!$C$37</f>
        <v>201961</v>
      </c>
      <c r="O37" s="107">
        <v>202687</v>
      </c>
      <c r="P37" s="107">
        <v>139432</v>
      </c>
      <c r="Q37" s="107">
        <v>170000</v>
      </c>
      <c r="R37" s="107">
        <f>'[3]Balance Sheets'!$C$37</f>
        <v>0</v>
      </c>
      <c r="S37" s="107">
        <v>260000</v>
      </c>
      <c r="T37" s="107">
        <v>250000</v>
      </c>
      <c r="U37" s="107">
        <v>235000</v>
      </c>
      <c r="V37" s="107">
        <f>'[4]Balance Sheets'!$C$35</f>
        <v>220000</v>
      </c>
      <c r="W37" s="107">
        <f>'[5]Balance Sheets'!$C$35</f>
        <v>160000</v>
      </c>
      <c r="X37" s="107">
        <f>'[6]Balance Sheets'!$C$35</f>
        <v>190000</v>
      </c>
      <c r="Y37" s="107">
        <f>'[7]Balance Sheets'!$C$35</f>
        <v>160000</v>
      </c>
      <c r="Z37" s="107">
        <f>'[8]Balance Sheets'!$C$35</f>
        <v>135000</v>
      </c>
      <c r="AA37" s="107">
        <f>'[9]Balance Sheets'!$C$35</f>
        <v>280000</v>
      </c>
      <c r="AB37" s="107">
        <f>'[10]Balance Sheets'!$C35</f>
        <v>260000</v>
      </c>
      <c r="AC37" s="139">
        <f>SUM('[11]Balance Sheet'!C37:AA37)-SUM(C37:AA37)</f>
        <v>0</v>
      </c>
      <c r="AD37" s="73"/>
      <c r="AE37" s="73"/>
    </row>
    <row r="38" spans="1:31" ht="14" x14ac:dyDescent="0.15">
      <c r="A38" s="54" t="s">
        <v>136</v>
      </c>
      <c r="B38" s="91"/>
      <c r="C38" s="138">
        <v>0</v>
      </c>
      <c r="D38" s="138">
        <v>0</v>
      </c>
      <c r="E38" s="107">
        <v>0</v>
      </c>
      <c r="F38" s="107">
        <v>0</v>
      </c>
      <c r="G38" s="107">
        <v>77060</v>
      </c>
      <c r="H38" s="107">
        <v>80531</v>
      </c>
      <c r="I38" s="107">
        <v>76080</v>
      </c>
      <c r="J38" s="107">
        <f>'[1]Balance Sheets'!C41</f>
        <v>74709</v>
      </c>
      <c r="K38" s="179">
        <v>93707</v>
      </c>
      <c r="L38" s="179">
        <v>90934</v>
      </c>
      <c r="M38" s="179">
        <v>89412</v>
      </c>
      <c r="N38" s="179">
        <f>'[2]Balance Sheets'!$C$41</f>
        <v>84874</v>
      </c>
      <c r="O38" s="179">
        <v>81948</v>
      </c>
      <c r="P38" s="179">
        <v>76518</v>
      </c>
      <c r="Q38" s="179">
        <v>73939</v>
      </c>
      <c r="R38" s="179">
        <f>'[3]Balance Sheets'!C41</f>
        <v>68506</v>
      </c>
      <c r="S38" s="179">
        <v>66173</v>
      </c>
      <c r="T38" s="179">
        <v>59224</v>
      </c>
      <c r="U38" s="179">
        <v>54174</v>
      </c>
      <c r="V38" s="179">
        <f>'[4]Balance Sheets'!$C$38</f>
        <v>48155</v>
      </c>
      <c r="W38" s="179">
        <f>'[5]Balance Sheets'!$C$38</f>
        <v>45655</v>
      </c>
      <c r="X38" s="179">
        <f>'[6]Balance Sheets'!$C$37</f>
        <v>50575</v>
      </c>
      <c r="Y38" s="179">
        <f>'[7]Balance Sheets'!$C$37</f>
        <v>48445</v>
      </c>
      <c r="Z38" s="179">
        <f>'[8]Balance Sheets'!$C$38</f>
        <v>58175</v>
      </c>
      <c r="AA38" s="179">
        <f>'[9]Balance Sheets'!$C$38</f>
        <v>59876</v>
      </c>
      <c r="AB38" s="179">
        <f>'[10]Balance Sheets'!$C37</f>
        <v>64412</v>
      </c>
      <c r="AC38" s="139">
        <f>SUM('[11]Balance Sheet'!C38:AA38)-SUM(C38:AA38)</f>
        <v>0</v>
      </c>
      <c r="AD38" s="73"/>
      <c r="AE38" s="73"/>
    </row>
    <row r="39" spans="1:31" ht="14" x14ac:dyDescent="0.15">
      <c r="A39" s="54" t="s">
        <v>143</v>
      </c>
      <c r="B39" s="91"/>
      <c r="C39" s="138">
        <v>0</v>
      </c>
      <c r="D39" s="138">
        <v>0</v>
      </c>
      <c r="E39" s="107">
        <v>13352</v>
      </c>
      <c r="F39" s="107">
        <v>8445</v>
      </c>
      <c r="G39" s="107">
        <v>10103</v>
      </c>
      <c r="H39" s="107">
        <v>6366</v>
      </c>
      <c r="I39" s="107">
        <v>720</v>
      </c>
      <c r="J39" s="107">
        <f>'[1]Balance Sheets'!C40</f>
        <v>966</v>
      </c>
      <c r="K39" s="179">
        <v>773</v>
      </c>
      <c r="L39" s="179">
        <v>705</v>
      </c>
      <c r="M39" s="179">
        <v>841</v>
      </c>
      <c r="N39" s="179">
        <f>'[2]Balance Sheets'!$C$40</f>
        <v>847</v>
      </c>
      <c r="O39" s="179">
        <v>877</v>
      </c>
      <c r="P39" s="179">
        <v>902</v>
      </c>
      <c r="Q39" s="179">
        <v>901</v>
      </c>
      <c r="R39" s="179">
        <f>'[3]Balance Sheets'!C40</f>
        <v>965</v>
      </c>
      <c r="S39" s="179">
        <v>928</v>
      </c>
      <c r="T39" s="179">
        <v>841</v>
      </c>
      <c r="U39" s="179">
        <v>759</v>
      </c>
      <c r="V39" s="179">
        <f>'[4]Balance Sheets'!$C$37</f>
        <v>547</v>
      </c>
      <c r="W39" s="179">
        <f>'[5]Balance Sheets'!$C$37</f>
        <v>493</v>
      </c>
      <c r="X39" s="179">
        <f>'[6]Balance Sheets'!$C$38</f>
        <v>507</v>
      </c>
      <c r="Y39" s="179">
        <f>'[7]Balance Sheets'!$C$38</f>
        <v>461</v>
      </c>
      <c r="Z39" s="179">
        <f>'[8]Balance Sheets'!$C$37</f>
        <v>1495</v>
      </c>
      <c r="AA39" s="179">
        <f>'[9]Balance Sheets'!$C$37</f>
        <v>1435</v>
      </c>
      <c r="AB39" s="179">
        <f>'[10]Balance Sheets'!$C38</f>
        <v>2271</v>
      </c>
      <c r="AC39" s="139">
        <f>SUM('[11]Balance Sheet'!C39:AA39)-SUM(C39:AA39)</f>
        <v>0</v>
      </c>
      <c r="AD39" s="73"/>
      <c r="AE39" s="73"/>
    </row>
    <row r="40" spans="1:31" ht="14" x14ac:dyDescent="0.15">
      <c r="A40" s="214" t="s">
        <v>27</v>
      </c>
      <c r="B40" s="91"/>
      <c r="C40" s="107">
        <v>24265</v>
      </c>
      <c r="D40" s="107">
        <v>27821</v>
      </c>
      <c r="E40" s="107">
        <v>30857</v>
      </c>
      <c r="F40" s="107">
        <v>16836</v>
      </c>
      <c r="G40" s="107">
        <v>7286</v>
      </c>
      <c r="H40" s="107">
        <v>9568</v>
      </c>
      <c r="I40" s="107">
        <v>9677</v>
      </c>
      <c r="J40" s="107">
        <f>12142+1790</f>
        <v>13932</v>
      </c>
      <c r="K40" s="179">
        <f>21901+1790</f>
        <v>23691</v>
      </c>
      <c r="L40" s="179">
        <v>21356</v>
      </c>
      <c r="M40" s="179">
        <v>18166</v>
      </c>
      <c r="N40" s="179">
        <f>'[2]Balance Sheets'!$C$42+'[2]Balance Sheets'!$C$39</f>
        <v>19925</v>
      </c>
      <c r="O40" s="179">
        <v>16909</v>
      </c>
      <c r="P40" s="179">
        <v>17371</v>
      </c>
      <c r="Q40" s="179">
        <v>15319</v>
      </c>
      <c r="R40" s="179">
        <f>'[3]Balance Sheets'!C42+'[3]Balance Sheets'!C39</f>
        <v>24591</v>
      </c>
      <c r="S40" s="179">
        <v>24986</v>
      </c>
      <c r="T40" s="179">
        <v>29202</v>
      </c>
      <c r="U40" s="179">
        <f>ROUND(SUM('[26]BS 2022'!$AO$51:$AO$52),0)+ROUND('[26]BS 2022'!$AO$53,0)</f>
        <v>37243</v>
      </c>
      <c r="V40" s="179">
        <f>ROUND('[27]BS 2022'!$AM$50/1000,0)</f>
        <v>41292</v>
      </c>
      <c r="W40" s="179">
        <f>'[5]Balance Sheets'!$C$39</f>
        <v>26297</v>
      </c>
      <c r="X40" s="179">
        <f>'[6]Balance Sheets'!$C$39</f>
        <v>28343</v>
      </c>
      <c r="Y40" s="179">
        <f>'[7]Balance Sheets'!$C$39</f>
        <v>31354</v>
      </c>
      <c r="Z40" s="179">
        <f>'[8]Balance Sheets'!$C$39</f>
        <v>31462</v>
      </c>
      <c r="AA40" s="179">
        <f>'[9]Balance Sheets'!$C$39</f>
        <v>33384</v>
      </c>
      <c r="AB40" s="179">
        <f>'[10]Balance Sheets'!$C39</f>
        <v>37616</v>
      </c>
      <c r="AC40" s="139">
        <f>SUM('[11]Balance Sheet'!C40:AA40)-SUM(C40:AA40)</f>
        <v>0</v>
      </c>
      <c r="AD40" s="73"/>
      <c r="AE40" s="73"/>
    </row>
    <row r="41" spans="1:31" ht="14" x14ac:dyDescent="0.15">
      <c r="A41" s="34" t="s">
        <v>51</v>
      </c>
      <c r="B41" s="35"/>
      <c r="C41" s="87">
        <f t="shared" ref="C41:M41" si="16">SUM(C35:C40)</f>
        <v>196565</v>
      </c>
      <c r="D41" s="87">
        <f t="shared" si="16"/>
        <v>204784</v>
      </c>
      <c r="E41" s="87">
        <f t="shared" si="16"/>
        <v>470689</v>
      </c>
      <c r="F41" s="87">
        <f t="shared" si="16"/>
        <v>443617</v>
      </c>
      <c r="G41" s="87">
        <f t="shared" si="16"/>
        <v>551747</v>
      </c>
      <c r="H41" s="87">
        <f t="shared" si="16"/>
        <v>496114</v>
      </c>
      <c r="I41" s="87">
        <f t="shared" si="16"/>
        <v>498295</v>
      </c>
      <c r="J41" s="87">
        <f t="shared" si="16"/>
        <v>513087</v>
      </c>
      <c r="K41" s="87">
        <f t="shared" si="16"/>
        <v>611355</v>
      </c>
      <c r="L41" s="87">
        <f t="shared" si="16"/>
        <v>512685</v>
      </c>
      <c r="M41" s="87">
        <f t="shared" si="16"/>
        <v>509553</v>
      </c>
      <c r="N41" s="87">
        <f>ROUND(SUM(N35:N40),0)</f>
        <v>528685</v>
      </c>
      <c r="O41" s="87">
        <f t="shared" ref="O41:Z41" si="17">SUM(O35:O40)</f>
        <v>500141</v>
      </c>
      <c r="P41" s="87">
        <f t="shared" si="17"/>
        <v>441332</v>
      </c>
      <c r="Q41" s="87">
        <f t="shared" si="17"/>
        <v>483085</v>
      </c>
      <c r="R41" s="87">
        <f t="shared" si="17"/>
        <v>589748</v>
      </c>
      <c r="S41" s="87">
        <f t="shared" si="17"/>
        <v>574208</v>
      </c>
      <c r="T41" s="87">
        <f t="shared" si="17"/>
        <v>605281</v>
      </c>
      <c r="U41" s="87">
        <f t="shared" si="17"/>
        <v>614144</v>
      </c>
      <c r="V41" s="87">
        <f t="shared" si="17"/>
        <v>587940</v>
      </c>
      <c r="W41" s="87">
        <f t="shared" si="17"/>
        <v>513349</v>
      </c>
      <c r="X41" s="87">
        <f t="shared" si="17"/>
        <v>528488</v>
      </c>
      <c r="Y41" s="87">
        <f t="shared" si="17"/>
        <v>546406</v>
      </c>
      <c r="Z41" s="87">
        <f t="shared" si="17"/>
        <v>552535</v>
      </c>
      <c r="AA41" s="87">
        <f t="shared" ref="AA41:AB41" si="18">SUM(AA35:AA40)</f>
        <v>636136</v>
      </c>
      <c r="AB41" s="87">
        <f t="shared" si="18"/>
        <v>651161</v>
      </c>
      <c r="AC41" s="139">
        <f>SUM('[11]Balance Sheet'!C41:AA41)-SUM(C41:AA41)</f>
        <v>0</v>
      </c>
      <c r="AD41" s="73"/>
      <c r="AE41" s="73"/>
    </row>
    <row r="42" spans="1:31" ht="14" x14ac:dyDescent="0.15">
      <c r="A42" s="16" t="s">
        <v>18</v>
      </c>
      <c r="AC42" s="73"/>
      <c r="AE42" s="73"/>
    </row>
    <row r="43" spans="1:31" ht="14" x14ac:dyDescent="0.15">
      <c r="A43" s="18" t="s">
        <v>175</v>
      </c>
      <c r="B43" s="1"/>
      <c r="AC43" s="73"/>
      <c r="AE43" s="73"/>
    </row>
    <row r="44" spans="1:31" x14ac:dyDescent="0.15">
      <c r="A44" s="18"/>
      <c r="B44" s="1"/>
      <c r="AC44" s="73"/>
      <c r="AE44" s="73"/>
    </row>
    <row r="45" spans="1:31" ht="14" x14ac:dyDescent="0.15">
      <c r="A45" s="17" t="s">
        <v>52</v>
      </c>
      <c r="C45" s="107">
        <v>38</v>
      </c>
      <c r="D45" s="107">
        <v>38</v>
      </c>
      <c r="E45" s="107">
        <v>38</v>
      </c>
      <c r="F45" s="107">
        <v>38</v>
      </c>
      <c r="G45" s="107">
        <v>38</v>
      </c>
      <c r="H45" s="107">
        <v>38</v>
      </c>
      <c r="I45" s="107">
        <v>38</v>
      </c>
      <c r="J45" s="107">
        <f>'[1]Balance Sheets'!C47</f>
        <v>39</v>
      </c>
      <c r="K45" s="179">
        <v>39</v>
      </c>
      <c r="L45" s="179">
        <v>39</v>
      </c>
      <c r="M45" s="179">
        <v>39</v>
      </c>
      <c r="N45" s="179">
        <f>'[2]Balance Sheets'!C47</f>
        <v>39</v>
      </c>
      <c r="O45" s="179">
        <v>39</v>
      </c>
      <c r="P45" s="179">
        <v>39</v>
      </c>
      <c r="Q45" s="179">
        <v>39</v>
      </c>
      <c r="R45" s="179">
        <f>'[3]Balance Sheets'!C47</f>
        <v>40</v>
      </c>
      <c r="S45" s="179">
        <v>40</v>
      </c>
      <c r="T45" s="179">
        <v>40</v>
      </c>
      <c r="U45" s="179">
        <v>40</v>
      </c>
      <c r="V45" s="179">
        <f>'[4]Balance Sheets'!$C$44</f>
        <v>40</v>
      </c>
      <c r="W45" s="179">
        <f>'[5]Balance Sheets'!$C$44</f>
        <v>40</v>
      </c>
      <c r="X45" s="179">
        <f>'[6]Balance Sheets'!$C$44</f>
        <v>40</v>
      </c>
      <c r="Y45" s="179">
        <f>'[7]Balance Sheets'!$C$44</f>
        <v>202</v>
      </c>
      <c r="Z45" s="179">
        <f>'[8]Balance Sheets'!$C$44</f>
        <v>203</v>
      </c>
      <c r="AA45" s="179">
        <f>'[9]Balance Sheets'!$C$44</f>
        <v>204</v>
      </c>
      <c r="AB45" s="179">
        <f>'[10]Balance Sheets'!$C44</f>
        <v>204</v>
      </c>
      <c r="AC45" s="139">
        <f>SUM('[11]Balance Sheet'!C45:AA45)-SUM(C45:AA45)</f>
        <v>0</v>
      </c>
      <c r="AD45" s="73"/>
      <c r="AE45" s="73"/>
    </row>
    <row r="46" spans="1:31" ht="14" x14ac:dyDescent="0.15">
      <c r="A46" s="17" t="s">
        <v>25</v>
      </c>
      <c r="C46" s="107">
        <v>327750</v>
      </c>
      <c r="D46" s="107">
        <v>334643</v>
      </c>
      <c r="E46" s="107">
        <v>344720</v>
      </c>
      <c r="F46" s="107">
        <v>364179</v>
      </c>
      <c r="G46" s="107">
        <v>371144</v>
      </c>
      <c r="H46" s="107">
        <v>378633</v>
      </c>
      <c r="I46" s="107">
        <v>386060</v>
      </c>
      <c r="J46" s="107">
        <f>'[1]Balance Sheets'!C48</f>
        <v>391240</v>
      </c>
      <c r="K46" s="179">
        <v>396939</v>
      </c>
      <c r="L46" s="179">
        <v>404704</v>
      </c>
      <c r="M46" s="179">
        <v>413135</v>
      </c>
      <c r="N46" s="179">
        <f>'[2]Balance Sheets'!C48</f>
        <v>420976</v>
      </c>
      <c r="O46" s="179">
        <v>428882</v>
      </c>
      <c r="P46" s="179">
        <v>439051</v>
      </c>
      <c r="Q46" s="179">
        <v>385917</v>
      </c>
      <c r="R46" s="179">
        <f>'[3]Balance Sheets'!C48</f>
        <v>395742</v>
      </c>
      <c r="S46" s="179">
        <v>406966</v>
      </c>
      <c r="T46" s="179">
        <v>420306</v>
      </c>
      <c r="U46" s="179">
        <v>432492</v>
      </c>
      <c r="V46" s="179">
        <f>'[4]Balance Sheets'!$C$45</f>
        <v>445108</v>
      </c>
      <c r="W46" s="179">
        <f>'[5]Balance Sheets'!$C$45</f>
        <v>460527</v>
      </c>
      <c r="X46" s="179">
        <f>'[6]Balance Sheets'!$C$45</f>
        <v>472124</v>
      </c>
      <c r="Y46" s="179">
        <f>'[7]Balance Sheets'!$C$45</f>
        <v>492577</v>
      </c>
      <c r="Z46" s="179">
        <f>'[8]Balance Sheets'!$C$45</f>
        <v>508028</v>
      </c>
      <c r="AA46" s="179">
        <f>'[9]Balance Sheets'!$C$45</f>
        <v>502827</v>
      </c>
      <c r="AB46" s="179">
        <f>'[10]Balance Sheets'!$C45</f>
        <v>520922</v>
      </c>
      <c r="AC46" s="139">
        <f>SUM('[11]Balance Sheet'!C46:AA46)-SUM(C46:AA46)</f>
        <v>0</v>
      </c>
      <c r="AD46" s="73"/>
      <c r="AE46" s="73"/>
    </row>
    <row r="47" spans="1:31" ht="14" x14ac:dyDescent="0.15">
      <c r="A47" s="55" t="s">
        <v>28</v>
      </c>
      <c r="B47" s="57"/>
      <c r="C47" s="107">
        <v>450676</v>
      </c>
      <c r="D47" s="107">
        <v>465138</v>
      </c>
      <c r="E47" s="107">
        <v>480387</v>
      </c>
      <c r="F47" s="107">
        <v>484244</v>
      </c>
      <c r="G47" s="107">
        <v>498939</v>
      </c>
      <c r="H47" s="107">
        <v>511503</v>
      </c>
      <c r="I47" s="107">
        <v>530547</v>
      </c>
      <c r="J47" s="107">
        <f>'[1]Balance Sheets'!C49</f>
        <v>551903</v>
      </c>
      <c r="K47" s="179">
        <v>574314</v>
      </c>
      <c r="L47" s="179">
        <v>582743</v>
      </c>
      <c r="M47" s="179">
        <v>609161</v>
      </c>
      <c r="N47" s="179">
        <f>'[2]Balance Sheets'!$C$49</f>
        <v>641379</v>
      </c>
      <c r="O47" s="179">
        <v>673310</v>
      </c>
      <c r="P47" s="179">
        <v>701331</v>
      </c>
      <c r="Q47" s="179">
        <v>727838</v>
      </c>
      <c r="R47" s="179">
        <f>'[3]Balance Sheets'!C49</f>
        <v>756137</v>
      </c>
      <c r="S47" s="179">
        <v>792315</v>
      </c>
      <c r="T47" s="179">
        <v>828161</v>
      </c>
      <c r="U47" s="179">
        <v>867256</v>
      </c>
      <c r="V47" s="179">
        <f>'[4]Balance Sheets'!$C$46</f>
        <v>899105</v>
      </c>
      <c r="W47" s="179">
        <f>'[5]Balance Sheets'!$C$46</f>
        <v>950436</v>
      </c>
      <c r="X47" s="179">
        <f>'[6]Balance Sheets'!$C$46</f>
        <v>999504</v>
      </c>
      <c r="Y47" s="179">
        <f>'[7]Balance Sheets'!$C$46</f>
        <v>1043380</v>
      </c>
      <c r="Z47" s="179">
        <f>'[8]Balance Sheets'!$C$46</f>
        <v>1083663</v>
      </c>
      <c r="AA47" s="179">
        <f>'[9]Balance Sheets'!$C$46</f>
        <v>1132426</v>
      </c>
      <c r="AB47" s="179">
        <f>'[10]Balance Sheets'!$C46</f>
        <v>1178251</v>
      </c>
      <c r="AC47" s="139">
        <f>SUM('[11]Balance Sheet'!C47:AA47)-SUM(C47:AA47)</f>
        <v>0</v>
      </c>
      <c r="AD47" s="73"/>
      <c r="AE47" s="73"/>
    </row>
    <row r="48" spans="1:31" ht="14" x14ac:dyDescent="0.15">
      <c r="A48" s="55" t="s">
        <v>83</v>
      </c>
      <c r="B48" s="57"/>
      <c r="C48" s="107">
        <v>-59670</v>
      </c>
      <c r="D48" s="107">
        <v>-87621</v>
      </c>
      <c r="E48" s="107">
        <v>-114330</v>
      </c>
      <c r="F48" s="107">
        <v>-83467</v>
      </c>
      <c r="G48" s="107">
        <v>-77212</v>
      </c>
      <c r="H48" s="107">
        <v>-74358</v>
      </c>
      <c r="I48" s="107">
        <v>-86153</v>
      </c>
      <c r="J48" s="107">
        <f>'[1]Balance Sheets'!C50</f>
        <v>-84892</v>
      </c>
      <c r="K48" s="179">
        <v>-113104</v>
      </c>
      <c r="L48" s="179">
        <v>-104274</v>
      </c>
      <c r="M48" s="179">
        <v>-85217</v>
      </c>
      <c r="N48" s="179">
        <f>'[2]Balance Sheets'!$C$50</f>
        <v>-74984</v>
      </c>
      <c r="O48" s="179">
        <v>-78753</v>
      </c>
      <c r="P48" s="179">
        <v>-86745</v>
      </c>
      <c r="Q48" s="179">
        <v>-92257</v>
      </c>
      <c r="R48" s="179">
        <f>'[3]Balance Sheets'!C50</f>
        <v>-89474</v>
      </c>
      <c r="S48" s="179">
        <v>-98306</v>
      </c>
      <c r="T48" s="179">
        <v>-133374</v>
      </c>
      <c r="U48" s="179">
        <v>-154203</v>
      </c>
      <c r="V48" s="179">
        <f>'[4]Balance Sheets'!$C$47</f>
        <v>-144143</v>
      </c>
      <c r="W48" s="179">
        <f>'[5]Balance Sheets'!$C$47</f>
        <v>-131487</v>
      </c>
      <c r="X48" s="179">
        <f>'[6]Balance Sheets'!$C$47</f>
        <v>-124147</v>
      </c>
      <c r="Y48" s="179">
        <f>'[7]Balance Sheets'!$C$47</f>
        <v>-136805</v>
      </c>
      <c r="Z48" s="179">
        <f>'[8]Balance Sheets'!$C$47</f>
        <v>-127040</v>
      </c>
      <c r="AA48" s="179">
        <f>'[9]Balance Sheets'!$C$47</f>
        <v>-130436</v>
      </c>
      <c r="AB48" s="179">
        <f>'[10]Balance Sheets'!$C47</f>
        <v>-136108</v>
      </c>
      <c r="AC48" s="139">
        <f>SUM('[11]Balance Sheet'!C48:AA48)-SUM(C48:AA48)</f>
        <v>0</v>
      </c>
      <c r="AD48" s="73"/>
      <c r="AE48" s="73"/>
    </row>
    <row r="49" spans="1:217" ht="14" x14ac:dyDescent="0.15">
      <c r="A49" s="17" t="s">
        <v>128</v>
      </c>
      <c r="C49" s="107">
        <v>-117320</v>
      </c>
      <c r="D49" s="107">
        <v>-126952</v>
      </c>
      <c r="E49" s="107">
        <v>-136609</v>
      </c>
      <c r="F49" s="107">
        <v>-146925</v>
      </c>
      <c r="G49" s="107">
        <v>-162333</v>
      </c>
      <c r="H49" s="107">
        <v>-174463</v>
      </c>
      <c r="I49" s="107">
        <v>-182809</v>
      </c>
      <c r="J49" s="107">
        <f>'[1]Balance Sheets'!$C$52</f>
        <v>-188289</v>
      </c>
      <c r="K49" s="179">
        <v>-202284</v>
      </c>
      <c r="L49" s="179">
        <v>-202284</v>
      </c>
      <c r="M49" s="179">
        <v>-227190</v>
      </c>
      <c r="N49" s="179">
        <f>'[2]Balance Sheets'!$C$52</f>
        <v>-268238</v>
      </c>
      <c r="O49" s="179">
        <v>-297253</v>
      </c>
      <c r="P49" s="179">
        <v>-325662</v>
      </c>
      <c r="Q49" s="179">
        <v>-336552</v>
      </c>
      <c r="R49" s="179">
        <f>'[3]Balance Sheets'!$C$52</f>
        <v>-369289</v>
      </c>
      <c r="S49" s="179">
        <v>-400674</v>
      </c>
      <c r="T49" s="179">
        <v>-429480</v>
      </c>
      <c r="U49" s="179">
        <v>-441001</v>
      </c>
      <c r="V49" s="179">
        <f>'[4]Balance Sheets'!$C$49</f>
        <v>-441931</v>
      </c>
      <c r="W49" s="179">
        <f>'[5]Balance Sheets'!$C$49</f>
        <v>-484294</v>
      </c>
      <c r="X49" s="179">
        <f>'[6]Balance Sheets'!$C$49</f>
        <v>-513307</v>
      </c>
      <c r="Y49" s="179">
        <f>'[7]Balance Sheets'!$C$49</f>
        <v>-543267</v>
      </c>
      <c r="Z49" s="179">
        <f>'[8]Balance Sheets'!$C$49</f>
        <v>-575417</v>
      </c>
      <c r="AA49" s="179">
        <f>'[9]Balance Sheets'!$C$49</f>
        <v>-701766</v>
      </c>
      <c r="AB49" s="179">
        <f>'[10]Balance Sheets'!$C49</f>
        <v>-710663</v>
      </c>
      <c r="AC49" s="139">
        <f>SUM('[11]Balance Sheet'!C49:AA49)-SUM(C49:AA49)</f>
        <v>0</v>
      </c>
      <c r="AD49" s="73"/>
      <c r="AE49" s="73"/>
    </row>
    <row r="50" spans="1:217" ht="14" x14ac:dyDescent="0.15">
      <c r="A50" s="88" t="s">
        <v>75</v>
      </c>
      <c r="B50" s="35"/>
      <c r="C50" s="87">
        <f t="shared" ref="C50:M50" si="19">SUM(C43:C49)</f>
        <v>601474</v>
      </c>
      <c r="D50" s="87">
        <f t="shared" si="19"/>
        <v>585246</v>
      </c>
      <c r="E50" s="87">
        <f t="shared" si="19"/>
        <v>574206</v>
      </c>
      <c r="F50" s="87">
        <f t="shared" si="19"/>
        <v>618069</v>
      </c>
      <c r="G50" s="87">
        <f t="shared" si="19"/>
        <v>630576</v>
      </c>
      <c r="H50" s="87">
        <f t="shared" si="19"/>
        <v>641353</v>
      </c>
      <c r="I50" s="87">
        <f t="shared" si="19"/>
        <v>647683</v>
      </c>
      <c r="J50" s="87">
        <f t="shared" si="19"/>
        <v>670001</v>
      </c>
      <c r="K50" s="87">
        <f t="shared" si="19"/>
        <v>655904</v>
      </c>
      <c r="L50" s="87">
        <f t="shared" si="19"/>
        <v>680928</v>
      </c>
      <c r="M50" s="87">
        <f t="shared" si="19"/>
        <v>709928</v>
      </c>
      <c r="N50" s="87">
        <f>ROUND(SUM(N43:N49),0)</f>
        <v>719172</v>
      </c>
      <c r="O50" s="87">
        <f t="shared" ref="O50:V50" si="20">SUM(O43:O49)</f>
        <v>726225</v>
      </c>
      <c r="P50" s="87">
        <f t="shared" si="20"/>
        <v>728014</v>
      </c>
      <c r="Q50" s="87">
        <f t="shared" si="20"/>
        <v>684985</v>
      </c>
      <c r="R50" s="87">
        <f t="shared" si="20"/>
        <v>693156</v>
      </c>
      <c r="S50" s="87">
        <f t="shared" si="20"/>
        <v>700341</v>
      </c>
      <c r="T50" s="87">
        <f t="shared" si="20"/>
        <v>685653</v>
      </c>
      <c r="U50" s="87">
        <f t="shared" si="20"/>
        <v>704584</v>
      </c>
      <c r="V50" s="87">
        <f t="shared" si="20"/>
        <v>758179</v>
      </c>
      <c r="W50" s="87">
        <f t="shared" ref="W50:X50" si="21">SUM(W43:W49)</f>
        <v>795222</v>
      </c>
      <c r="X50" s="87">
        <f t="shared" si="21"/>
        <v>834214</v>
      </c>
      <c r="Y50" s="87">
        <f t="shared" ref="Y50" si="22">SUM(Y43:Y49)</f>
        <v>856087</v>
      </c>
      <c r="Z50" s="87">
        <f t="shared" ref="Z50:AA50" si="23">SUM(Z43:Z49)</f>
        <v>889437</v>
      </c>
      <c r="AA50" s="87">
        <f t="shared" si="23"/>
        <v>803255</v>
      </c>
      <c r="AB50" s="87">
        <f t="shared" ref="AB50" si="24">SUM(AB43:AB49)</f>
        <v>852606</v>
      </c>
      <c r="AC50" s="139">
        <f>SUM('[11]Balance Sheet'!C50:AA50)-SUM(C50:AA50)</f>
        <v>0</v>
      </c>
      <c r="AD50" s="73"/>
      <c r="AE50" s="73"/>
    </row>
    <row r="51" spans="1:217" ht="14" x14ac:dyDescent="0.15">
      <c r="A51" s="90" t="s">
        <v>89</v>
      </c>
      <c r="B51" s="1"/>
      <c r="C51" s="2">
        <v>231</v>
      </c>
      <c r="D51" s="2">
        <v>233</v>
      </c>
      <c r="E51" s="107">
        <v>242</v>
      </c>
      <c r="F51" s="107">
        <v>250</v>
      </c>
      <c r="G51" s="107">
        <v>259</v>
      </c>
      <c r="H51" s="179">
        <v>0</v>
      </c>
      <c r="I51" s="179">
        <v>0</v>
      </c>
      <c r="J51" s="179">
        <v>0</v>
      </c>
      <c r="K51" s="179">
        <v>0</v>
      </c>
      <c r="L51" s="179">
        <v>0</v>
      </c>
      <c r="M51" s="179">
        <v>0</v>
      </c>
      <c r="N51" s="179">
        <v>0</v>
      </c>
      <c r="O51" s="179">
        <v>0</v>
      </c>
      <c r="P51" s="179">
        <v>0</v>
      </c>
      <c r="Q51" s="179">
        <v>0</v>
      </c>
      <c r="R51" s="179">
        <v>0</v>
      </c>
      <c r="S51" s="179">
        <v>0</v>
      </c>
      <c r="T51" s="179">
        <v>0</v>
      </c>
      <c r="U51" s="179">
        <v>0</v>
      </c>
      <c r="V51" s="179">
        <v>0</v>
      </c>
      <c r="W51" s="179">
        <v>0</v>
      </c>
      <c r="X51" s="179">
        <v>0</v>
      </c>
      <c r="Y51" s="179">
        <v>0</v>
      </c>
      <c r="Z51" s="179">
        <v>0</v>
      </c>
      <c r="AA51" s="179">
        <v>0</v>
      </c>
      <c r="AB51" s="179">
        <v>0</v>
      </c>
      <c r="AC51" s="139">
        <f>SUM('[11]Balance Sheet'!C51:AA51)-SUM(C51:AA51)</f>
        <v>0</v>
      </c>
      <c r="AD51" s="73"/>
      <c r="AE51" s="73"/>
    </row>
    <row r="52" spans="1:217" ht="14" x14ac:dyDescent="0.15">
      <c r="A52" s="88" t="s">
        <v>76</v>
      </c>
      <c r="B52" s="35"/>
      <c r="C52" s="87">
        <f t="shared" ref="C52:N52" si="25">SUM(C50:C51)</f>
        <v>601705</v>
      </c>
      <c r="D52" s="87">
        <f t="shared" si="25"/>
        <v>585479</v>
      </c>
      <c r="E52" s="87">
        <f t="shared" si="25"/>
        <v>574448</v>
      </c>
      <c r="F52" s="87">
        <f t="shared" si="25"/>
        <v>618319</v>
      </c>
      <c r="G52" s="87">
        <f t="shared" si="25"/>
        <v>630835</v>
      </c>
      <c r="H52" s="87">
        <f t="shared" si="25"/>
        <v>641353</v>
      </c>
      <c r="I52" s="87">
        <f t="shared" si="25"/>
        <v>647683</v>
      </c>
      <c r="J52" s="87">
        <f t="shared" si="25"/>
        <v>670001</v>
      </c>
      <c r="K52" s="87">
        <f t="shared" si="25"/>
        <v>655904</v>
      </c>
      <c r="L52" s="87">
        <f t="shared" si="25"/>
        <v>680928</v>
      </c>
      <c r="M52" s="87">
        <f t="shared" si="25"/>
        <v>709928</v>
      </c>
      <c r="N52" s="87">
        <f t="shared" si="25"/>
        <v>719172</v>
      </c>
      <c r="O52" s="87">
        <f t="shared" ref="O52:P52" si="26">SUM(O50:O51)</f>
        <v>726225</v>
      </c>
      <c r="P52" s="87">
        <f t="shared" si="26"/>
        <v>728014</v>
      </c>
      <c r="Q52" s="87">
        <f t="shared" ref="Q52:T52" si="27">SUM(Q50:Q51)</f>
        <v>684985</v>
      </c>
      <c r="R52" s="87">
        <f t="shared" si="27"/>
        <v>693156</v>
      </c>
      <c r="S52" s="87">
        <f t="shared" si="27"/>
        <v>700341</v>
      </c>
      <c r="T52" s="87">
        <f t="shared" si="27"/>
        <v>685653</v>
      </c>
      <c r="U52" s="87">
        <f t="shared" ref="U52:V52" si="28">SUM(U50:U51)</f>
        <v>704584</v>
      </c>
      <c r="V52" s="87">
        <f t="shared" si="28"/>
        <v>758179</v>
      </c>
      <c r="W52" s="87">
        <f t="shared" ref="W52:X52" si="29">SUM(W50:W51)</f>
        <v>795222</v>
      </c>
      <c r="X52" s="87">
        <f t="shared" si="29"/>
        <v>834214</v>
      </c>
      <c r="Y52" s="87">
        <f t="shared" ref="Y52" si="30">SUM(Y50:Y51)</f>
        <v>856087</v>
      </c>
      <c r="Z52" s="87">
        <f t="shared" ref="Z52:AA52" si="31">SUM(Z50:Z51)</f>
        <v>889437</v>
      </c>
      <c r="AA52" s="87">
        <f t="shared" si="31"/>
        <v>803255</v>
      </c>
      <c r="AB52" s="87">
        <f t="shared" ref="AB52" si="32">SUM(AB50:AB51)</f>
        <v>852606</v>
      </c>
      <c r="AC52" s="139">
        <f>SUM('[11]Balance Sheet'!C52:AA52)-SUM(C52:AA52)</f>
        <v>0</v>
      </c>
      <c r="AD52" s="73"/>
      <c r="AE52" s="73"/>
    </row>
    <row r="53" spans="1:217" ht="14" x14ac:dyDescent="0.15">
      <c r="A53" s="19" t="s">
        <v>18</v>
      </c>
      <c r="AC53" s="272"/>
      <c r="AD53" s="73"/>
      <c r="AE53" s="73"/>
    </row>
    <row r="54" spans="1:217" s="39" customFormat="1" ht="14" x14ac:dyDescent="0.15">
      <c r="A54" s="37" t="s">
        <v>209</v>
      </c>
      <c r="B54" s="38"/>
      <c r="C54" s="86">
        <f t="shared" ref="C54:M54" si="33">C52+C41</f>
        <v>798270</v>
      </c>
      <c r="D54" s="86">
        <f t="shared" si="33"/>
        <v>790263</v>
      </c>
      <c r="E54" s="86">
        <f t="shared" si="33"/>
        <v>1045137</v>
      </c>
      <c r="F54" s="86">
        <f t="shared" si="33"/>
        <v>1061936</v>
      </c>
      <c r="G54" s="86">
        <f t="shared" si="33"/>
        <v>1182582</v>
      </c>
      <c r="H54" s="86">
        <f t="shared" si="33"/>
        <v>1137467</v>
      </c>
      <c r="I54" s="86">
        <f t="shared" si="33"/>
        <v>1145978</v>
      </c>
      <c r="J54" s="86">
        <f t="shared" si="33"/>
        <v>1183088</v>
      </c>
      <c r="K54" s="86">
        <f t="shared" si="33"/>
        <v>1267259</v>
      </c>
      <c r="L54" s="86">
        <f t="shared" si="33"/>
        <v>1193613</v>
      </c>
      <c r="M54" s="86">
        <f t="shared" si="33"/>
        <v>1219481</v>
      </c>
      <c r="N54" s="86">
        <f>ROUND(N52+N41,0)</f>
        <v>1247857</v>
      </c>
      <c r="O54" s="86">
        <f t="shared" ref="O54:V54" si="34">O52+O41</f>
        <v>1226366</v>
      </c>
      <c r="P54" s="86">
        <f t="shared" si="34"/>
        <v>1169346</v>
      </c>
      <c r="Q54" s="86">
        <f t="shared" si="34"/>
        <v>1168070</v>
      </c>
      <c r="R54" s="86">
        <f t="shared" si="34"/>
        <v>1282904</v>
      </c>
      <c r="S54" s="86">
        <f t="shared" si="34"/>
        <v>1274549</v>
      </c>
      <c r="T54" s="86">
        <f t="shared" si="34"/>
        <v>1290934</v>
      </c>
      <c r="U54" s="86">
        <f t="shared" si="34"/>
        <v>1318728</v>
      </c>
      <c r="V54" s="86">
        <f t="shared" si="34"/>
        <v>1346119</v>
      </c>
      <c r="W54" s="86">
        <f t="shared" ref="W54:X54" si="35">W52+W41</f>
        <v>1308571</v>
      </c>
      <c r="X54" s="86">
        <f t="shared" si="35"/>
        <v>1362702</v>
      </c>
      <c r="Y54" s="86">
        <f t="shared" ref="Y54" si="36">Y52+Y41</f>
        <v>1402493</v>
      </c>
      <c r="Z54" s="86">
        <f t="shared" ref="Z54:AA54" si="37">Z52+Z41</f>
        <v>1441972</v>
      </c>
      <c r="AA54" s="86">
        <f t="shared" si="37"/>
        <v>1439391</v>
      </c>
      <c r="AB54" s="86">
        <f t="shared" ref="AB54" si="38">AB52+AB41</f>
        <v>1503767</v>
      </c>
      <c r="AC54" s="139">
        <f>SUM('[11]Balance Sheet'!C54:AA54)-SUM(C54:AA54)</f>
        <v>0</v>
      </c>
      <c r="AD54" s="73"/>
      <c r="AE54" s="73"/>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row>
    <row r="55" spans="1:217" hidden="1" x14ac:dyDescent="0.15"/>
    <row r="56" spans="1:217" hidden="1" x14ac:dyDescent="0.15"/>
    <row r="57" spans="1:217" hidden="1" x14ac:dyDescent="0.15"/>
    <row r="58" spans="1:217" hidden="1" x14ac:dyDescent="0.15"/>
    <row r="60" spans="1:217" x14ac:dyDescent="0.15">
      <c r="C60" s="139">
        <f t="shared" ref="C60:Z60" si="39">C24-C54</f>
        <v>0</v>
      </c>
      <c r="D60" s="139">
        <f t="shared" si="39"/>
        <v>0</v>
      </c>
      <c r="E60" s="107">
        <f t="shared" si="39"/>
        <v>0</v>
      </c>
      <c r="F60" s="107">
        <f t="shared" si="39"/>
        <v>0</v>
      </c>
      <c r="G60" s="107">
        <f t="shared" si="39"/>
        <v>0</v>
      </c>
      <c r="H60" s="107">
        <f t="shared" si="39"/>
        <v>0</v>
      </c>
      <c r="I60" s="107">
        <f t="shared" si="39"/>
        <v>0</v>
      </c>
      <c r="J60" s="107">
        <f t="shared" si="39"/>
        <v>0</v>
      </c>
      <c r="K60" s="107">
        <f t="shared" si="39"/>
        <v>0</v>
      </c>
      <c r="L60" s="107">
        <f t="shared" si="39"/>
        <v>0</v>
      </c>
      <c r="M60" s="107">
        <f t="shared" si="39"/>
        <v>0</v>
      </c>
      <c r="N60" s="107">
        <f t="shared" si="39"/>
        <v>0</v>
      </c>
      <c r="O60" s="107">
        <f t="shared" si="39"/>
        <v>0</v>
      </c>
      <c r="P60" s="107">
        <f t="shared" si="39"/>
        <v>0</v>
      </c>
      <c r="Q60" s="107">
        <f t="shared" si="39"/>
        <v>0</v>
      </c>
      <c r="R60" s="107">
        <f t="shared" si="39"/>
        <v>0</v>
      </c>
      <c r="S60" s="107">
        <f t="shared" si="39"/>
        <v>0</v>
      </c>
      <c r="T60" s="107">
        <f t="shared" si="39"/>
        <v>0</v>
      </c>
      <c r="U60" s="107">
        <f t="shared" si="39"/>
        <v>0</v>
      </c>
      <c r="V60" s="107">
        <f t="shared" si="39"/>
        <v>0</v>
      </c>
      <c r="W60" s="107">
        <f t="shared" si="39"/>
        <v>0</v>
      </c>
      <c r="X60" s="107">
        <f t="shared" si="39"/>
        <v>0</v>
      </c>
      <c r="Y60" s="107">
        <f t="shared" si="39"/>
        <v>0</v>
      </c>
      <c r="Z60" s="107">
        <f t="shared" si="39"/>
        <v>0</v>
      </c>
      <c r="AA60" s="107">
        <f t="shared" ref="AA60:AB60" si="40">AA24-AA54</f>
        <v>0</v>
      </c>
      <c r="AB60" s="107">
        <f t="shared" si="40"/>
        <v>0</v>
      </c>
    </row>
    <row r="62" spans="1:217" x14ac:dyDescent="0.15">
      <c r="A62" s="2"/>
    </row>
    <row r="63" spans="1:217" x14ac:dyDescent="0.15">
      <c r="A63" s="2"/>
    </row>
    <row r="64" spans="1:217" x14ac:dyDescent="0.15">
      <c r="A64" s="2"/>
    </row>
    <row r="65" spans="1:1" x14ac:dyDescent="0.15">
      <c r="A65" s="2"/>
    </row>
  </sheetData>
  <phoneticPr fontId="16" type="noConversion"/>
  <pageMargins left="0.7" right="0.7" top="0.33" bottom="0.38" header="0.3" footer="0.3"/>
  <pageSetup paperSize="9" scale="5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HA73"/>
  <sheetViews>
    <sheetView showGridLines="0" view="pageBreakPreview" zoomScale="90" zoomScaleNormal="90" zoomScaleSheetLayoutView="90" workbookViewId="0">
      <pane xSplit="1" ySplit="5" topLeftCell="V51" activePane="bottomRight" state="frozen"/>
      <selection activeCell="AE38" sqref="AE38"/>
      <selection pane="topRight" activeCell="AE38" sqref="AE38"/>
      <selection pane="bottomLeft" activeCell="AE38" sqref="AE38"/>
      <selection pane="bottomRight" activeCell="AH68" sqref="AH68"/>
    </sheetView>
  </sheetViews>
  <sheetFormatPr baseColWidth="10" defaultColWidth="9.1640625" defaultRowHeight="13" outlineLevelCol="1" x14ac:dyDescent="0.15"/>
  <cols>
    <col min="1" max="1" width="72.5" style="2" customWidth="1"/>
    <col min="2" max="5" width="13" style="131" hidden="1" customWidth="1" outlineLevel="1"/>
    <col min="6" max="6" width="10.6640625" style="21" customWidth="1" collapsed="1"/>
    <col min="7" max="7" width="10.6640625" style="21" hidden="1" customWidth="1" outlineLevel="1"/>
    <col min="8" max="10" width="11.5" style="21" hidden="1" customWidth="1" outlineLevel="1"/>
    <col min="11" max="11" width="11" style="21" customWidth="1" collapsed="1"/>
    <col min="12" max="12" width="11" style="21" hidden="1" customWidth="1"/>
    <col min="13" max="16" width="11" style="21" hidden="1" customWidth="1" outlineLevel="1"/>
    <col min="17" max="17" width="11" style="21" customWidth="1" collapsed="1"/>
    <col min="18" max="21" width="11" style="21" hidden="1" customWidth="1" outlineLevel="1"/>
    <col min="22" max="22" width="11" style="21" customWidth="1" collapsed="1"/>
    <col min="23" max="23" width="11" style="21" hidden="1" customWidth="1" outlineLevel="1"/>
    <col min="24" max="24" width="10" style="2" hidden="1" customWidth="1" outlineLevel="1"/>
    <col min="25" max="26" width="11.6640625" style="2" hidden="1" customWidth="1" outlineLevel="1"/>
    <col min="27" max="27" width="11.6640625" style="2" bestFit="1" customWidth="1" collapsed="1"/>
    <col min="28" max="30" width="11.6640625" style="2" bestFit="1" customWidth="1"/>
    <col min="31" max="31" width="11.6640625" style="2" customWidth="1"/>
    <col min="32" max="34" width="11.6640625" style="2" bestFit="1" customWidth="1"/>
    <col min="35" max="35" width="11.1640625" style="2" hidden="1" customWidth="1" outlineLevel="1"/>
    <col min="36" max="36" width="11.6640625" style="2" customWidth="1" collapsed="1"/>
    <col min="37" max="16384" width="9.1640625" style="2"/>
  </cols>
  <sheetData>
    <row r="1" spans="1:66" x14ac:dyDescent="0.15">
      <c r="A1" s="8"/>
      <c r="AI1" s="226"/>
      <c r="AJ1" s="226"/>
      <c r="AK1" s="250" t="s">
        <v>184</v>
      </c>
    </row>
    <row r="2" spans="1:66" x14ac:dyDescent="0.15">
      <c r="A2" s="9"/>
    </row>
    <row r="3" spans="1:66" ht="28.5" customHeight="1" x14ac:dyDescent="0.15">
      <c r="B3" s="205"/>
    </row>
    <row r="4" spans="1:66" x14ac:dyDescent="0.15">
      <c r="A4" s="7" t="s">
        <v>34</v>
      </c>
      <c r="B4" s="3">
        <v>2018</v>
      </c>
      <c r="C4" s="3">
        <v>2018</v>
      </c>
      <c r="D4" s="3">
        <v>2018</v>
      </c>
      <c r="E4" s="3">
        <v>2018</v>
      </c>
      <c r="F4" s="4">
        <v>2018</v>
      </c>
      <c r="G4" s="4">
        <v>2019</v>
      </c>
      <c r="H4" s="4">
        <v>2019</v>
      </c>
      <c r="I4" s="4">
        <v>2019</v>
      </c>
      <c r="J4" s="4">
        <v>2019</v>
      </c>
      <c r="K4" s="4">
        <v>2019</v>
      </c>
      <c r="M4" s="4">
        <v>2020</v>
      </c>
      <c r="N4" s="4">
        <v>2020</v>
      </c>
      <c r="O4" s="4">
        <v>2020</v>
      </c>
      <c r="P4" s="4">
        <v>2020</v>
      </c>
      <c r="Q4" s="4">
        <v>2020</v>
      </c>
      <c r="R4" s="4">
        <v>2021</v>
      </c>
      <c r="S4" s="4">
        <v>2021</v>
      </c>
      <c r="T4" s="4">
        <v>2021</v>
      </c>
      <c r="U4" s="4">
        <v>2021</v>
      </c>
      <c r="V4" s="4">
        <v>2021</v>
      </c>
      <c r="W4" s="4">
        <v>2022</v>
      </c>
      <c r="X4" s="4">
        <v>2022</v>
      </c>
      <c r="Y4" s="4">
        <v>2022</v>
      </c>
      <c r="Z4" s="4">
        <v>2022</v>
      </c>
      <c r="AA4" s="4">
        <v>2022</v>
      </c>
      <c r="AB4" s="4">
        <v>2023</v>
      </c>
      <c r="AC4" s="4">
        <v>2023</v>
      </c>
      <c r="AD4" s="4">
        <v>2023</v>
      </c>
      <c r="AE4" s="4">
        <v>2023</v>
      </c>
      <c r="AF4" s="4">
        <v>2023</v>
      </c>
      <c r="AG4" s="4">
        <v>2024</v>
      </c>
      <c r="AH4" s="4">
        <v>2024</v>
      </c>
    </row>
    <row r="5" spans="1:66" x14ac:dyDescent="0.15">
      <c r="A5" s="22" t="s">
        <v>47</v>
      </c>
      <c r="B5" s="3" t="s">
        <v>105</v>
      </c>
      <c r="C5" s="3" t="s">
        <v>106</v>
      </c>
      <c r="D5" s="3" t="s">
        <v>107</v>
      </c>
      <c r="E5" s="3" t="s">
        <v>110</v>
      </c>
      <c r="F5" s="4" t="s">
        <v>10</v>
      </c>
      <c r="G5" s="3" t="s">
        <v>105</v>
      </c>
      <c r="H5" s="3" t="s">
        <v>106</v>
      </c>
      <c r="I5" s="4" t="s">
        <v>107</v>
      </c>
      <c r="J5" s="4" t="s">
        <v>110</v>
      </c>
      <c r="K5" s="4" t="s">
        <v>10</v>
      </c>
      <c r="M5" s="3" t="s">
        <v>105</v>
      </c>
      <c r="N5" s="3" t="s">
        <v>106</v>
      </c>
      <c r="O5" s="3" t="s">
        <v>107</v>
      </c>
      <c r="P5" s="3" t="s">
        <v>110</v>
      </c>
      <c r="Q5" s="3" t="s">
        <v>10</v>
      </c>
      <c r="R5" s="3" t="s">
        <v>105</v>
      </c>
      <c r="S5" s="3" t="s">
        <v>106</v>
      </c>
      <c r="T5" s="3" t="s">
        <v>107</v>
      </c>
      <c r="U5" s="3" t="s">
        <v>110</v>
      </c>
      <c r="V5" s="3" t="s">
        <v>10</v>
      </c>
      <c r="W5" s="3" t="s">
        <v>6</v>
      </c>
      <c r="X5" s="3" t="s">
        <v>7</v>
      </c>
      <c r="Y5" s="3" t="s">
        <v>8</v>
      </c>
      <c r="Z5" s="3" t="s">
        <v>110</v>
      </c>
      <c r="AA5" s="3" t="s">
        <v>10</v>
      </c>
      <c r="AB5" s="3" t="s">
        <v>6</v>
      </c>
      <c r="AC5" s="3" t="s">
        <v>7</v>
      </c>
      <c r="AD5" s="3" t="s">
        <v>8</v>
      </c>
      <c r="AE5" s="3" t="s">
        <v>9</v>
      </c>
      <c r="AF5" s="3" t="s">
        <v>10</v>
      </c>
      <c r="AG5" s="3" t="s">
        <v>6</v>
      </c>
      <c r="AH5" s="3" t="s">
        <v>7</v>
      </c>
      <c r="AI5" s="237" t="s">
        <v>170</v>
      </c>
    </row>
    <row r="6" spans="1:66" s="1" customFormat="1" x14ac:dyDescent="0.15">
      <c r="B6" s="110"/>
      <c r="C6" s="110"/>
      <c r="D6" s="110"/>
      <c r="E6" s="110"/>
      <c r="F6" s="10"/>
      <c r="G6" s="10"/>
      <c r="H6" s="10"/>
      <c r="I6" s="10"/>
      <c r="J6" s="10"/>
      <c r="K6" s="10"/>
      <c r="M6" s="10"/>
      <c r="N6" s="10"/>
      <c r="O6" s="10"/>
      <c r="P6" s="10"/>
      <c r="Q6" s="10"/>
      <c r="R6" s="10"/>
      <c r="S6" s="10"/>
      <c r="T6" s="10"/>
      <c r="U6" s="10"/>
      <c r="V6" s="10"/>
      <c r="W6" s="10"/>
    </row>
    <row r="7" spans="1:66" x14ac:dyDescent="0.15">
      <c r="A7" s="10" t="s">
        <v>71</v>
      </c>
      <c r="AI7" s="73"/>
    </row>
    <row r="8" spans="1:66" x14ac:dyDescent="0.15">
      <c r="A8" s="11" t="s">
        <v>29</v>
      </c>
      <c r="B8" s="132">
        <v>23158</v>
      </c>
      <c r="C8" s="132">
        <v>14462</v>
      </c>
      <c r="D8" s="132">
        <v>15249</v>
      </c>
      <c r="E8" s="132">
        <f>+F8-SUM(B8:D8)</f>
        <v>3857</v>
      </c>
      <c r="F8" s="159">
        <v>56726</v>
      </c>
      <c r="G8" s="159">
        <v>14695</v>
      </c>
      <c r="H8" s="184">
        <v>12564</v>
      </c>
      <c r="I8" s="159">
        <v>19044</v>
      </c>
      <c r="J8" s="132">
        <f>+K8-SUM(G8:I8)</f>
        <v>21356</v>
      </c>
      <c r="K8" s="159">
        <f>'[1]Statements of Cash Flow'!$C$7</f>
        <v>67659</v>
      </c>
      <c r="L8" s="179">
        <f>SUM(G8:J8)-K8</f>
        <v>0</v>
      </c>
      <c r="M8" s="184">
        <v>22411</v>
      </c>
      <c r="N8" s="184">
        <v>8429</v>
      </c>
      <c r="O8" s="184">
        <v>26418</v>
      </c>
      <c r="P8" s="184">
        <f>+Q8-SUM(M8:O8)</f>
        <v>32218</v>
      </c>
      <c r="Q8" s="184">
        <f>ROUND('[2]Statements of Cash Flow'!$C$7,0)</f>
        <v>89476</v>
      </c>
      <c r="R8" s="184">
        <v>31931</v>
      </c>
      <c r="S8" s="184">
        <v>28021</v>
      </c>
      <c r="T8" s="184">
        <v>26507</v>
      </c>
      <c r="U8" s="184">
        <f>+V8-SUM(R8:T8)</f>
        <v>28299</v>
      </c>
      <c r="V8" s="184">
        <f>ROUND('[3]Statements of Cash Flow'!$C$7,0)</f>
        <v>114758</v>
      </c>
      <c r="W8" s="184">
        <v>36178</v>
      </c>
      <c r="X8" s="184">
        <v>35846</v>
      </c>
      <c r="Y8" s="184">
        <v>39095</v>
      </c>
      <c r="Z8" s="184">
        <f>+AA8-SUM(W8:Y8)</f>
        <v>31849</v>
      </c>
      <c r="AA8" s="184">
        <f>'[4]Statements of Cash Flow'!$C$7</f>
        <v>142968</v>
      </c>
      <c r="AB8" s="184">
        <f>'[5]Statements of Cash Flow'!$C$7</f>
        <v>51331</v>
      </c>
      <c r="AC8" s="184">
        <f>'[6]Statements of Cash Flow'!$C$7-AB8</f>
        <v>49068</v>
      </c>
      <c r="AD8" s="184">
        <f>'[7]Statements of Cash Flow'!$C$7-SUM(AB8:AC8)</f>
        <v>43876</v>
      </c>
      <c r="AE8" s="184">
        <f>+AF8-SUM(AB8:AD8)</f>
        <v>40283</v>
      </c>
      <c r="AF8" s="184">
        <f>'[8]Statements of Cash Flow'!$C$7</f>
        <v>184558</v>
      </c>
      <c r="AG8" s="184">
        <f>'[9]Statements of Cash Flow'!$C$7</f>
        <v>48763</v>
      </c>
      <c r="AH8" s="184">
        <f>'[10]Statements of Cash Flow'!$C$7-AG8</f>
        <v>45825</v>
      </c>
      <c r="AI8" s="179">
        <f>SUM([11]Cashflow!B8:AG8)-SUM(B8:AG8)</f>
        <v>0</v>
      </c>
      <c r="AL8" s="73"/>
    </row>
    <row r="9" spans="1:66" x14ac:dyDescent="0.15">
      <c r="A9" s="30" t="s">
        <v>40</v>
      </c>
      <c r="F9" s="157"/>
      <c r="G9" s="157"/>
      <c r="H9" s="52"/>
      <c r="I9" s="157"/>
      <c r="J9" s="157"/>
      <c r="K9" s="157"/>
      <c r="L9" s="2"/>
      <c r="M9" s="52"/>
      <c r="N9" s="52"/>
      <c r="O9" s="52"/>
      <c r="P9" s="52"/>
      <c r="Q9" s="52"/>
      <c r="R9" s="52"/>
      <c r="S9" s="52"/>
      <c r="T9" s="52"/>
      <c r="U9" s="52"/>
      <c r="V9" s="52"/>
      <c r="W9" s="52"/>
      <c r="X9" s="52"/>
      <c r="Y9" s="52"/>
      <c r="Z9" s="52"/>
      <c r="AA9" s="52"/>
      <c r="AB9" s="52"/>
      <c r="AC9" s="52"/>
      <c r="AD9" s="52"/>
      <c r="AE9" s="52"/>
      <c r="AF9" s="52"/>
      <c r="AG9" s="52"/>
      <c r="AH9" s="52"/>
      <c r="AI9" s="179"/>
      <c r="AL9" s="73"/>
    </row>
    <row r="10" spans="1:66" x14ac:dyDescent="0.15">
      <c r="A10" s="30" t="s">
        <v>140</v>
      </c>
      <c r="B10" s="142">
        <v>10655</v>
      </c>
      <c r="C10" s="142">
        <v>10625</v>
      </c>
      <c r="D10" s="142">
        <v>14065</v>
      </c>
      <c r="E10" s="142">
        <f t="shared" ref="E10:E26" si="0">+F10-SUM(B10:D10)</f>
        <v>13374</v>
      </c>
      <c r="F10" s="158">
        <v>48719</v>
      </c>
      <c r="G10" s="158">
        <v>13724</v>
      </c>
      <c r="H10" s="178">
        <v>12808</v>
      </c>
      <c r="I10" s="158">
        <v>13101</v>
      </c>
      <c r="J10" s="158">
        <f t="shared" ref="J10:J25" si="1">+K10-SUM(G10:I10)</f>
        <v>12560</v>
      </c>
      <c r="K10" s="158">
        <f>'[1]Statements of Cash Flow'!$C$9</f>
        <v>52193</v>
      </c>
      <c r="L10" s="179">
        <f t="shared" ref="L10:L27" si="2">SUM(G10:J10)-K10</f>
        <v>0</v>
      </c>
      <c r="M10" s="178">
        <v>12472</v>
      </c>
      <c r="N10" s="178">
        <v>12334</v>
      </c>
      <c r="O10" s="178">
        <v>12443</v>
      </c>
      <c r="P10" s="178">
        <f t="shared" ref="P10:P27" si="3">+Q10-SUM(M10:O10)</f>
        <v>13264</v>
      </c>
      <c r="Q10" s="178">
        <f>ROUND('[2]Statements of Cash Flow'!$C$9,0)</f>
        <v>50513</v>
      </c>
      <c r="R10" s="178">
        <v>12266</v>
      </c>
      <c r="S10" s="178">
        <v>12468</v>
      </c>
      <c r="T10" s="178">
        <v>12425</v>
      </c>
      <c r="U10" s="178">
        <f t="shared" ref="U10:U11" si="4">+V10-SUM(R10:T10)</f>
        <v>12497</v>
      </c>
      <c r="V10" s="178">
        <f>ROUND('[3]Statements of Cash Flow'!$C$9,0)</f>
        <v>49656</v>
      </c>
      <c r="W10" s="178">
        <v>13669</v>
      </c>
      <c r="X10" s="178">
        <v>14070</v>
      </c>
      <c r="Y10" s="178">
        <v>14254</v>
      </c>
      <c r="Z10" s="178">
        <f t="shared" ref="Z10:Z15" si="5">+AA10-SUM(W10:Y10)</f>
        <v>14109</v>
      </c>
      <c r="AA10" s="178">
        <f>'[4]Statements of Cash Flow'!$C$9</f>
        <v>56102</v>
      </c>
      <c r="AB10" s="178">
        <f>'[5]Statements of Cash Flow'!$C$9</f>
        <v>13408</v>
      </c>
      <c r="AC10" s="178">
        <f>'[6]Statements of Cash Flow'!$C$9-AB10</f>
        <v>13056</v>
      </c>
      <c r="AD10" s="178">
        <f>'[7]Statements of Cash Flow'!$C$9-SUM(AB10:AC10)</f>
        <v>11546</v>
      </c>
      <c r="AE10" s="178">
        <f t="shared" ref="AE10:AE15" si="6">+AF10-SUM(AB10:AD10)</f>
        <v>12270</v>
      </c>
      <c r="AF10" s="178">
        <f>'[8]Statements of Cash Flow'!$C$9</f>
        <v>50280</v>
      </c>
      <c r="AG10" s="178">
        <f>'[9]Statements of Cash Flow'!$C$9</f>
        <v>12337</v>
      </c>
      <c r="AH10" s="178">
        <f>'[10]Statements of Cash Flow'!$C$9-AG10</f>
        <v>12893</v>
      </c>
      <c r="AI10" s="179">
        <f>SUM([11]Cashflow!B10:AG10)-SUM(B10:AG10)</f>
        <v>0</v>
      </c>
      <c r="AL10" s="73"/>
    </row>
    <row r="11" spans="1:66" s="21" customFormat="1" hidden="1" x14ac:dyDescent="0.15">
      <c r="A11" s="30" t="s">
        <v>30</v>
      </c>
      <c r="B11" s="76"/>
      <c r="C11" s="154"/>
      <c r="D11" s="154"/>
      <c r="E11" s="154"/>
      <c r="F11" s="24"/>
      <c r="G11" s="24"/>
      <c r="H11" s="26"/>
      <c r="I11" s="24"/>
      <c r="J11" s="24"/>
      <c r="K11" s="26"/>
      <c r="L11" s="179">
        <f t="shared" si="2"/>
        <v>0</v>
      </c>
      <c r="M11" s="26">
        <f>ROUND('[35]Cash Flow_SEC Format'!$H$8/1000,0)*0</f>
        <v>0</v>
      </c>
      <c r="N11" s="26">
        <f>0*ROUND('[36]Cash Flow_SEC Format'!$G$8/1000,0)-M11</f>
        <v>0</v>
      </c>
      <c r="O11" s="26">
        <f>0*ROUND('[37]Cash Flow_SEC Format'!$G$8/1000,0)-SUM(M11:N11)</f>
        <v>0</v>
      </c>
      <c r="P11" s="26">
        <f t="shared" si="3"/>
        <v>0</v>
      </c>
      <c r="Q11" s="26">
        <f>ROUND('[38]Cash Flow_SEC Format'!$G$8/1000,0)*0</f>
        <v>0</v>
      </c>
      <c r="R11" s="26">
        <f>ROUND('[39]Cash Flow_SEC Format'!$H$8/1000,0)*0</f>
        <v>0</v>
      </c>
      <c r="S11" s="26">
        <f>0*ROUND('[40]Cash Flow_SEC Format'!$G$8/1000,0)-R11</f>
        <v>0</v>
      </c>
      <c r="T11" s="26">
        <v>0</v>
      </c>
      <c r="U11" s="178">
        <f t="shared" si="4"/>
        <v>0</v>
      </c>
      <c r="V11" s="26">
        <v>0</v>
      </c>
      <c r="W11" s="26">
        <v>0</v>
      </c>
      <c r="X11" s="26">
        <v>0</v>
      </c>
      <c r="Y11" s="26">
        <v>0</v>
      </c>
      <c r="Z11" s="178">
        <f t="shared" si="5"/>
        <v>0</v>
      </c>
      <c r="AA11" s="26"/>
      <c r="AB11" s="26"/>
      <c r="AC11" s="26"/>
      <c r="AD11" s="26"/>
      <c r="AE11" s="178">
        <f t="shared" si="6"/>
        <v>0</v>
      </c>
      <c r="AF11" s="26"/>
      <c r="AG11" s="26"/>
      <c r="AH11" s="26"/>
      <c r="AI11" s="179">
        <f>SUM([41]Cashflow!K13:AC13)-SUM(K12:AC12)</f>
        <v>273138</v>
      </c>
      <c r="AJ11" s="2"/>
      <c r="AL11" s="73"/>
      <c r="AT11" s="2"/>
      <c r="AU11" s="2"/>
      <c r="AV11" s="2"/>
      <c r="AW11" s="2"/>
      <c r="AX11" s="2"/>
      <c r="AY11" s="2"/>
      <c r="AZ11" s="2"/>
      <c r="BA11" s="2"/>
      <c r="BB11" s="2"/>
      <c r="BC11" s="2"/>
      <c r="BD11" s="2"/>
      <c r="BE11" s="2"/>
      <c r="BF11" s="2"/>
      <c r="BG11" s="2"/>
      <c r="BH11" s="2"/>
      <c r="BI11" s="2"/>
      <c r="BJ11" s="2"/>
      <c r="BK11" s="2"/>
      <c r="BL11" s="2"/>
      <c r="BM11" s="2"/>
      <c r="BN11" s="2"/>
    </row>
    <row r="12" spans="1:66" s="21" customFormat="1" x14ac:dyDescent="0.15">
      <c r="A12" s="30" t="s">
        <v>186</v>
      </c>
      <c r="B12" s="154">
        <v>0</v>
      </c>
      <c r="C12" s="154">
        <v>0</v>
      </c>
      <c r="D12" s="154">
        <v>0</v>
      </c>
      <c r="E12" s="154">
        <f t="shared" si="0"/>
        <v>600.47593517868052</v>
      </c>
      <c r="F12" s="24">
        <v>600.47593517868052</v>
      </c>
      <c r="G12" s="24">
        <v>600.47593517868052</v>
      </c>
      <c r="H12" s="26">
        <f>ROUND('[42]Cash Flow_SEC Format'!$G$19/1000,0)-G12</f>
        <v>617.52406482131948</v>
      </c>
      <c r="I12" s="24">
        <v>618</v>
      </c>
      <c r="J12" s="24">
        <f t="shared" si="1"/>
        <v>636</v>
      </c>
      <c r="K12" s="26">
        <f>ROUND('[43]Cash Flow_SEC Format'!$G$19/1000,0)+1</f>
        <v>2472</v>
      </c>
      <c r="L12" s="179">
        <f t="shared" si="2"/>
        <v>0</v>
      </c>
      <c r="M12" s="26">
        <f>ROUND('[35]Cash Flow_SEC Format'!$H$19/1000,0)</f>
        <v>635</v>
      </c>
      <c r="N12" s="26">
        <f>ROUND('[36]Cash Flow_SEC Format'!$G$19/1000,0)-M12</f>
        <v>654</v>
      </c>
      <c r="O12" s="26">
        <f>ROUND('[37]Cash Flow_SEC Format'!$G$19/1000,0)-SUM(M12:N12)</f>
        <v>654</v>
      </c>
      <c r="P12" s="26">
        <f t="shared" si="3"/>
        <v>673</v>
      </c>
      <c r="Q12" s="26">
        <f>ROUND('[38]Cash Flow_SEC Format'!$G$19/1000,0)</f>
        <v>2616</v>
      </c>
      <c r="R12" s="26">
        <f>ROUND('[39]Cash Flow_SEC Format'!$H$19/1000,0)</f>
        <v>673</v>
      </c>
      <c r="S12" s="26">
        <f>ROUND('[40]Cash Flow_SEC Format'!$G$19/1000,0)-R12</f>
        <v>691</v>
      </c>
      <c r="T12" s="178">
        <v>431</v>
      </c>
      <c r="U12" s="178">
        <f t="shared" ref="U12:U15" si="7">+V12-SUM(R12:T12)</f>
        <v>0</v>
      </c>
      <c r="V12" s="178">
        <f>ROUND('[3]Statements of Cash Flow'!$C$18,0)</f>
        <v>1795</v>
      </c>
      <c r="W12" s="178">
        <v>0</v>
      </c>
      <c r="X12" s="178">
        <v>0</v>
      </c>
      <c r="Y12" s="178">
        <v>0</v>
      </c>
      <c r="Z12" s="178">
        <f t="shared" si="5"/>
        <v>0</v>
      </c>
      <c r="AA12" s="178">
        <f>'[4]Statements of Cash Flow'!$C$19</f>
        <v>0</v>
      </c>
      <c r="AB12" s="178">
        <f>'[5]Statements of Cash Flow'!$C$19</f>
        <v>0</v>
      </c>
      <c r="AC12" s="178">
        <f>'[6]Statements of Cash Flow'!$C$19-AB12</f>
        <v>0</v>
      </c>
      <c r="AD12" s="178">
        <f>'[7]Statements of Cash Flow'!$C$19-SUM(AB12:AC12)</f>
        <v>0</v>
      </c>
      <c r="AE12" s="178">
        <f t="shared" si="6"/>
        <v>0</v>
      </c>
      <c r="AF12" s="178">
        <f>'[8]Statements of Cash Flow'!$C$19</f>
        <v>0</v>
      </c>
      <c r="AG12" s="178">
        <f>'[9]Statements of Cash Flow'!$C$19</f>
        <v>0</v>
      </c>
      <c r="AH12" s="178">
        <f>'[10]Statements of Cash Flow'!$C$19</f>
        <v>0</v>
      </c>
      <c r="AI12" s="179">
        <f>SUM([11]Cashflow!B12:AG12)-SUM(B12:AG12)</f>
        <v>0</v>
      </c>
      <c r="AJ12" s="2"/>
      <c r="AL12" s="73"/>
      <c r="AT12" s="2"/>
      <c r="AU12" s="2"/>
      <c r="AV12" s="2"/>
      <c r="AW12" s="2"/>
      <c r="AX12" s="2"/>
      <c r="AY12" s="2"/>
      <c r="AZ12" s="2"/>
      <c r="BA12" s="2"/>
      <c r="BB12" s="2"/>
      <c r="BC12" s="2"/>
      <c r="BD12" s="2"/>
      <c r="BE12" s="2"/>
      <c r="BF12" s="2"/>
      <c r="BG12" s="2"/>
      <c r="BH12" s="2"/>
      <c r="BI12" s="2"/>
      <c r="BJ12" s="2"/>
      <c r="BK12" s="2"/>
      <c r="BL12" s="2"/>
      <c r="BM12" s="2"/>
      <c r="BN12" s="2"/>
    </row>
    <row r="13" spans="1:66" s="21" customFormat="1" x14ac:dyDescent="0.15">
      <c r="A13" s="30" t="s">
        <v>192</v>
      </c>
      <c r="B13" s="76">
        <v>5074</v>
      </c>
      <c r="C13" s="154">
        <v>6892</v>
      </c>
      <c r="D13" s="154">
        <v>5345</v>
      </c>
      <c r="E13" s="154">
        <f t="shared" si="0"/>
        <v>6590</v>
      </c>
      <c r="F13" s="158">
        <v>23901</v>
      </c>
      <c r="G13" s="158">
        <v>6956</v>
      </c>
      <c r="H13" s="178">
        <v>7155</v>
      </c>
      <c r="I13" s="158">
        <v>7427</v>
      </c>
      <c r="J13" s="158">
        <f t="shared" si="1"/>
        <v>4532</v>
      </c>
      <c r="K13" s="158">
        <f>'[1]Statements of Cash Flow'!$C$10</f>
        <v>26070</v>
      </c>
      <c r="L13" s="179">
        <f t="shared" si="2"/>
        <v>0</v>
      </c>
      <c r="M13" s="178">
        <v>4778</v>
      </c>
      <c r="N13" s="178">
        <v>7726</v>
      </c>
      <c r="O13" s="178">
        <v>8346</v>
      </c>
      <c r="P13" s="178">
        <f t="shared" si="3"/>
        <v>7385</v>
      </c>
      <c r="Q13" s="178">
        <f>'[2]Statements of Cash Flow'!$C$10</f>
        <v>28235</v>
      </c>
      <c r="R13" s="178">
        <v>7832</v>
      </c>
      <c r="S13" s="178">
        <v>10070</v>
      </c>
      <c r="T13" s="178">
        <v>10894</v>
      </c>
      <c r="U13" s="178">
        <f t="shared" si="7"/>
        <v>9825</v>
      </c>
      <c r="V13" s="178">
        <f>'[3]Statements of Cash Flow'!$C$10</f>
        <v>38621</v>
      </c>
      <c r="W13" s="178">
        <v>11224</v>
      </c>
      <c r="X13" s="178">
        <v>13340</v>
      </c>
      <c r="Y13" s="178">
        <v>12186</v>
      </c>
      <c r="Z13" s="178">
        <f t="shared" si="5"/>
        <v>12616</v>
      </c>
      <c r="AA13" s="178">
        <f>'[4]Statements of Cash Flow'!$C$10</f>
        <v>49366</v>
      </c>
      <c r="AB13" s="178">
        <f>'[5]Statements of Cash Flow'!$C$10</f>
        <v>14407</v>
      </c>
      <c r="AC13" s="178">
        <f>'[6]Statements of Cash Flow'!$C$10-AB13</f>
        <v>11511</v>
      </c>
      <c r="AD13" s="178">
        <f>'[7]Statements of Cash Flow'!$C$10-SUM(AB13:AC13)</f>
        <v>17067</v>
      </c>
      <c r="AE13" s="178">
        <f t="shared" si="6"/>
        <v>15452</v>
      </c>
      <c r="AF13" s="178">
        <f>'[8]Statements of Cash Flow'!$C$10</f>
        <v>58437</v>
      </c>
      <c r="AG13" s="178">
        <f>'[9]Statements of Cash Flow'!$C$10</f>
        <v>17852</v>
      </c>
      <c r="AH13" s="178">
        <f>'[10]Statements of Cash Flow'!$C$10-AG13</f>
        <v>18095</v>
      </c>
      <c r="AI13" s="179">
        <f>SUM([11]Cashflow!B13:AG13)-SUM(B13:AG13)</f>
        <v>0</v>
      </c>
      <c r="AJ13" s="2"/>
      <c r="AL13" s="73"/>
      <c r="AT13" s="2"/>
      <c r="AU13" s="2"/>
      <c r="AV13" s="2"/>
      <c r="AW13" s="2"/>
      <c r="AX13" s="2"/>
      <c r="AY13" s="2"/>
      <c r="AZ13" s="2"/>
      <c r="BA13" s="2"/>
      <c r="BB13" s="2"/>
      <c r="BC13" s="2"/>
      <c r="BD13" s="2"/>
      <c r="BE13" s="2"/>
      <c r="BF13" s="2"/>
      <c r="BG13" s="2"/>
      <c r="BH13" s="2"/>
      <c r="BI13" s="2"/>
      <c r="BJ13" s="2"/>
      <c r="BK13" s="2"/>
      <c r="BL13" s="2"/>
      <c r="BM13" s="2"/>
      <c r="BN13" s="2"/>
    </row>
    <row r="14" spans="1:66" s="21" customFormat="1" x14ac:dyDescent="0.15">
      <c r="A14" s="30" t="s">
        <v>161</v>
      </c>
      <c r="B14" s="76"/>
      <c r="C14" s="154"/>
      <c r="D14" s="154"/>
      <c r="E14" s="154"/>
      <c r="F14" s="158">
        <v>0</v>
      </c>
      <c r="G14" s="158">
        <v>0</v>
      </c>
      <c r="H14" s="178">
        <v>0</v>
      </c>
      <c r="I14" s="158">
        <v>0</v>
      </c>
      <c r="J14" s="158">
        <v>0</v>
      </c>
      <c r="K14" s="158">
        <v>0</v>
      </c>
      <c r="L14" s="179">
        <v>0</v>
      </c>
      <c r="M14" s="178">
        <v>0</v>
      </c>
      <c r="N14" s="178">
        <v>0</v>
      </c>
      <c r="O14" s="178">
        <v>0</v>
      </c>
      <c r="P14" s="178">
        <v>0</v>
      </c>
      <c r="Q14" s="178">
        <v>0</v>
      </c>
      <c r="R14" s="178">
        <v>0</v>
      </c>
      <c r="S14" s="178">
        <v>0</v>
      </c>
      <c r="T14" s="178">
        <v>12845</v>
      </c>
      <c r="U14" s="178">
        <f t="shared" si="7"/>
        <v>0</v>
      </c>
      <c r="V14" s="178">
        <f>ROUND('[3]Statements of Cash Flow'!$C$16,0)</f>
        <v>12845</v>
      </c>
      <c r="W14" s="178">
        <v>0</v>
      </c>
      <c r="X14" s="178">
        <v>0</v>
      </c>
      <c r="Y14" s="178">
        <v>0</v>
      </c>
      <c r="Z14" s="178">
        <f t="shared" si="5"/>
        <v>0</v>
      </c>
      <c r="AA14" s="178">
        <v>0</v>
      </c>
      <c r="AB14" s="178">
        <v>0</v>
      </c>
      <c r="AC14" s="178">
        <v>0</v>
      </c>
      <c r="AD14" s="178">
        <v>0</v>
      </c>
      <c r="AE14" s="178">
        <f t="shared" si="6"/>
        <v>0</v>
      </c>
      <c r="AF14" s="178">
        <v>0</v>
      </c>
      <c r="AG14" s="178">
        <v>0</v>
      </c>
      <c r="AH14" s="178">
        <v>0</v>
      </c>
      <c r="AI14" s="179">
        <f>SUM([11]Cashflow!B14:AG14)-SUM(B14:AG14)</f>
        <v>0</v>
      </c>
      <c r="AJ14" s="2"/>
      <c r="AL14" s="73"/>
      <c r="AT14" s="2"/>
      <c r="AU14" s="2"/>
      <c r="AV14" s="2"/>
      <c r="AW14" s="2"/>
      <c r="AX14" s="2"/>
      <c r="AY14" s="2"/>
      <c r="AZ14" s="2"/>
      <c r="BA14" s="2"/>
      <c r="BB14" s="2"/>
      <c r="BC14" s="2"/>
      <c r="BD14" s="2"/>
      <c r="BE14" s="2"/>
      <c r="BF14" s="2"/>
      <c r="BG14" s="2"/>
      <c r="BH14" s="2"/>
      <c r="BI14" s="2"/>
      <c r="BJ14" s="2"/>
      <c r="BK14" s="2"/>
      <c r="BL14" s="2"/>
      <c r="BM14" s="2"/>
      <c r="BN14" s="2"/>
    </row>
    <row r="15" spans="1:66" s="21" customFormat="1" x14ac:dyDescent="0.15">
      <c r="A15" s="30" t="s">
        <v>158</v>
      </c>
      <c r="B15" s="140">
        <v>56</v>
      </c>
      <c r="C15" s="140">
        <v>58</v>
      </c>
      <c r="D15" s="140">
        <v>62</v>
      </c>
      <c r="E15" s="140">
        <f t="shared" si="0"/>
        <v>71</v>
      </c>
      <c r="F15" s="24">
        <v>247</v>
      </c>
      <c r="G15" s="24">
        <v>67</v>
      </c>
      <c r="H15" s="26">
        <v>62</v>
      </c>
      <c r="I15" s="24">
        <v>69</v>
      </c>
      <c r="J15" s="24">
        <f t="shared" si="1"/>
        <v>71</v>
      </c>
      <c r="K15" s="24">
        <f>'[1]Statements of Cash Flow'!$C$16</f>
        <v>269</v>
      </c>
      <c r="L15" s="179">
        <f t="shared" si="2"/>
        <v>0</v>
      </c>
      <c r="M15" s="26">
        <v>55</v>
      </c>
      <c r="N15" s="26">
        <v>66</v>
      </c>
      <c r="O15" s="26">
        <v>72</v>
      </c>
      <c r="P15" s="26">
        <f t="shared" si="3"/>
        <v>34</v>
      </c>
      <c r="Q15" s="26">
        <f>'[2]Statements of Cash Flow'!$C$16</f>
        <v>227</v>
      </c>
      <c r="R15" s="26">
        <v>36</v>
      </c>
      <c r="S15" s="26">
        <v>-8</v>
      </c>
      <c r="T15" s="26">
        <v>-28</v>
      </c>
      <c r="U15" s="26">
        <f t="shared" si="7"/>
        <v>-47</v>
      </c>
      <c r="V15" s="26">
        <f>'[3]Statements of Cash Flow'!$C$17</f>
        <v>-47</v>
      </c>
      <c r="W15" s="26">
        <v>-114</v>
      </c>
      <c r="X15" s="26">
        <v>-143</v>
      </c>
      <c r="Y15" s="26">
        <f>ROUND('[44]Cash Flow_SEC Format'!$I$19/1000,0)-SUM(W15:X15)</f>
        <v>-109</v>
      </c>
      <c r="Z15" s="26">
        <f t="shared" si="5"/>
        <v>-68</v>
      </c>
      <c r="AA15" s="26">
        <f>ROUND('[45]Cash Flow_SEC Format'!$I$19/1000,0)</f>
        <v>-434</v>
      </c>
      <c r="AB15" s="26">
        <f>ROUND('[46]Cash Flow_SEC Format'!$I$19/1000,0)</f>
        <v>-66</v>
      </c>
      <c r="AC15" s="26">
        <f>ROUND('[47]Cash Flow_SEC Format'!$I$19/1000,0)-AB15</f>
        <v>-66</v>
      </c>
      <c r="AD15" s="26">
        <f>ROUND('[48]Cash Flow_SEC Format'!$I$19/1000,0)-SUM(AB15:AC15)</f>
        <v>-25</v>
      </c>
      <c r="AE15" s="26">
        <f t="shared" si="6"/>
        <v>4</v>
      </c>
      <c r="AF15" s="26">
        <f>ROUND('[49]Cash Flow_SEC Format'!$I$19/1000,0)</f>
        <v>-153</v>
      </c>
      <c r="AG15" s="26">
        <f>ROUND('[50]Cash Flow_SEC Format'!$I$20/1000,0)</f>
        <v>28</v>
      </c>
      <c r="AH15" s="26">
        <f>ROUND('[51]Cash Flow_SEC Format'!$I$20/1000,0)-AG15</f>
        <v>8</v>
      </c>
      <c r="AI15" s="179">
        <f>SUM([11]Cashflow!B15:AG15)-SUM(B15:AG15)</f>
        <v>0</v>
      </c>
      <c r="AJ15" s="2"/>
      <c r="AL15" s="73"/>
      <c r="AT15" s="2"/>
      <c r="AU15" s="2"/>
      <c r="AV15" s="2"/>
      <c r="AW15" s="2"/>
      <c r="AX15" s="2"/>
      <c r="AY15" s="2"/>
      <c r="AZ15" s="2"/>
      <c r="BA15" s="2"/>
      <c r="BB15" s="2"/>
      <c r="BC15" s="2"/>
      <c r="BD15" s="2"/>
      <c r="BE15" s="2"/>
      <c r="BF15" s="2"/>
      <c r="BG15" s="2"/>
      <c r="BH15" s="2"/>
      <c r="BI15" s="2"/>
      <c r="BJ15" s="2"/>
      <c r="BK15" s="2"/>
      <c r="BL15" s="2"/>
      <c r="BM15" s="2"/>
      <c r="BN15" s="2"/>
    </row>
    <row r="16" spans="1:66" s="21" customFormat="1" hidden="1" x14ac:dyDescent="0.15">
      <c r="A16" s="30" t="s">
        <v>31</v>
      </c>
      <c r="B16" s="140">
        <v>0</v>
      </c>
      <c r="C16" s="140">
        <v>0</v>
      </c>
      <c r="D16" s="140">
        <v>0</v>
      </c>
      <c r="E16" s="140">
        <f t="shared" si="0"/>
        <v>0</v>
      </c>
      <c r="F16" s="140">
        <v>0</v>
      </c>
      <c r="G16" s="140">
        <v>0</v>
      </c>
      <c r="H16" s="140">
        <v>0</v>
      </c>
      <c r="I16" s="140">
        <v>0</v>
      </c>
      <c r="J16" s="140">
        <v>0</v>
      </c>
      <c r="K16" s="140">
        <v>0</v>
      </c>
      <c r="L16" s="179">
        <f t="shared" si="2"/>
        <v>0</v>
      </c>
      <c r="M16" s="140">
        <v>0</v>
      </c>
      <c r="N16" s="140">
        <v>0</v>
      </c>
      <c r="O16" s="140">
        <v>0</v>
      </c>
      <c r="P16" s="140">
        <v>0</v>
      </c>
      <c r="Q16" s="140">
        <v>0</v>
      </c>
      <c r="R16" s="140">
        <v>0</v>
      </c>
      <c r="S16" s="140">
        <v>0</v>
      </c>
      <c r="T16" s="140">
        <v>0</v>
      </c>
      <c r="U16" s="140"/>
      <c r="V16" s="140"/>
      <c r="W16" s="140"/>
      <c r="X16" s="140"/>
      <c r="Y16" s="140"/>
      <c r="Z16" s="140"/>
      <c r="AA16" s="140"/>
      <c r="AB16" s="140"/>
      <c r="AC16" s="140"/>
      <c r="AD16" s="140"/>
      <c r="AE16" s="140"/>
      <c r="AF16" s="140"/>
      <c r="AG16" s="140"/>
      <c r="AH16" s="140"/>
      <c r="AI16" s="179">
        <f>SUM([41]Cashflow!K18:AC18)-SUM(K17:AC17)</f>
        <v>0</v>
      </c>
      <c r="AJ16" s="2"/>
      <c r="AL16" s="73"/>
      <c r="AT16" s="2"/>
      <c r="AU16" s="2"/>
      <c r="AV16" s="2"/>
      <c r="AW16" s="2"/>
      <c r="AX16" s="2"/>
      <c r="AY16" s="2"/>
      <c r="AZ16" s="2"/>
      <c r="BA16" s="2"/>
      <c r="BB16" s="2"/>
      <c r="BC16" s="2"/>
      <c r="BD16" s="2"/>
      <c r="BE16" s="2"/>
      <c r="BF16" s="2"/>
      <c r="BG16" s="2"/>
      <c r="BH16" s="2"/>
      <c r="BI16" s="2"/>
      <c r="BJ16" s="2"/>
      <c r="BK16" s="2"/>
      <c r="BL16" s="2"/>
      <c r="BM16" s="2"/>
      <c r="BN16" s="2"/>
    </row>
    <row r="17" spans="1:66" s="21" customFormat="1" hidden="1" x14ac:dyDescent="0.15">
      <c r="A17" s="30" t="s">
        <v>77</v>
      </c>
      <c r="B17" s="76"/>
      <c r="C17" s="154"/>
      <c r="D17" s="154"/>
      <c r="E17" s="154"/>
      <c r="F17" s="24"/>
      <c r="G17" s="24"/>
      <c r="H17" s="26"/>
      <c r="I17" s="24"/>
      <c r="J17" s="24"/>
      <c r="K17" s="26"/>
      <c r="L17" s="179">
        <f t="shared" si="2"/>
        <v>0</v>
      </c>
      <c r="M17" s="26">
        <f>ROUND('[35]Cash Flow_SEC Format'!$H$15/1000,0)</f>
        <v>0</v>
      </c>
      <c r="N17" s="26">
        <f>ROUND('[36]Cash Flow_SEC Format'!$G$15/1000,0)-M17</f>
        <v>0</v>
      </c>
      <c r="O17" s="26">
        <f>ROUND('[37]Cash Flow_SEC Format'!$G$15/1000,0)-SUM(M17:N17)</f>
        <v>0</v>
      </c>
      <c r="P17" s="26">
        <f t="shared" si="3"/>
        <v>0</v>
      </c>
      <c r="Q17" s="26">
        <f>ROUND('[38]Cash Flow_SEC Format'!$G$15/1000,0)</f>
        <v>0</v>
      </c>
      <c r="R17" s="26">
        <f>ROUND('[39]Cash Flow_SEC Format'!$H$15/1000,0)</f>
        <v>0</v>
      </c>
      <c r="S17" s="26">
        <f>ROUND('[40]Cash Flow_SEC Format'!$G$15/1000,0)-R17</f>
        <v>0</v>
      </c>
      <c r="T17" s="26">
        <f>ROUND('[52]Cash Flow_SEC Format'!$G$16/1000,0)-SUM(R17:S17)</f>
        <v>0</v>
      </c>
      <c r="U17" s="26"/>
      <c r="V17" s="26"/>
      <c r="W17" s="26"/>
      <c r="X17" s="26"/>
      <c r="Y17" s="26"/>
      <c r="Z17" s="26"/>
      <c r="AA17" s="26"/>
      <c r="AB17" s="26"/>
      <c r="AC17" s="26"/>
      <c r="AD17" s="26"/>
      <c r="AE17" s="26"/>
      <c r="AF17" s="26"/>
      <c r="AG17" s="26"/>
      <c r="AH17" s="26"/>
      <c r="AI17" s="179">
        <f>SUM([41]Cashflow!K19:AC19)-SUM(K18:AC18)</f>
        <v>-39157</v>
      </c>
      <c r="AJ17" s="2"/>
      <c r="AL17" s="73"/>
      <c r="AT17" s="2"/>
      <c r="AU17" s="2"/>
      <c r="AV17" s="2"/>
      <c r="AW17" s="2"/>
      <c r="AX17" s="2"/>
      <c r="AY17" s="2"/>
      <c r="AZ17" s="2"/>
      <c r="BA17" s="2"/>
      <c r="BB17" s="2"/>
      <c r="BC17" s="2"/>
      <c r="BD17" s="2"/>
      <c r="BE17" s="2"/>
      <c r="BF17" s="2"/>
      <c r="BG17" s="2"/>
      <c r="BH17" s="2"/>
      <c r="BI17" s="2"/>
      <c r="BJ17" s="2"/>
      <c r="BK17" s="2"/>
      <c r="BL17" s="2"/>
      <c r="BM17" s="2"/>
      <c r="BN17" s="2"/>
    </row>
    <row r="18" spans="1:66" s="21" customFormat="1" hidden="1" x14ac:dyDescent="0.15">
      <c r="A18" s="30" t="s">
        <v>91</v>
      </c>
      <c r="B18" s="140">
        <v>0</v>
      </c>
      <c r="C18" s="140">
        <v>0</v>
      </c>
      <c r="D18" s="140">
        <v>0</v>
      </c>
      <c r="E18" s="140">
        <f t="shared" si="0"/>
        <v>0</v>
      </c>
      <c r="F18" s="140">
        <v>0</v>
      </c>
      <c r="G18" s="140">
        <v>0</v>
      </c>
      <c r="H18" s="140">
        <v>0</v>
      </c>
      <c r="I18" s="140">
        <v>0</v>
      </c>
      <c r="J18" s="140">
        <v>0</v>
      </c>
      <c r="K18" s="140">
        <v>0</v>
      </c>
      <c r="L18" s="179">
        <f t="shared" si="2"/>
        <v>0</v>
      </c>
      <c r="M18" s="140">
        <v>0</v>
      </c>
      <c r="N18" s="140">
        <v>0</v>
      </c>
      <c r="O18" s="140">
        <v>0</v>
      </c>
      <c r="P18" s="140">
        <v>0</v>
      </c>
      <c r="Q18" s="140">
        <v>0</v>
      </c>
      <c r="R18" s="140">
        <v>0</v>
      </c>
      <c r="S18" s="140">
        <v>0</v>
      </c>
      <c r="T18" s="140">
        <v>0</v>
      </c>
      <c r="U18" s="140"/>
      <c r="V18" s="140"/>
      <c r="W18" s="140"/>
      <c r="X18" s="140"/>
      <c r="Y18" s="140"/>
      <c r="Z18" s="140"/>
      <c r="AA18" s="140"/>
      <c r="AB18" s="140"/>
      <c r="AC18" s="140"/>
      <c r="AD18" s="140"/>
      <c r="AE18" s="140"/>
      <c r="AF18" s="140"/>
      <c r="AG18" s="140"/>
      <c r="AH18" s="140"/>
      <c r="AI18" s="179">
        <f>SUM([41]Cashflow!K20:AC20)-SUM(K19:AC19)</f>
        <v>29775</v>
      </c>
      <c r="AJ18" s="2"/>
      <c r="AL18" s="73"/>
      <c r="AT18" s="2"/>
      <c r="AU18" s="2"/>
      <c r="AV18" s="2"/>
      <c r="AW18" s="2"/>
      <c r="AX18" s="2"/>
      <c r="AY18" s="2"/>
      <c r="AZ18" s="2"/>
      <c r="BA18" s="2"/>
      <c r="BB18" s="2"/>
      <c r="BC18" s="2"/>
      <c r="BD18" s="2"/>
      <c r="BE18" s="2"/>
      <c r="BF18" s="2"/>
      <c r="BG18" s="2"/>
      <c r="BH18" s="2"/>
      <c r="BI18" s="2"/>
      <c r="BJ18" s="2"/>
      <c r="BK18" s="2"/>
      <c r="BL18" s="2"/>
      <c r="BM18" s="2"/>
      <c r="BN18" s="2"/>
    </row>
    <row r="19" spans="1:66" s="21" customFormat="1" x14ac:dyDescent="0.15">
      <c r="A19" s="30" t="s">
        <v>185</v>
      </c>
      <c r="B19" s="76">
        <f>ROUND(-3318.50205594496,0)</f>
        <v>-3319</v>
      </c>
      <c r="C19" s="154">
        <f>ROUND(-4463.49794405504,0)</f>
        <v>-4463</v>
      </c>
      <c r="D19" s="154">
        <v>-6593</v>
      </c>
      <c r="E19" s="154">
        <f t="shared" si="0"/>
        <v>5755</v>
      </c>
      <c r="F19" s="158">
        <v>-8620</v>
      </c>
      <c r="G19" s="158">
        <v>127</v>
      </c>
      <c r="H19" s="178">
        <v>1840</v>
      </c>
      <c r="I19" s="158">
        <v>-1948</v>
      </c>
      <c r="J19" s="158">
        <f t="shared" si="1"/>
        <v>-340</v>
      </c>
      <c r="K19" s="158">
        <f>'[1]Statements of Cash Flow'!$C$13</f>
        <v>-321</v>
      </c>
      <c r="L19" s="179">
        <f t="shared" si="2"/>
        <v>0</v>
      </c>
      <c r="M19" s="178">
        <v>-6490</v>
      </c>
      <c r="N19" s="178">
        <v>3112</v>
      </c>
      <c r="O19" s="178">
        <v>2894</v>
      </c>
      <c r="P19" s="178">
        <f t="shared" si="3"/>
        <v>886</v>
      </c>
      <c r="Q19" s="178">
        <f>'[2]Statements of Cash Flow'!$C$13</f>
        <v>402</v>
      </c>
      <c r="R19" s="178">
        <v>-1139</v>
      </c>
      <c r="S19" s="178">
        <v>-1495</v>
      </c>
      <c r="T19" s="178">
        <v>-1165</v>
      </c>
      <c r="U19" s="178">
        <f t="shared" ref="U19:U21" si="8">+V19-SUM(R19:T19)</f>
        <v>-22</v>
      </c>
      <c r="V19" s="178">
        <f>'[3]Statements of Cash Flow'!$C$13</f>
        <v>-3821</v>
      </c>
      <c r="W19" s="178">
        <v>-3165</v>
      </c>
      <c r="X19" s="178">
        <v>-7115</v>
      </c>
      <c r="Y19" s="178">
        <v>-6533</v>
      </c>
      <c r="Z19" s="178">
        <f t="shared" ref="Z19:Z21" si="9">+AA19-SUM(W19:Y19)</f>
        <v>170</v>
      </c>
      <c r="AA19" s="178">
        <f>'[4]Statements of Cash Flow'!$C$13</f>
        <v>-16643</v>
      </c>
      <c r="AB19" s="178">
        <f>'[5]Statements of Cash Flow'!$C$13</f>
        <v>2814</v>
      </c>
      <c r="AC19" s="178">
        <f>'[6]Statements of Cash Flow'!$C$13-AB19</f>
        <v>-1526</v>
      </c>
      <c r="AD19" s="178">
        <f>'[7]Statements of Cash Flow'!$C$13-SUM(AB19:AC19)</f>
        <v>-2150</v>
      </c>
      <c r="AE19" s="178">
        <f t="shared" ref="AE19:AE21" si="10">+AF19-SUM(AB19:AD19)</f>
        <v>-501</v>
      </c>
      <c r="AF19" s="178">
        <f>'[8]Statements of Cash Flow'!$C$13</f>
        <v>-1363</v>
      </c>
      <c r="AG19" s="178">
        <f>'[9]Statements of Cash Flow'!$C$13</f>
        <v>-274</v>
      </c>
      <c r="AH19" s="178">
        <f>'[10]Statements of Cash Flow'!$C$13-AG19</f>
        <v>-2645</v>
      </c>
      <c r="AI19" s="179">
        <f>SUM([11]Cashflow!B19:AG19)-SUM(B19:AG19)</f>
        <v>0</v>
      </c>
      <c r="AJ19" s="2"/>
      <c r="AL19" s="73"/>
      <c r="AT19" s="2"/>
      <c r="AU19" s="2"/>
      <c r="AV19" s="2"/>
      <c r="AW19" s="2"/>
      <c r="AX19" s="2"/>
      <c r="AY19" s="2"/>
      <c r="AZ19" s="2"/>
      <c r="BA19" s="2"/>
      <c r="BB19" s="2"/>
      <c r="BC19" s="2"/>
      <c r="BD19" s="2"/>
      <c r="BE19" s="2"/>
      <c r="BF19" s="2"/>
      <c r="BG19" s="2"/>
      <c r="BH19" s="2"/>
      <c r="BI19" s="2"/>
      <c r="BJ19" s="2"/>
      <c r="BK19" s="2"/>
      <c r="BL19" s="2"/>
      <c r="BM19" s="2"/>
      <c r="BN19" s="2"/>
    </row>
    <row r="20" spans="1:66" s="21" customFormat="1" x14ac:dyDescent="0.15">
      <c r="A20" s="30" t="s">
        <v>225</v>
      </c>
      <c r="B20" s="76">
        <v>-2842</v>
      </c>
      <c r="C20" s="154">
        <v>-1098</v>
      </c>
      <c r="D20" s="154">
        <v>-1483</v>
      </c>
      <c r="E20" s="154">
        <f t="shared" si="0"/>
        <v>-2273</v>
      </c>
      <c r="F20" s="158">
        <v>-7696</v>
      </c>
      <c r="G20" s="158">
        <v>-3185</v>
      </c>
      <c r="H20" s="178">
        <v>-1177</v>
      </c>
      <c r="I20" s="158">
        <v>-3081</v>
      </c>
      <c r="J20" s="158">
        <f t="shared" si="1"/>
        <v>-2673</v>
      </c>
      <c r="K20" s="158">
        <f>'[1]Statements of Cash Flow'!$C$12</f>
        <v>-10116</v>
      </c>
      <c r="L20" s="179">
        <f t="shared" si="2"/>
        <v>0</v>
      </c>
      <c r="M20" s="178">
        <v>267</v>
      </c>
      <c r="N20" s="178">
        <v>-3109</v>
      </c>
      <c r="O20" s="178">
        <v>-1965</v>
      </c>
      <c r="P20" s="178">
        <f t="shared" si="3"/>
        <v>-2367</v>
      </c>
      <c r="Q20" s="178">
        <f>'[2]Statements of Cash Flow'!$C$12</f>
        <v>-7174</v>
      </c>
      <c r="R20" s="178">
        <v>-1103</v>
      </c>
      <c r="S20" s="178">
        <v>7880</v>
      </c>
      <c r="T20" s="178">
        <v>-790</v>
      </c>
      <c r="U20" s="178">
        <f t="shared" si="8"/>
        <v>-848</v>
      </c>
      <c r="V20" s="178">
        <f>'[3]Statements of Cash Flow'!$C$12</f>
        <v>5139</v>
      </c>
      <c r="W20" s="178">
        <v>-384</v>
      </c>
      <c r="X20" s="178">
        <v>109</v>
      </c>
      <c r="Y20" s="178">
        <v>-200</v>
      </c>
      <c r="Z20" s="178">
        <f t="shared" si="9"/>
        <v>-734</v>
      </c>
      <c r="AA20" s="178">
        <f>'[4]Statements of Cash Flow'!$C$12</f>
        <v>-1209</v>
      </c>
      <c r="AB20" s="178">
        <f>'[5]Statements of Cash Flow'!$C$12</f>
        <v>8186</v>
      </c>
      <c r="AC20" s="178">
        <f>'[6]Statements of Cash Flow'!$C$12-AB20</f>
        <v>-964</v>
      </c>
      <c r="AD20" s="178">
        <f>'[7]Statements of Cash Flow'!$C$12-SUM(AB20:AC20)</f>
        <v>-1219</v>
      </c>
      <c r="AE20" s="178">
        <f t="shared" si="10"/>
        <v>11041</v>
      </c>
      <c r="AF20" s="178">
        <f>'[8]Statements of Cash Flow'!$C$12</f>
        <v>17044</v>
      </c>
      <c r="AG20" s="178">
        <f>'[9]Statements of Cash Flow'!$C$12</f>
        <v>353</v>
      </c>
      <c r="AH20" s="178">
        <f>'[10]Statements of Cash Flow'!$C$12-AG20</f>
        <v>-654</v>
      </c>
      <c r="AI20" s="179">
        <f>SUM([11]Cashflow!B20:AG20)-SUM(B20:AG20)</f>
        <v>0</v>
      </c>
      <c r="AJ20" s="2"/>
      <c r="AL20" s="73"/>
      <c r="AT20" s="2"/>
      <c r="AU20" s="2"/>
      <c r="AV20" s="2"/>
      <c r="AW20" s="2"/>
      <c r="AX20" s="2"/>
      <c r="AY20" s="2"/>
      <c r="AZ20" s="2"/>
      <c r="BA20" s="2"/>
      <c r="BB20" s="2"/>
      <c r="BC20" s="2"/>
      <c r="BD20" s="2"/>
      <c r="BE20" s="2"/>
      <c r="BF20" s="2"/>
      <c r="BG20" s="2"/>
      <c r="BH20" s="2"/>
      <c r="BI20" s="2"/>
      <c r="BJ20" s="2"/>
      <c r="BK20" s="2"/>
      <c r="BL20" s="2"/>
      <c r="BM20" s="2"/>
      <c r="BN20" s="2"/>
    </row>
    <row r="21" spans="1:66" s="21" customFormat="1" x14ac:dyDescent="0.15">
      <c r="A21" s="30" t="s">
        <v>120</v>
      </c>
      <c r="B21" s="76">
        <v>3433</v>
      </c>
      <c r="C21" s="154">
        <v>-2890</v>
      </c>
      <c r="D21" s="154">
        <v>-1529</v>
      </c>
      <c r="E21" s="154">
        <f t="shared" si="0"/>
        <v>361</v>
      </c>
      <c r="F21" s="158">
        <v>-625</v>
      </c>
      <c r="G21" s="158">
        <v>1049</v>
      </c>
      <c r="H21" s="178">
        <v>-3680</v>
      </c>
      <c r="I21" s="158">
        <v>-4228</v>
      </c>
      <c r="J21" s="158">
        <f t="shared" si="1"/>
        <v>-5486</v>
      </c>
      <c r="K21" s="158">
        <f>'[1]Statements of Cash Flow'!$C$14</f>
        <v>-12345</v>
      </c>
      <c r="L21" s="179">
        <f t="shared" si="2"/>
        <v>0</v>
      </c>
      <c r="M21" s="178">
        <v>3539</v>
      </c>
      <c r="N21" s="178">
        <v>-4202</v>
      </c>
      <c r="O21" s="178">
        <v>-909</v>
      </c>
      <c r="P21" s="178">
        <f t="shared" si="3"/>
        <v>4269</v>
      </c>
      <c r="Q21" s="178">
        <f>'[2]Statements of Cash Flow'!$C$14</f>
        <v>2697</v>
      </c>
      <c r="R21" s="178">
        <v>-2695</v>
      </c>
      <c r="S21" s="178">
        <v>-12042</v>
      </c>
      <c r="T21" s="178">
        <v>-2637</v>
      </c>
      <c r="U21" s="178">
        <f t="shared" si="8"/>
        <v>-2953</v>
      </c>
      <c r="V21" s="178">
        <f>'[3]Statements of Cash Flow'!$C$14</f>
        <v>-20327</v>
      </c>
      <c r="W21" s="178">
        <v>-193</v>
      </c>
      <c r="X21" s="178">
        <v>-1269</v>
      </c>
      <c r="Y21" s="178">
        <v>-4159</v>
      </c>
      <c r="Z21" s="178">
        <f t="shared" si="9"/>
        <v>-13931</v>
      </c>
      <c r="AA21" s="178">
        <f>'[4]Statements of Cash Flow'!$C$14</f>
        <v>-19552</v>
      </c>
      <c r="AB21" s="178">
        <f>'[5]Statements of Cash Flow'!$C$14</f>
        <v>-9444</v>
      </c>
      <c r="AC21" s="178">
        <f>'[6]Statements of Cash Flow'!$C$14-AB21</f>
        <v>-8839</v>
      </c>
      <c r="AD21" s="178">
        <f>'[7]Statements of Cash Flow'!$C$14-SUM(AB21:AC21)</f>
        <v>-8272</v>
      </c>
      <c r="AE21" s="178">
        <f t="shared" si="10"/>
        <v>-5187</v>
      </c>
      <c r="AF21" s="178">
        <f>'[8]Statements of Cash Flow'!$C$14</f>
        <v>-31742</v>
      </c>
      <c r="AG21" s="178">
        <f>'[9]Statements of Cash Flow'!$C$14</f>
        <v>-8680</v>
      </c>
      <c r="AH21" s="178">
        <f>'[10]Statements of Cash Flow'!$C$14-AG21</f>
        <v>-8396</v>
      </c>
      <c r="AI21" s="179">
        <f>SUM([11]Cashflow!B21:AG21)-SUM(B21:AG21)</f>
        <v>0</v>
      </c>
      <c r="AJ21" s="2"/>
      <c r="AL21" s="73"/>
      <c r="AT21" s="2"/>
      <c r="AU21" s="2"/>
      <c r="AV21" s="2"/>
      <c r="AW21" s="2"/>
      <c r="AX21" s="2"/>
      <c r="AY21" s="2"/>
      <c r="AZ21" s="2"/>
      <c r="BA21" s="2"/>
      <c r="BB21" s="2"/>
      <c r="BC21" s="2"/>
      <c r="BD21" s="2"/>
      <c r="BE21" s="2"/>
      <c r="BF21" s="2"/>
      <c r="BG21" s="2"/>
      <c r="BH21" s="2"/>
      <c r="BI21" s="2"/>
      <c r="BJ21" s="2"/>
      <c r="BK21" s="2"/>
      <c r="BL21" s="2"/>
      <c r="BM21" s="2"/>
      <c r="BN21" s="2"/>
    </row>
    <row r="22" spans="1:66" s="21" customFormat="1" hidden="1" x14ac:dyDescent="0.15">
      <c r="A22" s="30" t="s">
        <v>121</v>
      </c>
      <c r="B22" s="140">
        <v>0</v>
      </c>
      <c r="C22" s="140">
        <v>0</v>
      </c>
      <c r="D22" s="140">
        <v>0</v>
      </c>
      <c r="E22" s="154">
        <f t="shared" si="0"/>
        <v>0</v>
      </c>
      <c r="F22" s="158">
        <v>0</v>
      </c>
      <c r="G22" s="158">
        <v>0</v>
      </c>
      <c r="H22" s="178">
        <v>0</v>
      </c>
      <c r="I22" s="158">
        <v>0</v>
      </c>
      <c r="J22" s="158">
        <v>0</v>
      </c>
      <c r="K22" s="158">
        <v>0</v>
      </c>
      <c r="L22" s="179">
        <f t="shared" si="2"/>
        <v>0</v>
      </c>
      <c r="M22" s="178">
        <v>0</v>
      </c>
      <c r="N22" s="178">
        <v>0</v>
      </c>
      <c r="O22" s="178">
        <v>0</v>
      </c>
      <c r="P22" s="178">
        <v>0</v>
      </c>
      <c r="Q22" s="178">
        <v>0</v>
      </c>
      <c r="R22" s="178">
        <v>0</v>
      </c>
      <c r="S22" s="178">
        <v>0</v>
      </c>
      <c r="T22" s="178">
        <v>0</v>
      </c>
      <c r="U22" s="178"/>
      <c r="V22" s="178"/>
      <c r="W22" s="178"/>
      <c r="X22" s="178"/>
      <c r="Y22" s="178"/>
      <c r="Z22" s="178"/>
      <c r="AA22" s="178"/>
      <c r="AB22" s="178"/>
      <c r="AC22" s="178"/>
      <c r="AD22" s="178"/>
      <c r="AE22" s="178"/>
      <c r="AF22" s="178"/>
      <c r="AG22" s="178"/>
      <c r="AH22" s="178"/>
      <c r="AI22" s="179">
        <f>SUM([11]Cashflow!B22:AG22)-SUM(B22:AG22)</f>
        <v>0</v>
      </c>
      <c r="AJ22" s="2"/>
      <c r="AL22" s="73"/>
      <c r="AT22" s="2"/>
      <c r="AU22" s="2"/>
      <c r="AV22" s="2"/>
      <c r="AW22" s="2"/>
      <c r="AX22" s="2"/>
      <c r="AY22" s="2"/>
      <c r="AZ22" s="2"/>
      <c r="BA22" s="2"/>
      <c r="BB22" s="2"/>
      <c r="BC22" s="2"/>
      <c r="BD22" s="2"/>
      <c r="BE22" s="2"/>
      <c r="BF22" s="2"/>
      <c r="BG22" s="2"/>
      <c r="BH22" s="2"/>
      <c r="BI22" s="2"/>
      <c r="BJ22" s="2"/>
      <c r="BK22" s="2"/>
      <c r="BL22" s="2"/>
      <c r="BM22" s="2"/>
      <c r="BN22" s="2"/>
    </row>
    <row r="23" spans="1:66" s="21" customFormat="1" x14ac:dyDescent="0.15">
      <c r="A23" s="30" t="s">
        <v>131</v>
      </c>
      <c r="B23" s="140">
        <v>0</v>
      </c>
      <c r="C23" s="140">
        <v>0</v>
      </c>
      <c r="D23" s="140">
        <v>0</v>
      </c>
      <c r="E23" s="154">
        <f t="shared" si="0"/>
        <v>20056</v>
      </c>
      <c r="F23" s="158">
        <v>20056</v>
      </c>
      <c r="G23" s="158">
        <v>1227</v>
      </c>
      <c r="H23" s="178">
        <v>1940</v>
      </c>
      <c r="I23" s="158">
        <v>0</v>
      </c>
      <c r="J23" s="158">
        <f>+K23-SUM(G23:I23)</f>
        <v>460</v>
      </c>
      <c r="K23" s="158">
        <f>'[1]Statements of Cash Flow'!$C$18</f>
        <v>3627</v>
      </c>
      <c r="L23" s="179">
        <f t="shared" si="2"/>
        <v>0</v>
      </c>
      <c r="M23" s="178">
        <v>0</v>
      </c>
      <c r="N23" s="178">
        <v>0</v>
      </c>
      <c r="O23" s="178">
        <v>0</v>
      </c>
      <c r="P23" s="178">
        <f t="shared" si="3"/>
        <v>0</v>
      </c>
      <c r="Q23" s="178">
        <f>'[2]Statements of Cash Flow'!$C$18</f>
        <v>0</v>
      </c>
      <c r="R23" s="178">
        <v>0</v>
      </c>
      <c r="S23" s="178">
        <v>0</v>
      </c>
      <c r="T23" s="178">
        <v>0</v>
      </c>
      <c r="U23" s="178">
        <f t="shared" ref="U23" si="11">+V23-SUM(R23:T23)</f>
        <v>0</v>
      </c>
      <c r="V23" s="178">
        <f>'[3]Statements of Cash Flow'!$C$19</f>
        <v>0</v>
      </c>
      <c r="W23" s="178">
        <v>0</v>
      </c>
      <c r="X23" s="178">
        <v>0</v>
      </c>
      <c r="Y23" s="178">
        <v>0</v>
      </c>
      <c r="Z23" s="178">
        <f t="shared" ref="Z23" si="12">+AA23-SUM(W23:Y23)</f>
        <v>0</v>
      </c>
      <c r="AA23" s="178">
        <f>'[4]Statements of Cash Flow'!$C$20</f>
        <v>0</v>
      </c>
      <c r="AB23" s="178">
        <f>'[5]Statements of Cash Flow'!$C$20</f>
        <v>0</v>
      </c>
      <c r="AC23" s="178">
        <f>'[6]Statements of Cash Flow'!$C$20-AB23</f>
        <v>0</v>
      </c>
      <c r="AD23" s="178">
        <f>'[7]Statements of Cash Flow'!$C$20-SUM(AB23:AC23)</f>
        <v>0</v>
      </c>
      <c r="AE23" s="178">
        <f t="shared" ref="AE23" si="13">+AF23-SUM(AB23:AD23)</f>
        <v>0</v>
      </c>
      <c r="AF23" s="178">
        <f>'[8]Statements of Cash Flow'!$C$20</f>
        <v>0</v>
      </c>
      <c r="AG23" s="178"/>
      <c r="AH23" s="178"/>
      <c r="AI23" s="179">
        <f>SUM([11]Cashflow!B23:AG23)-SUM(B23:AG23)</f>
        <v>0</v>
      </c>
      <c r="AJ23" s="2"/>
      <c r="AL23" s="73"/>
      <c r="AT23" s="2"/>
      <c r="AU23" s="2"/>
      <c r="AV23" s="2"/>
      <c r="AW23" s="2"/>
      <c r="AX23" s="2"/>
      <c r="AY23" s="2"/>
      <c r="AZ23" s="2"/>
      <c r="BA23" s="2"/>
      <c r="BB23" s="2"/>
      <c r="BC23" s="2"/>
      <c r="BD23" s="2"/>
      <c r="BE23" s="2"/>
      <c r="BF23" s="2"/>
      <c r="BG23" s="2"/>
      <c r="BH23" s="2"/>
      <c r="BI23" s="2"/>
      <c r="BJ23" s="2"/>
      <c r="BK23" s="2"/>
      <c r="BL23" s="2"/>
      <c r="BM23" s="2"/>
      <c r="BN23" s="2"/>
    </row>
    <row r="24" spans="1:66" s="21" customFormat="1" hidden="1" x14ac:dyDescent="0.15">
      <c r="A24" s="30" t="s">
        <v>101</v>
      </c>
      <c r="B24" s="140">
        <v>0</v>
      </c>
      <c r="C24" s="140">
        <v>0</v>
      </c>
      <c r="D24" s="140">
        <v>0</v>
      </c>
      <c r="E24" s="140">
        <f t="shared" si="0"/>
        <v>0</v>
      </c>
      <c r="F24" s="140">
        <v>0</v>
      </c>
      <c r="G24" s="140">
        <v>0</v>
      </c>
      <c r="H24" s="140">
        <v>0</v>
      </c>
      <c r="I24" s="140">
        <v>0</v>
      </c>
      <c r="J24" s="140">
        <v>0</v>
      </c>
      <c r="K24" s="140">
        <v>0</v>
      </c>
      <c r="L24" s="179">
        <f t="shared" si="2"/>
        <v>0</v>
      </c>
      <c r="M24" s="140">
        <v>0</v>
      </c>
      <c r="N24" s="140">
        <v>0</v>
      </c>
      <c r="O24" s="140">
        <v>0</v>
      </c>
      <c r="P24" s="140">
        <v>0</v>
      </c>
      <c r="Q24" s="140">
        <v>0</v>
      </c>
      <c r="R24" s="140">
        <v>0</v>
      </c>
      <c r="S24" s="140">
        <v>0</v>
      </c>
      <c r="T24" s="140">
        <v>0</v>
      </c>
      <c r="U24" s="140"/>
      <c r="V24" s="140"/>
      <c r="W24" s="140"/>
      <c r="X24" s="140"/>
      <c r="Y24" s="140"/>
      <c r="Z24" s="140"/>
      <c r="AA24" s="140"/>
      <c r="AB24" s="140"/>
      <c r="AC24" s="140"/>
      <c r="AD24" s="140"/>
      <c r="AE24" s="140"/>
      <c r="AF24" s="140"/>
      <c r="AG24" s="140"/>
      <c r="AH24" s="140"/>
      <c r="AI24" s="179">
        <f>SUM([11]Cashflow!B24:AG24)-SUM(B24:AG24)</f>
        <v>0</v>
      </c>
      <c r="AJ24" s="2"/>
      <c r="AL24" s="73"/>
      <c r="AT24" s="2"/>
      <c r="AU24" s="2"/>
      <c r="AV24" s="2"/>
      <c r="AW24" s="2"/>
      <c r="AX24" s="2"/>
      <c r="AY24" s="2"/>
      <c r="AZ24" s="2"/>
      <c r="BA24" s="2"/>
      <c r="BB24" s="2"/>
      <c r="BC24" s="2"/>
      <c r="BD24" s="2"/>
      <c r="BE24" s="2"/>
      <c r="BF24" s="2"/>
      <c r="BG24" s="2"/>
      <c r="BH24" s="2"/>
      <c r="BI24" s="2"/>
      <c r="BJ24" s="2"/>
      <c r="BK24" s="2"/>
      <c r="BL24" s="2"/>
      <c r="BM24" s="2"/>
      <c r="BN24" s="2"/>
    </row>
    <row r="25" spans="1:66" s="21" customFormat="1" x14ac:dyDescent="0.15">
      <c r="A25" s="30" t="s">
        <v>183</v>
      </c>
      <c r="B25" s="140">
        <v>-612</v>
      </c>
      <c r="C25" s="140">
        <v>22</v>
      </c>
      <c r="D25" s="140">
        <v>-30</v>
      </c>
      <c r="E25" s="140">
        <f t="shared" si="0"/>
        <v>47</v>
      </c>
      <c r="F25" s="158">
        <v>-573</v>
      </c>
      <c r="G25" s="158">
        <v>298</v>
      </c>
      <c r="H25" s="178">
        <v>-17</v>
      </c>
      <c r="I25" s="158">
        <v>152</v>
      </c>
      <c r="J25" s="158">
        <f t="shared" si="1"/>
        <v>181</v>
      </c>
      <c r="K25" s="158">
        <f>'[1]Statements of Cash Flow'!$C$15</f>
        <v>614</v>
      </c>
      <c r="L25" s="179">
        <f t="shared" si="2"/>
        <v>0</v>
      </c>
      <c r="M25" s="178">
        <v>195</v>
      </c>
      <c r="N25" s="178">
        <v>194</v>
      </c>
      <c r="O25" s="178">
        <v>-36</v>
      </c>
      <c r="P25" s="178">
        <f t="shared" si="3"/>
        <v>-56</v>
      </c>
      <c r="Q25" s="178">
        <f>'[2]Statements of Cash Flow'!$C$15</f>
        <v>297</v>
      </c>
      <c r="R25" s="178">
        <v>48</v>
      </c>
      <c r="S25" s="178">
        <v>-438</v>
      </c>
      <c r="T25" s="178">
        <v>-15</v>
      </c>
      <c r="U25" s="178">
        <f t="shared" ref="U25:U26" si="14">+V25-SUM(R25:T25)</f>
        <v>-59</v>
      </c>
      <c r="V25" s="178">
        <f>'[3]Statements of Cash Flow'!$C$15</f>
        <v>-464</v>
      </c>
      <c r="W25" s="178">
        <v>34</v>
      </c>
      <c r="X25" s="178">
        <v>136</v>
      </c>
      <c r="Y25" s="178">
        <v>7</v>
      </c>
      <c r="Z25" s="178">
        <f t="shared" ref="Z25:Z38" si="15">+AA25-SUM(W25:Y25)</f>
        <v>506</v>
      </c>
      <c r="AA25" s="178">
        <f>'[4]Statements of Cash Flow'!$C$15</f>
        <v>683</v>
      </c>
      <c r="AB25" s="178">
        <f>'[5]Statements of Cash Flow'!$C$15</f>
        <v>342</v>
      </c>
      <c r="AC25" s="178">
        <f>'[6]Statements of Cash Flow'!$C$15-AB25</f>
        <v>137</v>
      </c>
      <c r="AD25" s="178">
        <f>'[7]Statements of Cash Flow'!$C$15-SUM(AB25:AC25)</f>
        <v>1965</v>
      </c>
      <c r="AE25" s="178">
        <f t="shared" ref="AE25:AE38" si="16">+AF25-SUM(AB25:AD25)</f>
        <v>9</v>
      </c>
      <c r="AF25" s="178">
        <f>'[8]Statements of Cash Flow'!$C$15</f>
        <v>2453</v>
      </c>
      <c r="AG25" s="178">
        <f>'[9]Statements of Cash Flow'!$C$15</f>
        <v>-240</v>
      </c>
      <c r="AH25" s="178">
        <f>ROUND('[51]Cash Flow_SEC Format'!$I$11/1000,0)-AG25</f>
        <v>202</v>
      </c>
      <c r="AI25" s="179">
        <f>SUM([11]Cashflow!B25:AG25)-SUM(B25:AG25)</f>
        <v>0</v>
      </c>
      <c r="AJ25" s="2"/>
      <c r="AL25" s="73"/>
      <c r="AT25" s="2"/>
      <c r="AU25" s="2"/>
      <c r="AV25" s="2"/>
      <c r="AW25" s="2"/>
      <c r="AX25" s="2"/>
      <c r="AY25" s="2"/>
      <c r="AZ25" s="2"/>
      <c r="BA25" s="2"/>
      <c r="BB25" s="2"/>
      <c r="BC25" s="2"/>
      <c r="BD25" s="2"/>
      <c r="BE25" s="2"/>
      <c r="BF25" s="2"/>
      <c r="BG25" s="2"/>
      <c r="BH25" s="2"/>
      <c r="BI25" s="2"/>
      <c r="BJ25" s="2"/>
      <c r="BK25" s="2"/>
      <c r="BL25" s="2"/>
      <c r="BM25" s="2"/>
      <c r="BN25" s="2"/>
    </row>
    <row r="26" spans="1:66" ht="12.75" customHeight="1" x14ac:dyDescent="0.15">
      <c r="A26" s="30" t="s">
        <v>187</v>
      </c>
      <c r="B26" s="140">
        <v>0</v>
      </c>
      <c r="C26" s="140">
        <v>0</v>
      </c>
      <c r="D26" s="140">
        <v>0</v>
      </c>
      <c r="E26" s="140">
        <f t="shared" si="0"/>
        <v>0</v>
      </c>
      <c r="F26" s="140">
        <v>0</v>
      </c>
      <c r="G26" s="140">
        <v>0</v>
      </c>
      <c r="H26" s="140">
        <v>0</v>
      </c>
      <c r="I26" s="140">
        <v>0</v>
      </c>
      <c r="J26" s="140">
        <v>0</v>
      </c>
      <c r="K26" s="140">
        <v>0</v>
      </c>
      <c r="L26" s="179">
        <f t="shared" si="2"/>
        <v>0</v>
      </c>
      <c r="M26" s="140">
        <v>0</v>
      </c>
      <c r="N26" s="140">
        <v>0</v>
      </c>
      <c r="O26" s="140">
        <v>0</v>
      </c>
      <c r="P26" s="140">
        <v>0</v>
      </c>
      <c r="Q26" s="140">
        <v>0</v>
      </c>
      <c r="R26" s="140">
        <v>0</v>
      </c>
      <c r="S26" s="140">
        <v>0</v>
      </c>
      <c r="T26" s="140">
        <v>0</v>
      </c>
      <c r="U26" s="178">
        <f t="shared" si="14"/>
        <v>0</v>
      </c>
      <c r="V26" s="140">
        <v>0</v>
      </c>
      <c r="W26" s="140">
        <v>0</v>
      </c>
      <c r="X26" s="178">
        <v>1000</v>
      </c>
      <c r="Y26" s="178">
        <v>0</v>
      </c>
      <c r="Z26" s="178">
        <f t="shared" si="15"/>
        <v>7250</v>
      </c>
      <c r="AA26" s="178">
        <f>'[4]Statements of Cash Flow'!$C$17</f>
        <v>8250</v>
      </c>
      <c r="AB26" s="178">
        <f>'[5]Statements of Cash Flow'!$C$17</f>
        <v>0</v>
      </c>
      <c r="AC26" s="178">
        <f>'[6]Statements of Cash Flow'!$C$17-AB26</f>
        <v>0</v>
      </c>
      <c r="AD26" s="178">
        <f>'[7]Statements of Cash Flow'!$C$17-SUM(AB26:AC26)</f>
        <v>2500</v>
      </c>
      <c r="AE26" s="178">
        <f t="shared" si="16"/>
        <v>-600</v>
      </c>
      <c r="AF26" s="178">
        <f>'[8]Statements of Cash Flow'!$C$17</f>
        <v>1900</v>
      </c>
      <c r="AG26" s="178">
        <f>'[9]Statements of Cash Flow'!$C$17</f>
        <v>-589</v>
      </c>
      <c r="AH26" s="178">
        <f>'[10]Statements of Cash Flow'!$C$17</f>
        <v>0</v>
      </c>
      <c r="AI26" s="179">
        <f>SUM([11]Cashflow!B26:AG26)-SUM(B26:AG26)</f>
        <v>0</v>
      </c>
      <c r="AL26" s="73"/>
    </row>
    <row r="27" spans="1:66" x14ac:dyDescent="0.15">
      <c r="A27" s="30" t="s">
        <v>219</v>
      </c>
      <c r="B27" s="140">
        <v>0</v>
      </c>
      <c r="C27" s="140">
        <v>0</v>
      </c>
      <c r="D27" s="140">
        <v>0</v>
      </c>
      <c r="E27" s="140">
        <v>0</v>
      </c>
      <c r="F27" s="140">
        <v>0</v>
      </c>
      <c r="G27" s="140">
        <v>0</v>
      </c>
      <c r="H27" s="140">
        <v>13701</v>
      </c>
      <c r="I27" s="140">
        <v>6843</v>
      </c>
      <c r="J27" s="158">
        <f>+K27-SUM(G27:I27)</f>
        <v>6791</v>
      </c>
      <c r="K27" s="140">
        <f>'[1]Statements of Cash Flow'!$C$11</f>
        <v>27335</v>
      </c>
      <c r="L27" s="179">
        <f t="shared" si="2"/>
        <v>0</v>
      </c>
      <c r="M27" s="140">
        <v>6853</v>
      </c>
      <c r="N27" s="140">
        <v>6850</v>
      </c>
      <c r="O27" s="140">
        <v>6781</v>
      </c>
      <c r="P27" s="140">
        <f t="shared" si="3"/>
        <v>6662</v>
      </c>
      <c r="Q27" s="140">
        <f>'[2]Statements of Cash Flow'!$C$11</f>
        <v>27146</v>
      </c>
      <c r="R27" s="140">
        <v>6761</v>
      </c>
      <c r="S27" s="140">
        <v>6871</v>
      </c>
      <c r="T27" s="140">
        <v>6380</v>
      </c>
      <c r="U27" s="140">
        <f t="shared" ref="U27:U38" si="17">+V27-SUM(R27:T27)</f>
        <v>6314</v>
      </c>
      <c r="V27" s="140">
        <f>'[3]Statements of Cash Flow'!$C$11</f>
        <v>26326</v>
      </c>
      <c r="W27" s="140">
        <v>6043</v>
      </c>
      <c r="X27" s="140">
        <v>5962</v>
      </c>
      <c r="Y27" s="140">
        <v>5360</v>
      </c>
      <c r="Z27" s="140">
        <f t="shared" si="15"/>
        <v>4418</v>
      </c>
      <c r="AA27" s="178">
        <f>'[4]Statements of Cash Flow'!$C$11</f>
        <v>21783</v>
      </c>
      <c r="AB27" s="178">
        <f>'[5]Statements of Cash Flow'!$C$11</f>
        <v>4883</v>
      </c>
      <c r="AC27" s="178">
        <f>'[6]Statements of Cash Flow'!$C$11-AB27</f>
        <v>5449</v>
      </c>
      <c r="AD27" s="178">
        <f>'[7]Statements of Cash Flow'!$C$11-SUM(AB27:AC27)</f>
        <v>4839</v>
      </c>
      <c r="AE27" s="140">
        <f t="shared" si="16"/>
        <v>5017</v>
      </c>
      <c r="AF27" s="178">
        <f>'[8]Statements of Cash Flow'!$C$11</f>
        <v>20188</v>
      </c>
      <c r="AG27" s="178">
        <f>'[9]Statements of Cash Flow'!$C$11</f>
        <v>4995</v>
      </c>
      <c r="AH27" s="178">
        <f>'[10]Statements of Cash Flow'!$C$11-AG27</f>
        <v>5354</v>
      </c>
      <c r="AI27" s="179">
        <f>SUM([11]Cashflow!B27:AG27)-SUM(B27:AG27)</f>
        <v>0</v>
      </c>
      <c r="AL27" s="73"/>
    </row>
    <row r="28" spans="1:66" s="21" customFormat="1" x14ac:dyDescent="0.15">
      <c r="A28" s="30" t="s">
        <v>156</v>
      </c>
      <c r="B28" s="140">
        <v>28</v>
      </c>
      <c r="C28" s="140">
        <v>95</v>
      </c>
      <c r="D28" s="140">
        <v>70</v>
      </c>
      <c r="E28" s="140">
        <v>110</v>
      </c>
      <c r="F28" s="158">
        <v>303</v>
      </c>
      <c r="G28" s="158">
        <v>416</v>
      </c>
      <c r="H28" s="178">
        <v>544.57432654008653</v>
      </c>
      <c r="I28" s="158">
        <v>-1109.1716799999977</v>
      </c>
      <c r="J28" s="158">
        <v>-1056.4026465400889</v>
      </c>
      <c r="K28" s="178">
        <v>-1205</v>
      </c>
      <c r="L28" s="179">
        <f>SUM(G28:J28)-K28</f>
        <v>0</v>
      </c>
      <c r="M28" s="26">
        <f>ROUND(SUM('[35]Cash Flow_SEC Format'!$H$18+'[35]Cash Flow_SEC Format'!$H$9+'[35]Cash Flow_SEC Format'!$H$8)/1000,0)</f>
        <v>-26</v>
      </c>
      <c r="N28" s="26">
        <f>ROUND(SUM('[36]Cash Flow_SEC Format'!$G$9+'[36]Cash Flow_SEC Format'!$G$18,'[36]Cash Flow_SEC Format'!$G$8)/1000,0)-M28</f>
        <v>-1178</v>
      </c>
      <c r="O28" s="26">
        <f>ROUND(SUM('[37]Cash Flow_SEC Format'!$G$9+'[37]Cash Flow_SEC Format'!$G$18+'[37]Cash Flow_SEC Format'!$G$8)/1000,0)-SUM(M28:N28)</f>
        <v>269</v>
      </c>
      <c r="P28" s="26">
        <f>+Q28-SUM(M28:O28)</f>
        <v>393</v>
      </c>
      <c r="Q28" s="26">
        <f>ROUND(SUM('[38]Cash Flow_SEC Format'!$G$9+'[38]Cash Flow_SEC Format'!$G$18+'[38]Cash Flow_SEC Format'!$G$8)/1000,0)</f>
        <v>-542</v>
      </c>
      <c r="R28" s="26">
        <f>ROUND(SUM('[39]Cash Flow_SEC Format'!$H$18+'[39]Cash Flow_SEC Format'!$H$9+'[39]Cash Flow_SEC Format'!$H$8)/1000,0)-2</f>
        <v>216</v>
      </c>
      <c r="S28" s="26">
        <f>ROUND(SUM('[40]Cash Flow_SEC Format'!$G$18+'[40]Cash Flow_SEC Format'!$G$9+'[40]Cash Flow_SEC Format'!$G$8)/1000,0)-R28-3</f>
        <v>-72</v>
      </c>
      <c r="T28" s="178">
        <v>446</v>
      </c>
      <c r="U28" s="178">
        <f>+V28-SUM(R28:T28)</f>
        <v>-374</v>
      </c>
      <c r="V28" s="178">
        <f>ROUND('[3]Statements of Cash Flow'!$C$20,0)</f>
        <v>216</v>
      </c>
      <c r="W28" s="178">
        <v>819</v>
      </c>
      <c r="X28" s="178">
        <v>-36</v>
      </c>
      <c r="Y28" s="178">
        <f>ROUND(SUM('[44]Cash Flow_SEC Format'!$I$8,'[44]Cash Flow_SEC Format'!$I$9,'[44]Cash Flow_SEC Format'!$I$20)/1000,0)-SUM(W28:X28)+2</f>
        <v>823</v>
      </c>
      <c r="Z28" s="178">
        <f>+AA28-SUM(W28:Y28)</f>
        <v>-662</v>
      </c>
      <c r="AA28" s="178">
        <f>ROUND(SUM('[45]Cash Flow_SEC Format'!$I$8,'[45]Cash Flow_SEC Format'!$I$9,'[45]Cash Flow_SEC Format'!$I$20)/1000,0)+2</f>
        <v>944</v>
      </c>
      <c r="AB28" s="178">
        <f>ROUND(SUM('[46]Cash Flow_SEC Format'!$I$8,'[46]Cash Flow_SEC Format'!$I$9,'[46]Cash Flow_SEC Format'!$I$20)/1000,0)-2</f>
        <v>1226</v>
      </c>
      <c r="AC28" s="178">
        <f>ROUND(SUM('[47]Cash Flow_SEC Format'!$I$8,'[47]Cash Flow_SEC Format'!$I$9,'[47]Cash Flow_SEC Format'!$I$20)/1000,0)-AB28</f>
        <v>108</v>
      </c>
      <c r="AD28" s="178">
        <f>ROUND(SUM('[48]Cash Flow_SEC Format'!$I$8,'[48]Cash Flow_SEC Format'!$I$9,'[48]Cash Flow_SEC Format'!$I$20)/1000,0)-SUM(AB28:AC28)-3</f>
        <v>207</v>
      </c>
      <c r="AE28" s="178">
        <f>+AF28-SUM(AB28:AD28)</f>
        <v>-440</v>
      </c>
      <c r="AF28" s="178">
        <f>ROUND(SUM('[49]Cash Flow_SEC Format'!$I$8,'[49]Cash Flow_SEC Format'!$I$9,'[49]Cash Flow_SEC Format'!$I$20)/1000,0)</f>
        <v>1101</v>
      </c>
      <c r="AG28" s="178">
        <f>ROUND(SUM('[50]Cash Flow_SEC Format'!$I$10,'[50]Cash Flow_SEC Format'!$I$8,'[50]Cash Flow_SEC Format'!$I$21)/1000,0)+2</f>
        <v>348</v>
      </c>
      <c r="AH28" s="283">
        <f>ROUND(SUM('[51]Cash Flow_SEC Format'!$I$8,'[51]Cash Flow_SEC Format'!$I$10,'[51]Cash Flow_SEC Format'!$I$21)/1000,0)-AG28-3</f>
        <v>170</v>
      </c>
      <c r="AI28" s="179">
        <f>SUM([11]Cashflow!B28:AG28)-SUM(B28:AG28)</f>
        <v>0</v>
      </c>
      <c r="AJ28" s="2"/>
      <c r="AL28" s="73"/>
      <c r="AT28" s="2"/>
      <c r="AU28" s="2"/>
      <c r="AV28" s="2"/>
      <c r="AW28" s="2"/>
      <c r="AX28" s="2"/>
      <c r="AY28" s="2"/>
      <c r="AZ28" s="2"/>
      <c r="BA28" s="2"/>
      <c r="BB28" s="2"/>
      <c r="BC28" s="2"/>
      <c r="BD28" s="2"/>
      <c r="BE28" s="2"/>
      <c r="BF28" s="2"/>
      <c r="BG28" s="2"/>
      <c r="BH28" s="2"/>
      <c r="BI28" s="2"/>
      <c r="BJ28" s="2"/>
      <c r="BK28" s="2"/>
      <c r="BL28" s="2"/>
      <c r="BM28" s="2"/>
      <c r="BN28" s="2"/>
    </row>
    <row r="29" spans="1:66" x14ac:dyDescent="0.15">
      <c r="A29" s="36" t="s">
        <v>50</v>
      </c>
      <c r="B29" s="140"/>
      <c r="C29" s="140"/>
      <c r="D29" s="140"/>
      <c r="E29" s="140"/>
      <c r="F29" s="158"/>
      <c r="G29" s="158"/>
      <c r="H29" s="158"/>
      <c r="I29" s="158"/>
      <c r="J29" s="158"/>
      <c r="K29" s="158"/>
      <c r="L29" s="179"/>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9">
        <f>SUM([11]Cashflow!B29:AG29)-SUM(B29:AG29)</f>
        <v>0</v>
      </c>
      <c r="AL29" s="73"/>
    </row>
    <row r="30" spans="1:66" hidden="1" x14ac:dyDescent="0.15">
      <c r="A30" s="30" t="s">
        <v>16</v>
      </c>
      <c r="B30" s="140">
        <v>0</v>
      </c>
      <c r="C30" s="140">
        <v>0</v>
      </c>
      <c r="D30" s="140">
        <v>0</v>
      </c>
      <c r="E30" s="140">
        <f t="shared" ref="E30:E36" si="18">+F30-SUM(B30:D30)</f>
        <v>0</v>
      </c>
      <c r="F30" s="140">
        <v>0</v>
      </c>
      <c r="G30" s="140">
        <v>0</v>
      </c>
      <c r="H30" s="140">
        <v>0</v>
      </c>
      <c r="I30" s="140">
        <v>0</v>
      </c>
      <c r="J30" s="140">
        <f t="shared" ref="J30:J38" si="19">+K30-SUM(G30:I30)</f>
        <v>0</v>
      </c>
      <c r="K30" s="140">
        <v>0</v>
      </c>
      <c r="L30" s="179"/>
      <c r="M30" s="140">
        <v>0</v>
      </c>
      <c r="N30" s="140">
        <v>0</v>
      </c>
      <c r="O30" s="140">
        <v>0</v>
      </c>
      <c r="P30" s="140">
        <v>0</v>
      </c>
      <c r="Q30" s="140">
        <v>0</v>
      </c>
      <c r="R30" s="140">
        <v>0</v>
      </c>
      <c r="S30" s="140">
        <v>0</v>
      </c>
      <c r="T30" s="140">
        <v>0</v>
      </c>
      <c r="U30" s="140">
        <f t="shared" si="17"/>
        <v>0</v>
      </c>
      <c r="V30" s="140">
        <v>0</v>
      </c>
      <c r="W30" s="140">
        <v>0</v>
      </c>
      <c r="X30" s="140">
        <v>0</v>
      </c>
      <c r="Y30" s="140">
        <v>0</v>
      </c>
      <c r="Z30" s="140">
        <f t="shared" si="15"/>
        <v>0</v>
      </c>
      <c r="AA30" s="140"/>
      <c r="AB30" s="140">
        <v>0</v>
      </c>
      <c r="AC30" s="140">
        <v>0</v>
      </c>
      <c r="AD30" s="140">
        <v>0</v>
      </c>
      <c r="AE30" s="140">
        <f t="shared" si="16"/>
        <v>0</v>
      </c>
      <c r="AF30" s="140"/>
      <c r="AG30" s="140"/>
      <c r="AH30" s="140"/>
      <c r="AI30" s="179">
        <f>SUM([11]Cashflow!B30:AG30)-SUM(B30:AG30)</f>
        <v>0</v>
      </c>
      <c r="AL30" s="73"/>
    </row>
    <row r="31" spans="1:66" x14ac:dyDescent="0.15">
      <c r="A31" s="30" t="s">
        <v>17</v>
      </c>
      <c r="B31" s="141">
        <v>-590</v>
      </c>
      <c r="C31" s="141">
        <v>-11129</v>
      </c>
      <c r="D31" s="141">
        <v>2365</v>
      </c>
      <c r="E31" s="141">
        <f t="shared" si="18"/>
        <v>-692</v>
      </c>
      <c r="F31" s="158">
        <v>-10046</v>
      </c>
      <c r="G31" s="158">
        <v>-12016</v>
      </c>
      <c r="H31" s="158">
        <v>-4462</v>
      </c>
      <c r="I31" s="158">
        <v>3</v>
      </c>
      <c r="J31" s="158">
        <f t="shared" si="19"/>
        <v>9382</v>
      </c>
      <c r="K31" s="158">
        <f>'[1]Statements of Cash Flow'!C21</f>
        <v>-7093</v>
      </c>
      <c r="L31" s="179">
        <f t="shared" ref="L31:L38" si="20">SUM(G31:J31)-K31</f>
        <v>0</v>
      </c>
      <c r="M31" s="178">
        <v>-17518</v>
      </c>
      <c r="N31" s="178">
        <v>29898</v>
      </c>
      <c r="O31" s="178">
        <v>3698</v>
      </c>
      <c r="P31" s="178">
        <f t="shared" ref="P31:P38" si="21">+Q31-SUM(M31:O31)</f>
        <v>8618</v>
      </c>
      <c r="Q31" s="178">
        <f>'[2]Statements of Cash Flow'!$C$21</f>
        <v>24696</v>
      </c>
      <c r="R31" s="178">
        <v>-11818</v>
      </c>
      <c r="S31" s="178">
        <v>-22334</v>
      </c>
      <c r="T31" s="178">
        <v>-10719</v>
      </c>
      <c r="U31" s="178">
        <f t="shared" si="17"/>
        <v>7187</v>
      </c>
      <c r="V31" s="178">
        <f>'[3]Statements of Cash Flow'!$C$22</f>
        <v>-37684</v>
      </c>
      <c r="W31" s="178">
        <v>-45659</v>
      </c>
      <c r="X31" s="178">
        <v>-726</v>
      </c>
      <c r="Y31" s="178">
        <v>-21681</v>
      </c>
      <c r="Z31" s="178">
        <f t="shared" si="15"/>
        <v>-55</v>
      </c>
      <c r="AA31" s="178">
        <f>'[4]Statements of Cash Flow'!$C$23</f>
        <v>-68121</v>
      </c>
      <c r="AB31" s="178">
        <f>'[5]Statements of Cash Flow'!$C$23</f>
        <v>-30896</v>
      </c>
      <c r="AC31" s="178">
        <f>'[6]Statements of Cash Flow'!$C$23-AB31</f>
        <v>2521</v>
      </c>
      <c r="AD31" s="178">
        <f>'[7]Statements of Cash Flow'!$C$23-SUM(AB31:AC31)</f>
        <v>-18113</v>
      </c>
      <c r="AE31" s="178">
        <f t="shared" si="16"/>
        <v>-2754</v>
      </c>
      <c r="AF31" s="178">
        <f>'[8]Statements of Cash Flow'!$C$23</f>
        <v>-49242</v>
      </c>
      <c r="AG31" s="178">
        <f>'[9]Statements of Cash Flow'!$C$23</f>
        <v>-27578</v>
      </c>
      <c r="AH31" s="178">
        <f>'[10]Statements of Cash Flow'!$C$23-AG31</f>
        <v>7570</v>
      </c>
      <c r="AI31" s="179">
        <f>SUM([11]Cashflow!B31:AG31)-SUM(B31:AG31)</f>
        <v>0</v>
      </c>
      <c r="AL31" s="73"/>
    </row>
    <row r="32" spans="1:66" x14ac:dyDescent="0.15">
      <c r="A32" s="30" t="s">
        <v>230</v>
      </c>
      <c r="B32" s="141">
        <f>-2164+-1789</f>
        <v>-3953</v>
      </c>
      <c r="C32" s="141">
        <f>-266+-2498</f>
        <v>-2764</v>
      </c>
      <c r="D32" s="141">
        <f>-914+-1697</f>
        <v>-2611</v>
      </c>
      <c r="E32" s="141">
        <f t="shared" si="18"/>
        <v>-1981</v>
      </c>
      <c r="F32" s="158">
        <f>-4509+-6800</f>
        <v>-11309</v>
      </c>
      <c r="G32" s="158">
        <f>591+388</f>
        <v>979</v>
      </c>
      <c r="H32" s="158">
        <f>-2624+-262</f>
        <v>-2886</v>
      </c>
      <c r="I32" s="158">
        <f>2785+-1433</f>
        <v>1352</v>
      </c>
      <c r="J32" s="158">
        <f t="shared" si="19"/>
        <v>-434</v>
      </c>
      <c r="K32" s="158">
        <f>'[1]Statements of Cash Flow'!C22+'[1]Statements of Cash Flow'!$C$24</f>
        <v>-989</v>
      </c>
      <c r="L32" s="179">
        <f t="shared" si="20"/>
        <v>0</v>
      </c>
      <c r="M32" s="178">
        <f>-1871+925</f>
        <v>-946</v>
      </c>
      <c r="N32" s="178">
        <f>965+2121</f>
        <v>3086</v>
      </c>
      <c r="O32" s="178">
        <f>2703+50</f>
        <v>2753</v>
      </c>
      <c r="P32" s="178">
        <f t="shared" si="21"/>
        <v>-3521</v>
      </c>
      <c r="Q32" s="178">
        <f>'[2]Statements of Cash Flow'!$C$22+'[2]Statements of Cash Flow'!$C$24</f>
        <v>1372</v>
      </c>
      <c r="R32" s="178">
        <f>-21+1268</f>
        <v>1247</v>
      </c>
      <c r="S32" s="178">
        <f>210+321</f>
        <v>531</v>
      </c>
      <c r="T32" s="178">
        <f>2844+896</f>
        <v>3740</v>
      </c>
      <c r="U32" s="178">
        <f t="shared" si="17"/>
        <v>-6470</v>
      </c>
      <c r="V32" s="178">
        <f>'[3]Statements of Cash Flow'!$C$23+'[3]Statements of Cash Flow'!$C$25</f>
        <v>-952</v>
      </c>
      <c r="W32" s="178">
        <f>-1116+-2924</f>
        <v>-4040</v>
      </c>
      <c r="X32" s="178">
        <f>3977+-3660</f>
        <v>317</v>
      </c>
      <c r="Y32" s="178">
        <f>-308+-1844</f>
        <v>-2152</v>
      </c>
      <c r="Z32" s="178">
        <f t="shared" si="15"/>
        <v>-12557</v>
      </c>
      <c r="AA32" s="178">
        <f>'[4]Statements of Cash Flow'!$C$24+'[4]Statements of Cash Flow'!$C$26</f>
        <v>-18432</v>
      </c>
      <c r="AB32" s="178">
        <f>'[5]Statements of Cash Flow'!$C$24+'[5]Statements of Cash Flow'!$C$26</f>
        <v>-10218</v>
      </c>
      <c r="AC32" s="178">
        <f>'[6]Statements of Cash Flow'!$C$24+'[6]Statements of Cash Flow'!$C$26-AB32</f>
        <v>-6941</v>
      </c>
      <c r="AD32" s="178">
        <f>'[7]Statements of Cash Flow'!$C$24+'[7]Statements of Cash Flow'!$C$26-SUM(AB32:AC32)</f>
        <v>-2045</v>
      </c>
      <c r="AE32" s="178">
        <f t="shared" si="16"/>
        <v>-5135</v>
      </c>
      <c r="AF32" s="178">
        <f>'[8]Statements of Cash Flow'!$C$24+'[8]Statements of Cash Flow'!$C$26</f>
        <v>-24339</v>
      </c>
      <c r="AG32" s="178">
        <f>'[9]Statements of Cash Flow'!$C$24+'[9]Statements of Cash Flow'!$C$26</f>
        <v>-14969</v>
      </c>
      <c r="AH32" s="178">
        <f>'[10]Statements of Cash Flow'!$C$24-AG32</f>
        <v>462</v>
      </c>
      <c r="AI32" s="179">
        <f>SUM([11]Cashflow!B32:AG32)-SUM(B32:AG32)</f>
        <v>59231</v>
      </c>
      <c r="AL32" s="73"/>
    </row>
    <row r="33" spans="1:209" hidden="1" x14ac:dyDescent="0.15">
      <c r="A33" s="30" t="s">
        <v>21</v>
      </c>
      <c r="B33" s="141"/>
      <c r="C33" s="141"/>
      <c r="D33" s="141"/>
      <c r="E33" s="141"/>
      <c r="F33" s="158"/>
      <c r="G33" s="158"/>
      <c r="H33" s="158"/>
      <c r="I33" s="158"/>
      <c r="J33" s="158"/>
      <c r="K33" s="158"/>
      <c r="L33" s="179">
        <f t="shared" si="20"/>
        <v>0</v>
      </c>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9">
        <f>SUM([11]Cashflow!B33:AG33)-SUM(B33:AG33)</f>
        <v>-3874</v>
      </c>
      <c r="AL33" s="73"/>
    </row>
    <row r="34" spans="1:209" x14ac:dyDescent="0.15">
      <c r="A34" s="30" t="s">
        <v>22</v>
      </c>
      <c r="B34" s="141">
        <v>877</v>
      </c>
      <c r="C34" s="141">
        <v>-1076</v>
      </c>
      <c r="D34" s="141">
        <v>-5000</v>
      </c>
      <c r="E34" s="141">
        <f t="shared" si="18"/>
        <v>270</v>
      </c>
      <c r="F34" s="158">
        <v>-4929</v>
      </c>
      <c r="G34" s="158">
        <v>3262</v>
      </c>
      <c r="H34" s="158">
        <v>2392</v>
      </c>
      <c r="I34" s="158">
        <v>-2407</v>
      </c>
      <c r="J34" s="158">
        <f t="shared" si="19"/>
        <v>3432</v>
      </c>
      <c r="K34" s="158">
        <f>'[1]Statements of Cash Flow'!C26</f>
        <v>6679</v>
      </c>
      <c r="L34" s="179">
        <f t="shared" si="20"/>
        <v>0</v>
      </c>
      <c r="M34" s="178">
        <v>2579</v>
      </c>
      <c r="N34" s="178">
        <v>487</v>
      </c>
      <c r="O34" s="178">
        <v>-2771</v>
      </c>
      <c r="P34" s="178">
        <f t="shared" si="21"/>
        <v>17927</v>
      </c>
      <c r="Q34" s="178">
        <f>'[2]Statements of Cash Flow'!$C$26</f>
        <v>18222</v>
      </c>
      <c r="R34" s="178">
        <v>-17986</v>
      </c>
      <c r="S34" s="178">
        <v>-2846</v>
      </c>
      <c r="T34" s="178">
        <v>-364</v>
      </c>
      <c r="U34" s="178">
        <f t="shared" si="17"/>
        <v>8463</v>
      </c>
      <c r="V34" s="178">
        <f>'[3]Statements of Cash Flow'!$C$27</f>
        <v>-12733</v>
      </c>
      <c r="W34" s="178">
        <v>3707</v>
      </c>
      <c r="X34" s="178">
        <v>569</v>
      </c>
      <c r="Y34" s="178">
        <v>-2173</v>
      </c>
      <c r="Z34" s="178">
        <f t="shared" si="15"/>
        <v>370</v>
      </c>
      <c r="AA34" s="178">
        <f>'[4]Statements of Cash Flow'!$C$28</f>
        <v>2473</v>
      </c>
      <c r="AB34" s="178">
        <f>'[5]Statements of Cash Flow'!$C$28</f>
        <v>2451</v>
      </c>
      <c r="AC34" s="178">
        <f>'[6]Statements of Cash Flow'!$C$28-AB34</f>
        <v>2929</v>
      </c>
      <c r="AD34" s="178">
        <f>'[7]Statements of Cash Flow'!$C$28-SUM(AB34:AC34)</f>
        <v>-3061</v>
      </c>
      <c r="AE34" s="178">
        <f t="shared" si="16"/>
        <v>-3196</v>
      </c>
      <c r="AF34" s="178">
        <f>'[8]Statements of Cash Flow'!$C$28</f>
        <v>-877</v>
      </c>
      <c r="AG34" s="178">
        <f>'[9]Statements of Cash Flow'!$C$29</f>
        <v>5829</v>
      </c>
      <c r="AH34" s="178">
        <f>'[10]Statements of Cash Flow'!$C$28-AG34</f>
        <v>-2691</v>
      </c>
      <c r="AI34" s="179">
        <f>SUM([11]Cashflow!B34:AG34)-SUM(B34:AG34)</f>
        <v>0</v>
      </c>
      <c r="AL34" s="73"/>
    </row>
    <row r="35" spans="1:209" x14ac:dyDescent="0.15">
      <c r="A35" s="30" t="s">
        <v>231</v>
      </c>
      <c r="B35" s="141">
        <f>-24338+-1726</f>
        <v>-26064</v>
      </c>
      <c r="C35" s="141">
        <f>6380+383</f>
        <v>6763</v>
      </c>
      <c r="D35" s="141">
        <f>9842+-71</f>
        <v>9771</v>
      </c>
      <c r="E35" s="141">
        <f t="shared" si="18"/>
        <v>9358</v>
      </c>
      <c r="F35" s="158">
        <f>188+-360</f>
        <v>-172</v>
      </c>
      <c r="G35" s="158">
        <f>-16599+-1159</f>
        <v>-17758</v>
      </c>
      <c r="H35" s="158">
        <f>9232+-955</f>
        <v>8277</v>
      </c>
      <c r="I35" s="158">
        <f>22947+267</f>
        <v>23214</v>
      </c>
      <c r="J35" s="158">
        <f t="shared" si="19"/>
        <v>17457</v>
      </c>
      <c r="K35" s="158">
        <f>'[1]Statements of Cash Flow'!C27+'[1]Statements of Cash Flow'!$C$28+'[1]Statements of Cash Flow'!C25</f>
        <v>31190</v>
      </c>
      <c r="L35" s="179">
        <f t="shared" si="20"/>
        <v>0</v>
      </c>
      <c r="M35" s="178">
        <f>-36074+1400</f>
        <v>-34674</v>
      </c>
      <c r="N35" s="178">
        <f>8272+543</f>
        <v>8815</v>
      </c>
      <c r="O35" s="178">
        <f>15587+-2433</f>
        <v>13154</v>
      </c>
      <c r="P35" s="178">
        <f t="shared" si="21"/>
        <v>3388</v>
      </c>
      <c r="Q35" s="178">
        <f>'[2]Statements of Cash Flow'!$C$27+'[2]Statements of Cash Flow'!$C$28+'[2]Statements of Cash Flow'!$C$25</f>
        <v>-9317</v>
      </c>
      <c r="R35" s="178">
        <f>-15155+1902</f>
        <v>-13253</v>
      </c>
      <c r="S35" s="178">
        <f>31278+-4360</f>
        <v>26918</v>
      </c>
      <c r="T35" s="178">
        <f>13795+125</f>
        <v>13920</v>
      </c>
      <c r="U35" s="178">
        <f t="shared" si="17"/>
        <v>21210</v>
      </c>
      <c r="V35" s="178">
        <f>'[3]Statements of Cash Flow'!$C$28+'[3]Statements of Cash Flow'!$C$29+'[3]Statements of Cash Flow'!$C$26</f>
        <v>48795</v>
      </c>
      <c r="W35" s="178">
        <f>-44361+-808</f>
        <v>-45169</v>
      </c>
      <c r="X35" s="178">
        <f>21535+-299</f>
        <v>21236</v>
      </c>
      <c r="Y35" s="178">
        <f>24733+-820</f>
        <v>23913</v>
      </c>
      <c r="Z35" s="178">
        <f t="shared" si="15"/>
        <v>22431</v>
      </c>
      <c r="AA35" s="178">
        <f>'[4]Statements of Cash Flow'!$C$29+'[4]Statements of Cash Flow'!$C$30+'[4]Statements of Cash Flow'!$C$27</f>
        <v>22411</v>
      </c>
      <c r="AB35" s="178">
        <f>'[5]Statements of Cash Flow'!$C$29+'[5]Statements of Cash Flow'!$C$30+'[5]Statements of Cash Flow'!$C$27</f>
        <v>-34829</v>
      </c>
      <c r="AC35" s="178">
        <f>'[6]Statements of Cash Flow'!$C$29+'[6]Statements of Cash Flow'!$C$30+'[6]Statements of Cash Flow'!$C$27-AB35</f>
        <v>4960</v>
      </c>
      <c r="AD35" s="178">
        <f>('[7]Statements of Cash Flow'!$C$29+'[7]Statements of Cash Flow'!$C$30)+'[7]Statements of Cash Flow'!$C$27-SUM(AB35:AC35)</f>
        <v>27691</v>
      </c>
      <c r="AE35" s="178">
        <f t="shared" si="16"/>
        <v>23594</v>
      </c>
      <c r="AF35" s="178">
        <f>'[8]Statements of Cash Flow'!$C$29+'[8]Statements of Cash Flow'!$C$30+'[8]Statements of Cash Flow'!$C$27</f>
        <v>21416</v>
      </c>
      <c r="AG35" s="178">
        <f>'[9]Statements of Cash Flow'!$C$31+'[9]Statements of Cash Flow'!$C$30+'[9]Statements of Cash Flow'!$C$27</f>
        <v>-55875</v>
      </c>
      <c r="AH35" s="178">
        <f>+'[10]Statements of Cash Flow'!$C$30+'[10]Statements of Cash Flow'!$C$29-AG35</f>
        <v>20108</v>
      </c>
      <c r="AI35" s="179">
        <f>SUM([11]Cashflow!B35:AG35)-SUM(B35:AG35)</f>
        <v>3874</v>
      </c>
      <c r="AL35" s="73"/>
    </row>
    <row r="36" spans="1:209" x14ac:dyDescent="0.15">
      <c r="A36" s="30" t="s">
        <v>141</v>
      </c>
      <c r="B36" s="141">
        <v>-13906</v>
      </c>
      <c r="C36" s="141">
        <v>6301</v>
      </c>
      <c r="D36" s="141">
        <v>3377</v>
      </c>
      <c r="E36" s="141">
        <f t="shared" si="18"/>
        <v>-9919</v>
      </c>
      <c r="F36" s="158">
        <v>-14147</v>
      </c>
      <c r="G36" s="158">
        <v>-2099</v>
      </c>
      <c r="H36" s="158">
        <v>3444</v>
      </c>
      <c r="I36" s="158">
        <v>4867</v>
      </c>
      <c r="J36" s="158">
        <f t="shared" si="19"/>
        <v>982</v>
      </c>
      <c r="K36" s="158">
        <f>'[1]Statements of Cash Flow'!$C$23</f>
        <v>7194</v>
      </c>
      <c r="L36" s="179">
        <f t="shared" si="20"/>
        <v>0</v>
      </c>
      <c r="M36" s="178">
        <v>-1109</v>
      </c>
      <c r="N36" s="178">
        <v>5555</v>
      </c>
      <c r="O36" s="178">
        <v>2555</v>
      </c>
      <c r="P36" s="178">
        <f t="shared" si="21"/>
        <v>-6305</v>
      </c>
      <c r="Q36" s="178">
        <f>'[2]Statements of Cash Flow'!$C$23</f>
        <v>696</v>
      </c>
      <c r="R36" s="178">
        <v>9057</v>
      </c>
      <c r="S36" s="178">
        <v>-9018</v>
      </c>
      <c r="T36" s="178">
        <v>-5724</v>
      </c>
      <c r="U36" s="178">
        <f t="shared" si="17"/>
        <v>-6377</v>
      </c>
      <c r="V36" s="178">
        <f>'[3]Statements of Cash Flow'!$C$24</f>
        <v>-12062</v>
      </c>
      <c r="W36" s="178">
        <v>6185</v>
      </c>
      <c r="X36" s="178">
        <v>2499</v>
      </c>
      <c r="Y36" s="178">
        <v>-4641</v>
      </c>
      <c r="Z36" s="178">
        <f t="shared" si="15"/>
        <v>4736</v>
      </c>
      <c r="AA36" s="178">
        <f>'[4]Statements of Cash Flow'!$C$25</f>
        <v>8779</v>
      </c>
      <c r="AB36" s="178">
        <f>'[5]Statements of Cash Flow'!$C$25</f>
        <v>7883</v>
      </c>
      <c r="AC36" s="178">
        <f>'[6]Statements of Cash Flow'!$C$25-AB36</f>
        <v>-18493</v>
      </c>
      <c r="AD36" s="178">
        <f>'[7]Statements of Cash Flow'!$C$25-SUM(AB36:AC36)</f>
        <v>-1412</v>
      </c>
      <c r="AE36" s="178">
        <f t="shared" si="16"/>
        <v>-6260</v>
      </c>
      <c r="AF36" s="178">
        <f>'[8]Statements of Cash Flow'!$C$25</f>
        <v>-18282</v>
      </c>
      <c r="AG36" s="178">
        <f>'[9]Statements of Cash Flow'!$C$25</f>
        <v>11443</v>
      </c>
      <c r="AH36" s="178">
        <f>'[10]Statements of Cash Flow'!$C$25-AG36</f>
        <v>-16365</v>
      </c>
      <c r="AI36" s="179">
        <f>SUM([11]Cashflow!B36:AG36)-SUM(B36:AG36)</f>
        <v>0</v>
      </c>
      <c r="AL36" s="73"/>
    </row>
    <row r="37" spans="1:209" hidden="1" x14ac:dyDescent="0.15">
      <c r="A37" s="30" t="s">
        <v>26</v>
      </c>
      <c r="B37" s="141"/>
      <c r="C37" s="141"/>
      <c r="D37" s="141"/>
      <c r="E37" s="141"/>
      <c r="F37" s="158"/>
      <c r="G37" s="158"/>
      <c r="H37" s="158"/>
      <c r="I37" s="158"/>
      <c r="J37" s="158"/>
      <c r="K37" s="158"/>
      <c r="L37" s="179">
        <f t="shared" si="20"/>
        <v>0</v>
      </c>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9">
        <f>SUM([11]Cashflow!B37:AG37)-SUM(B37:AG37)</f>
        <v>-59231</v>
      </c>
      <c r="AL37" s="73"/>
    </row>
    <row r="38" spans="1:209" x14ac:dyDescent="0.15">
      <c r="A38" s="30" t="s">
        <v>139</v>
      </c>
      <c r="B38" s="158">
        <v>0</v>
      </c>
      <c r="C38" s="158">
        <v>0</v>
      </c>
      <c r="D38" s="158">
        <v>0</v>
      </c>
      <c r="E38" s="158">
        <v>0</v>
      </c>
      <c r="F38" s="158">
        <v>0</v>
      </c>
      <c r="G38" s="158">
        <v>0</v>
      </c>
      <c r="H38" s="158">
        <v>-13749</v>
      </c>
      <c r="I38" s="158">
        <v>-5679</v>
      </c>
      <c r="J38" s="158">
        <f t="shared" si="19"/>
        <v>-5385</v>
      </c>
      <c r="K38" s="158">
        <f>'[1]Statements of Cash Flow'!$C$29</f>
        <v>-24813</v>
      </c>
      <c r="L38" s="179">
        <f t="shared" si="20"/>
        <v>0</v>
      </c>
      <c r="M38" s="178">
        <v>-6576</v>
      </c>
      <c r="N38" s="178">
        <v>-6255</v>
      </c>
      <c r="O38" s="178">
        <v>-6949</v>
      </c>
      <c r="P38" s="178">
        <f t="shared" si="21"/>
        <v>-6809</v>
      </c>
      <c r="Q38" s="178">
        <f>'[2]Statements of Cash Flow'!$C$29</f>
        <v>-26589</v>
      </c>
      <c r="R38" s="178">
        <v>-6868</v>
      </c>
      <c r="S38" s="178">
        <v>-6459</v>
      </c>
      <c r="T38" s="178">
        <v>-6327</v>
      </c>
      <c r="U38" s="178">
        <f t="shared" si="17"/>
        <v>-6020</v>
      </c>
      <c r="V38" s="178">
        <f>'[3]Statements of Cash Flow'!$C$30</f>
        <v>-25674</v>
      </c>
      <c r="W38" s="178">
        <v>-6005</v>
      </c>
      <c r="X38" s="178">
        <v>-5917</v>
      </c>
      <c r="Y38" s="178">
        <v>-5909</v>
      </c>
      <c r="Z38" s="178">
        <f t="shared" si="15"/>
        <v>-5396</v>
      </c>
      <c r="AA38" s="178">
        <f>'[4]Statements of Cash Flow'!$C$31</f>
        <v>-23227</v>
      </c>
      <c r="AB38" s="178">
        <f>'[5]Statements of Cash Flow'!$C$31</f>
        <v>-5453</v>
      </c>
      <c r="AC38" s="178">
        <f>'[6]Statements of Cash Flow'!$C$31-AB38</f>
        <v>-5376</v>
      </c>
      <c r="AD38" s="178">
        <f>'[7]Statements of Cash Flow'!$C$31-SUM(AB38:AC38)</f>
        <v>-4793</v>
      </c>
      <c r="AE38" s="178">
        <f t="shared" si="16"/>
        <v>-4559</v>
      </c>
      <c r="AF38" s="178">
        <f>'[8]Statements of Cash Flow'!$C$31</f>
        <v>-20181</v>
      </c>
      <c r="AG38" s="178">
        <f>'[9]Statements of Cash Flow'!$C$32</f>
        <v>-4616</v>
      </c>
      <c r="AH38" s="282">
        <f>'[10]Statements of Cash Flow'!$C$31-AG38</f>
        <v>-5029</v>
      </c>
      <c r="AI38" s="179">
        <f>SUM([11]Cashflow!B38:AG38)-SUM(B38:AG38)</f>
        <v>0</v>
      </c>
      <c r="AL38" s="73"/>
    </row>
    <row r="39" spans="1:209" x14ac:dyDescent="0.15">
      <c r="A39" s="30" t="s">
        <v>201</v>
      </c>
      <c r="B39" s="141">
        <v>0</v>
      </c>
      <c r="C39" s="141">
        <v>0</v>
      </c>
      <c r="D39" s="141">
        <v>0</v>
      </c>
      <c r="E39" s="141">
        <v>0</v>
      </c>
      <c r="F39" s="158">
        <v>0</v>
      </c>
      <c r="G39" s="158">
        <v>0</v>
      </c>
      <c r="H39" s="158">
        <v>0</v>
      </c>
      <c r="I39" s="158">
        <v>0</v>
      </c>
      <c r="J39" s="158">
        <v>0</v>
      </c>
      <c r="K39" s="158">
        <v>0</v>
      </c>
      <c r="L39" s="179">
        <v>0</v>
      </c>
      <c r="M39" s="178">
        <v>0</v>
      </c>
      <c r="N39" s="178">
        <v>0</v>
      </c>
      <c r="O39" s="178">
        <v>0</v>
      </c>
      <c r="P39" s="178">
        <v>0</v>
      </c>
      <c r="Q39" s="178">
        <v>0</v>
      </c>
      <c r="R39" s="178">
        <v>0</v>
      </c>
      <c r="S39" s="178">
        <v>0</v>
      </c>
      <c r="T39" s="178">
        <v>0</v>
      </c>
      <c r="U39" s="178">
        <v>0</v>
      </c>
      <c r="V39" s="178">
        <v>0</v>
      </c>
      <c r="W39" s="178">
        <v>0</v>
      </c>
      <c r="X39" s="178">
        <v>0</v>
      </c>
      <c r="Y39" s="178">
        <v>0</v>
      </c>
      <c r="Z39" s="178">
        <v>0</v>
      </c>
      <c r="AA39" s="178">
        <v>0</v>
      </c>
      <c r="AB39" s="178">
        <v>0</v>
      </c>
      <c r="AC39" s="178">
        <v>0</v>
      </c>
      <c r="AD39" s="178">
        <v>0</v>
      </c>
      <c r="AE39" s="178">
        <v>0</v>
      </c>
      <c r="AF39" s="178">
        <v>0</v>
      </c>
      <c r="AG39" s="178">
        <f>'[9]Statements of Cash Flow'!$C$28</f>
        <v>-11000</v>
      </c>
      <c r="AH39" s="178">
        <f>'[10]Statements of Cash Flow'!$C$26-AG39</f>
        <v>0</v>
      </c>
      <c r="AI39" s="179"/>
      <c r="AL39" s="73"/>
    </row>
    <row r="40" spans="1:209" x14ac:dyDescent="0.15">
      <c r="A40" s="42" t="s">
        <v>72</v>
      </c>
      <c r="B40" s="133">
        <f>SUM(B8:B39)</f>
        <v>-8005</v>
      </c>
      <c r="C40" s="133">
        <f t="shared" ref="C40:AG40" si="22">SUM(C8:C39)</f>
        <v>21798</v>
      </c>
      <c r="D40" s="133">
        <f t="shared" si="22"/>
        <v>33058</v>
      </c>
      <c r="E40" s="133">
        <f t="shared" si="22"/>
        <v>45584.475935178678</v>
      </c>
      <c r="F40" s="133">
        <f t="shared" si="22"/>
        <v>92435.475935178692</v>
      </c>
      <c r="G40" s="133">
        <f t="shared" si="22"/>
        <v>8342.4759351786779</v>
      </c>
      <c r="H40" s="133">
        <f t="shared" si="22"/>
        <v>39374.098391361411</v>
      </c>
      <c r="I40" s="133">
        <f t="shared" si="22"/>
        <v>58237.828320000001</v>
      </c>
      <c r="J40" s="133">
        <f t="shared" si="22"/>
        <v>62465.597353459918</v>
      </c>
      <c r="K40" s="133">
        <f t="shared" si="22"/>
        <v>168420</v>
      </c>
      <c r="L40" s="133">
        <f t="shared" si="22"/>
        <v>0</v>
      </c>
      <c r="M40" s="133">
        <f t="shared" si="22"/>
        <v>-13555</v>
      </c>
      <c r="N40" s="133">
        <f t="shared" si="22"/>
        <v>72462</v>
      </c>
      <c r="O40" s="133">
        <f t="shared" si="22"/>
        <v>67407</v>
      </c>
      <c r="P40" s="133">
        <f t="shared" si="22"/>
        <v>76659</v>
      </c>
      <c r="Q40" s="133">
        <f t="shared" si="22"/>
        <v>202973</v>
      </c>
      <c r="R40" s="133">
        <f t="shared" si="22"/>
        <v>15205</v>
      </c>
      <c r="S40" s="133">
        <f t="shared" si="22"/>
        <v>38738</v>
      </c>
      <c r="T40" s="133">
        <f t="shared" si="22"/>
        <v>59819</v>
      </c>
      <c r="U40" s="133">
        <f t="shared" si="22"/>
        <v>70625</v>
      </c>
      <c r="V40" s="133">
        <f t="shared" si="22"/>
        <v>184387</v>
      </c>
      <c r="W40" s="133">
        <f t="shared" si="22"/>
        <v>-26870</v>
      </c>
      <c r="X40" s="133">
        <f t="shared" si="22"/>
        <v>79878</v>
      </c>
      <c r="Y40" s="133">
        <f t="shared" si="22"/>
        <v>48081</v>
      </c>
      <c r="Z40" s="133">
        <f t="shared" si="22"/>
        <v>65052</v>
      </c>
      <c r="AA40" s="133">
        <f t="shared" si="22"/>
        <v>166141</v>
      </c>
      <c r="AB40" s="133">
        <f t="shared" si="22"/>
        <v>16025</v>
      </c>
      <c r="AC40" s="133">
        <f t="shared" si="22"/>
        <v>47534</v>
      </c>
      <c r="AD40" s="133">
        <f t="shared" si="22"/>
        <v>68601</v>
      </c>
      <c r="AE40" s="133">
        <f t="shared" si="22"/>
        <v>79038</v>
      </c>
      <c r="AF40" s="133">
        <f t="shared" si="22"/>
        <v>211198</v>
      </c>
      <c r="AG40" s="133">
        <f t="shared" si="22"/>
        <v>-21873</v>
      </c>
      <c r="AH40" s="133">
        <f t="shared" ref="AH40" si="23">SUM(AH8:AH39)</f>
        <v>74907</v>
      </c>
      <c r="AI40" s="179">
        <f>SUM([11]Cashflow!B40:AG40)-SUM(B40:AG40)</f>
        <v>0</v>
      </c>
      <c r="AK40" s="89"/>
      <c r="AL40" s="89"/>
      <c r="AM40" s="89"/>
      <c r="AN40" s="89"/>
      <c r="AO40" s="89"/>
      <c r="AP40" s="89"/>
      <c r="AQ40" s="89"/>
      <c r="AR40" s="89"/>
      <c r="AS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c r="CL40" s="89"/>
      <c r="CM40" s="89"/>
      <c r="CN40" s="89"/>
      <c r="CO40" s="89"/>
      <c r="CP40" s="89"/>
      <c r="CQ40" s="89"/>
      <c r="CR40" s="89"/>
      <c r="CS40" s="89"/>
      <c r="CT40" s="89"/>
      <c r="CU40" s="89"/>
      <c r="CV40" s="89"/>
      <c r="CW40" s="89"/>
      <c r="CX40" s="89"/>
      <c r="CY40" s="89"/>
      <c r="CZ40" s="89"/>
      <c r="DA40" s="89"/>
      <c r="DB40" s="89"/>
      <c r="DC40" s="89"/>
      <c r="DD40" s="89"/>
      <c r="DE40" s="89"/>
      <c r="DF40" s="89"/>
      <c r="DG40" s="89"/>
      <c r="DH40" s="89"/>
      <c r="DI40" s="89"/>
      <c r="DJ40" s="89"/>
      <c r="DK40" s="89"/>
      <c r="DL40" s="89"/>
      <c r="DM40" s="89"/>
      <c r="DN40" s="89"/>
      <c r="DO40" s="89"/>
      <c r="DP40" s="89"/>
      <c r="DQ40" s="89"/>
      <c r="DR40" s="89"/>
      <c r="DS40" s="89"/>
      <c r="DT40" s="89"/>
      <c r="DU40" s="89"/>
      <c r="DV40" s="89"/>
      <c r="DW40" s="89"/>
      <c r="DX40" s="89"/>
      <c r="DY40" s="89"/>
      <c r="DZ40" s="89"/>
      <c r="EA40" s="89"/>
      <c r="EB40" s="89"/>
      <c r="EC40" s="89"/>
      <c r="ED40" s="89"/>
      <c r="EE40" s="89"/>
      <c r="EF40" s="89"/>
      <c r="EG40" s="89"/>
      <c r="EH40" s="89"/>
      <c r="EI40" s="89"/>
      <c r="EJ40" s="89"/>
      <c r="EK40" s="89"/>
      <c r="EL40" s="89"/>
      <c r="EM40" s="89"/>
      <c r="EN40" s="89"/>
      <c r="EO40" s="89"/>
      <c r="EP40" s="89"/>
      <c r="EQ40" s="89"/>
      <c r="ER40" s="89"/>
      <c r="ES40" s="89"/>
      <c r="ET40" s="89"/>
      <c r="EU40" s="89"/>
      <c r="EV40" s="89"/>
      <c r="EW40" s="89"/>
      <c r="EX40" s="89"/>
      <c r="EY40" s="89"/>
      <c r="EZ40" s="89"/>
      <c r="FA40" s="89"/>
      <c r="FB40" s="89"/>
      <c r="FC40" s="89"/>
      <c r="FD40" s="89"/>
      <c r="FE40" s="89"/>
      <c r="FF40" s="89"/>
      <c r="FG40" s="89"/>
      <c r="FH40" s="89"/>
      <c r="FI40" s="89"/>
      <c r="FJ40" s="89"/>
      <c r="FK40" s="89"/>
      <c r="FL40" s="89"/>
      <c r="FM40" s="89"/>
      <c r="FN40" s="89"/>
      <c r="FO40" s="89"/>
      <c r="FP40" s="89"/>
      <c r="FQ40" s="89"/>
      <c r="FR40" s="89"/>
      <c r="FS40" s="89"/>
      <c r="FT40" s="89"/>
      <c r="FU40" s="89"/>
      <c r="FV40" s="89"/>
      <c r="FW40" s="89"/>
      <c r="FX40" s="89"/>
      <c r="FY40" s="89"/>
      <c r="FZ40" s="89"/>
      <c r="GA40" s="89"/>
      <c r="GB40" s="89"/>
      <c r="GC40" s="89"/>
      <c r="GD40" s="89"/>
      <c r="GE40" s="89"/>
      <c r="GF40" s="89"/>
      <c r="GG40" s="89"/>
      <c r="GH40" s="89"/>
      <c r="GI40" s="89"/>
      <c r="GJ40" s="89"/>
      <c r="GK40" s="89"/>
      <c r="GL40" s="89"/>
      <c r="GM40" s="89"/>
      <c r="GN40" s="89"/>
      <c r="GO40" s="89"/>
      <c r="GP40" s="89"/>
      <c r="GQ40" s="89"/>
      <c r="GR40" s="89"/>
      <c r="GS40" s="89"/>
      <c r="GT40" s="89"/>
      <c r="GU40" s="89"/>
      <c r="GV40" s="89"/>
      <c r="GW40" s="89"/>
      <c r="GX40" s="89"/>
      <c r="GY40" s="89"/>
      <c r="GZ40" s="89"/>
      <c r="HA40" s="89"/>
    </row>
    <row r="41" spans="1:209" x14ac:dyDescent="0.15">
      <c r="A41" s="14" t="s">
        <v>18</v>
      </c>
      <c r="F41" s="158"/>
      <c r="G41" s="158"/>
      <c r="H41" s="158"/>
      <c r="I41" s="158"/>
      <c r="J41" s="158"/>
      <c r="K41" s="158"/>
      <c r="L41" s="2"/>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73"/>
    </row>
    <row r="42" spans="1:209" x14ac:dyDescent="0.15">
      <c r="A42" s="10" t="s">
        <v>73</v>
      </c>
      <c r="F42" s="158"/>
      <c r="G42" s="158"/>
      <c r="H42" s="158"/>
      <c r="I42" s="158"/>
      <c r="J42" s="158"/>
      <c r="K42" s="158"/>
      <c r="L42" s="2"/>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9"/>
    </row>
    <row r="43" spans="1:209" x14ac:dyDescent="0.15">
      <c r="A43" s="12" t="s">
        <v>122</v>
      </c>
      <c r="B43" s="143">
        <v>-12680</v>
      </c>
      <c r="C43" s="143">
        <v>-6616</v>
      </c>
      <c r="D43" s="143">
        <v>-10774</v>
      </c>
      <c r="E43" s="143">
        <f t="shared" ref="E43:E49" si="24">+F43-SUM(B43:D43)</f>
        <v>-10719</v>
      </c>
      <c r="F43" s="158">
        <f>'[2]Statements of Cash Flow'!$G$32</f>
        <v>-40789</v>
      </c>
      <c r="G43" s="158">
        <v>-10878</v>
      </c>
      <c r="H43" s="158">
        <v>-11409</v>
      </c>
      <c r="I43" s="158">
        <f>-10021</f>
        <v>-10021</v>
      </c>
      <c r="J43" s="158">
        <f t="shared" ref="J43:J48" si="25">+K43-SUM(G43:I43)</f>
        <v>-8237</v>
      </c>
      <c r="K43" s="158">
        <f>'[2]Statements of Cash Flow'!$E$32</f>
        <v>-40545</v>
      </c>
      <c r="L43" s="179">
        <f t="shared" ref="L43:L49" si="26">SUM(G43:J43)-K43</f>
        <v>0</v>
      </c>
      <c r="M43" s="178">
        <v>-12347</v>
      </c>
      <c r="N43" s="178">
        <v>-10004</v>
      </c>
      <c r="O43" s="178">
        <v>-12263</v>
      </c>
      <c r="P43" s="178">
        <f t="shared" ref="P43:P48" si="27">+Q43-SUM(M43:O43)</f>
        <v>-7610</v>
      </c>
      <c r="Q43" s="178">
        <f>'[2]Statements of Cash Flow'!$C$32</f>
        <v>-42224</v>
      </c>
      <c r="R43" s="178">
        <v>-12680</v>
      </c>
      <c r="S43" s="178">
        <v>-7223</v>
      </c>
      <c r="T43" s="178">
        <v>-9123</v>
      </c>
      <c r="U43" s="178">
        <f t="shared" ref="U43:U49" si="28">+V43-SUM(R43:T43)</f>
        <v>-8222</v>
      </c>
      <c r="V43" s="178">
        <f>'[3]Statements of Cash Flow'!$C$33</f>
        <v>-37248</v>
      </c>
      <c r="W43" s="178">
        <v>-16101</v>
      </c>
      <c r="X43" s="178">
        <v>-8953</v>
      </c>
      <c r="Y43" s="178">
        <v>-7045</v>
      </c>
      <c r="Z43" s="178">
        <f t="shared" ref="Z43:Z49" si="29">+AA43-SUM(W43:Y43)</f>
        <v>-12737</v>
      </c>
      <c r="AA43" s="178">
        <f>'[4]Statements of Cash Flow'!$C$34</f>
        <v>-44836</v>
      </c>
      <c r="AB43" s="178">
        <f>'[5]Statements of Cash Flow'!$C$34</f>
        <v>-12479</v>
      </c>
      <c r="AC43" s="178">
        <f>'[6]Statements of Cash Flow'!$C$34-AB43</f>
        <v>-13634</v>
      </c>
      <c r="AD43" s="178">
        <f>'[7]Statements of Cash Flow'!$C$34-SUM(AB43:AC43)</f>
        <v>-14993</v>
      </c>
      <c r="AE43" s="178">
        <f t="shared" ref="AE43:AE49" si="30">+AF43-SUM(AB43:AD43)</f>
        <v>-11697</v>
      </c>
      <c r="AF43" s="178">
        <f>'[8]Statements of Cash Flow'!$C$34</f>
        <v>-52803</v>
      </c>
      <c r="AG43" s="178">
        <f>'[9]Statements of Cash Flow'!$C$35</f>
        <v>-11266</v>
      </c>
      <c r="AH43" s="178">
        <f>'[10]Statements of Cash Flow'!$C$34-AG43</f>
        <v>-12063</v>
      </c>
      <c r="AI43" s="179">
        <f>SUM([11]Cashflow!B43:AG43)-SUM(B43:AG43)</f>
        <v>0</v>
      </c>
    </row>
    <row r="44" spans="1:209" x14ac:dyDescent="0.15">
      <c r="A44" s="12" t="s">
        <v>154</v>
      </c>
      <c r="B44" s="143"/>
      <c r="C44" s="143"/>
      <c r="D44" s="143"/>
      <c r="E44" s="143">
        <f>F44</f>
        <v>352</v>
      </c>
      <c r="F44" s="158">
        <f>'[2]Statements of Cash Flow'!$G$33</f>
        <v>352</v>
      </c>
      <c r="G44" s="158">
        <v>0</v>
      </c>
      <c r="H44" s="158">
        <v>0</v>
      </c>
      <c r="I44" s="158">
        <v>0</v>
      </c>
      <c r="J44" s="158">
        <f>K44</f>
        <v>407</v>
      </c>
      <c r="K44" s="158">
        <f>'[2]Statements of Cash Flow'!$E$33</f>
        <v>407</v>
      </c>
      <c r="L44" s="179"/>
      <c r="M44" s="178">
        <v>73</v>
      </c>
      <c r="N44" s="178">
        <v>227</v>
      </c>
      <c r="O44" s="178">
        <v>324</v>
      </c>
      <c r="P44" s="178">
        <f t="shared" si="27"/>
        <v>292</v>
      </c>
      <c r="Q44" s="178">
        <f>'[2]Statements of Cash Flow'!$C$33</f>
        <v>916</v>
      </c>
      <c r="R44" s="178">
        <v>129</v>
      </c>
      <c r="S44" s="178">
        <v>398</v>
      </c>
      <c r="T44" s="178">
        <v>298</v>
      </c>
      <c r="U44" s="178">
        <f t="shared" si="28"/>
        <v>475</v>
      </c>
      <c r="V44" s="178">
        <f>'[3]Statements of Cash Flow'!$C$34</f>
        <v>1300</v>
      </c>
      <c r="W44" s="178">
        <v>63</v>
      </c>
      <c r="X44" s="178">
        <v>91</v>
      </c>
      <c r="Y44" s="178">
        <v>43</v>
      </c>
      <c r="Z44" s="178">
        <f t="shared" si="29"/>
        <v>69</v>
      </c>
      <c r="AA44" s="178">
        <f>'[4]Statements of Cash Flow'!$C$35</f>
        <v>266</v>
      </c>
      <c r="AB44" s="178">
        <f>'[5]Statements of Cash Flow'!$C$35</f>
        <v>565</v>
      </c>
      <c r="AC44" s="178">
        <f>'[6]Statements of Cash Flow'!$C$35-AB44</f>
        <v>-18</v>
      </c>
      <c r="AD44" s="178">
        <f>'[7]Statements of Cash Flow'!$C$35-SUM(AB44:AC44)</f>
        <v>93</v>
      </c>
      <c r="AE44" s="178">
        <f t="shared" si="30"/>
        <v>99</v>
      </c>
      <c r="AF44" s="178">
        <f>'[8]Statements of Cash Flow'!$C$35</f>
        <v>739</v>
      </c>
      <c r="AG44" s="178">
        <f>'[9]Statements of Cash Flow'!$C$36</f>
        <v>62</v>
      </c>
      <c r="AH44" s="178">
        <f>'[10]Statements of Cash Flow'!$C$35-AG44</f>
        <v>28</v>
      </c>
      <c r="AI44" s="179">
        <f>SUM([11]Cashflow!B44:AG44)-SUM(B44:AG44)</f>
        <v>0</v>
      </c>
      <c r="AJ44" s="179"/>
    </row>
    <row r="45" spans="1:209" x14ac:dyDescent="0.15">
      <c r="A45" s="12" t="s">
        <v>118</v>
      </c>
      <c r="B45" s="140">
        <v>0</v>
      </c>
      <c r="C45" s="140">
        <v>0</v>
      </c>
      <c r="D45" s="140">
        <v>0</v>
      </c>
      <c r="E45" s="140">
        <f t="shared" si="24"/>
        <v>0</v>
      </c>
      <c r="F45" s="158">
        <v>0</v>
      </c>
      <c r="G45" s="158">
        <v>0</v>
      </c>
      <c r="H45" s="158">
        <v>0</v>
      </c>
      <c r="I45" s="158">
        <v>0</v>
      </c>
      <c r="J45" s="158">
        <f t="shared" si="25"/>
        <v>0</v>
      </c>
      <c r="K45" s="158">
        <v>0</v>
      </c>
      <c r="L45" s="179">
        <f t="shared" si="26"/>
        <v>0</v>
      </c>
      <c r="M45" s="178">
        <v>-700</v>
      </c>
      <c r="N45" s="178">
        <v>0</v>
      </c>
      <c r="O45" s="178">
        <v>0</v>
      </c>
      <c r="P45" s="178">
        <f t="shared" si="27"/>
        <v>0</v>
      </c>
      <c r="Q45" s="178">
        <f>'[2]Statements of Cash Flow'!$C$34</f>
        <v>-700</v>
      </c>
      <c r="R45" s="178">
        <v>0</v>
      </c>
      <c r="S45" s="178">
        <v>0</v>
      </c>
      <c r="T45" s="178">
        <v>0</v>
      </c>
      <c r="U45" s="178">
        <f t="shared" si="28"/>
        <v>0</v>
      </c>
      <c r="V45" s="178">
        <f>'[3]Statements of Cash Flow'!$C$35</f>
        <v>0</v>
      </c>
      <c r="W45" s="178">
        <v>0</v>
      </c>
      <c r="X45" s="178">
        <v>0</v>
      </c>
      <c r="Y45" s="178">
        <v>0</v>
      </c>
      <c r="Z45" s="178">
        <f t="shared" si="29"/>
        <v>0</v>
      </c>
      <c r="AA45" s="178">
        <f>'[4]Statements of Cash Flow'!$C$36</f>
        <v>0</v>
      </c>
      <c r="AB45" s="178">
        <f>'[5]Statements of Cash Flow'!$C$36</f>
        <v>0</v>
      </c>
      <c r="AC45" s="178">
        <f>'[6]Statements of Cash Flow'!$C$36-AB45</f>
        <v>0</v>
      </c>
      <c r="AD45" s="178">
        <f>'[7]Statements of Cash Flow'!$C$36-SUM(AB45:AC45)</f>
        <v>-600</v>
      </c>
      <c r="AE45" s="178">
        <f t="shared" si="30"/>
        <v>0</v>
      </c>
      <c r="AF45" s="178">
        <f>'[8]Statements of Cash Flow'!$C$36</f>
        <v>-600</v>
      </c>
      <c r="AG45" s="178"/>
      <c r="AH45" s="178"/>
      <c r="AI45" s="179">
        <f>SUM([11]Cashflow!B45:AG45)-SUM(B45:AG45)</f>
        <v>0</v>
      </c>
      <c r="AJ45" s="179"/>
    </row>
    <row r="46" spans="1:209" x14ac:dyDescent="0.15">
      <c r="A46" s="12" t="s">
        <v>193</v>
      </c>
      <c r="B46" s="141">
        <v>-380</v>
      </c>
      <c r="C46" s="141">
        <v>-115</v>
      </c>
      <c r="D46" s="141">
        <v>-231423</v>
      </c>
      <c r="E46" s="141">
        <f t="shared" si="24"/>
        <v>89</v>
      </c>
      <c r="F46" s="158">
        <v>-231829</v>
      </c>
      <c r="G46" s="158">
        <v>0</v>
      </c>
      <c r="H46" s="158">
        <v>0</v>
      </c>
      <c r="I46" s="158">
        <v>0</v>
      </c>
      <c r="J46" s="158">
        <f t="shared" si="25"/>
        <v>0</v>
      </c>
      <c r="K46" s="158">
        <f>'[1]Statements of Cash Flow'!$C$35</f>
        <v>0</v>
      </c>
      <c r="L46" s="179">
        <f t="shared" si="26"/>
        <v>0</v>
      </c>
      <c r="M46" s="178">
        <v>0</v>
      </c>
      <c r="N46" s="178">
        <v>0</v>
      </c>
      <c r="O46" s="178">
        <v>0</v>
      </c>
      <c r="P46" s="178">
        <f t="shared" si="27"/>
        <v>0</v>
      </c>
      <c r="Q46" s="178">
        <f>'[2]Statements of Cash Flow'!$C$36</f>
        <v>0</v>
      </c>
      <c r="R46" s="178">
        <v>0</v>
      </c>
      <c r="S46" s="178">
        <v>0</v>
      </c>
      <c r="T46" s="178">
        <v>0</v>
      </c>
      <c r="U46" s="178">
        <f t="shared" si="28"/>
        <v>-76831</v>
      </c>
      <c r="V46" s="178">
        <f>'[3]Statements of Cash Flow'!$C$37</f>
        <v>-76831</v>
      </c>
      <c r="W46" s="178">
        <v>-1367</v>
      </c>
      <c r="X46" s="178">
        <v>-1205</v>
      </c>
      <c r="Y46" s="178">
        <v>-750</v>
      </c>
      <c r="Z46" s="178">
        <f t="shared" si="29"/>
        <v>-550</v>
      </c>
      <c r="AA46" s="178">
        <f>'[4]Statements of Cash Flow'!$C$38</f>
        <v>-3872</v>
      </c>
      <c r="AB46" s="178">
        <f>'[5]Statements of Cash Flow'!$C$38</f>
        <v>0</v>
      </c>
      <c r="AC46" s="178">
        <f>'[6]Statements of Cash Flow'!$C$38-AB46</f>
        <v>0</v>
      </c>
      <c r="AD46" s="178">
        <f>'[7]Statements of Cash Flow'!$C$38-SUM(AB46:AC46)</f>
        <v>0</v>
      </c>
      <c r="AE46" s="178">
        <f t="shared" si="30"/>
        <v>0</v>
      </c>
      <c r="AF46" s="178">
        <f>'[8]Statements of Cash Flow'!$C$38</f>
        <v>0</v>
      </c>
      <c r="AG46" s="178"/>
      <c r="AH46" s="178"/>
      <c r="AI46" s="179">
        <f>SUM([11]Cashflow!B46:AG46)-SUM(B46:AG46)</f>
        <v>0</v>
      </c>
      <c r="AJ46" s="179"/>
    </row>
    <row r="47" spans="1:209" x14ac:dyDescent="0.15">
      <c r="A47" s="12" t="s">
        <v>138</v>
      </c>
      <c r="B47" s="27">
        <v>0</v>
      </c>
      <c r="C47" s="27">
        <v>0</v>
      </c>
      <c r="D47" s="27">
        <v>0</v>
      </c>
      <c r="E47" s="27">
        <v>0</v>
      </c>
      <c r="F47" s="27">
        <v>0</v>
      </c>
      <c r="G47" s="27">
        <v>0</v>
      </c>
      <c r="H47" s="158">
        <v>-241</v>
      </c>
      <c r="I47" s="158">
        <v>0</v>
      </c>
      <c r="J47" s="158">
        <f t="shared" si="25"/>
        <v>0</v>
      </c>
      <c r="K47" s="158">
        <f>'[1]Statements of Cash Flow'!$C$34</f>
        <v>-241</v>
      </c>
      <c r="L47" s="179">
        <f t="shared" si="26"/>
        <v>0</v>
      </c>
      <c r="M47" s="178">
        <v>0</v>
      </c>
      <c r="N47" s="178">
        <v>0</v>
      </c>
      <c r="O47" s="178">
        <v>0</v>
      </c>
      <c r="P47" s="178">
        <f t="shared" si="27"/>
        <v>0</v>
      </c>
      <c r="Q47" s="178">
        <f>'[2]Statements of Cash Flow'!$C$35</f>
        <v>0</v>
      </c>
      <c r="R47" s="178">
        <v>0</v>
      </c>
      <c r="S47" s="178">
        <v>0</v>
      </c>
      <c r="T47" s="178">
        <v>0</v>
      </c>
      <c r="U47" s="178">
        <f t="shared" si="28"/>
        <v>0</v>
      </c>
      <c r="V47" s="178">
        <f>'[3]Statements of Cash Flow'!$C$36</f>
        <v>0</v>
      </c>
      <c r="W47" s="178">
        <v>0</v>
      </c>
      <c r="X47" s="178">
        <v>0</v>
      </c>
      <c r="Y47" s="178">
        <v>0</v>
      </c>
      <c r="Z47" s="178">
        <f t="shared" si="29"/>
        <v>0</v>
      </c>
      <c r="AA47" s="178">
        <f>'[4]Statements of Cash Flow'!$C$37</f>
        <v>0</v>
      </c>
      <c r="AB47" s="178">
        <f>'[5]Statements of Cash Flow'!$C$37</f>
        <v>0</v>
      </c>
      <c r="AC47" s="178">
        <f>'[6]Statements of Cash Flow'!$C$37-AB47</f>
        <v>0</v>
      </c>
      <c r="AD47" s="178">
        <f>'[7]Statements of Cash Flow'!$C$37-SUM(AB47:AC47)</f>
        <v>0</v>
      </c>
      <c r="AE47" s="178">
        <f t="shared" si="30"/>
        <v>0</v>
      </c>
      <c r="AF47" s="178">
        <f>'[8]Statements of Cash Flow'!$C$37</f>
        <v>0</v>
      </c>
      <c r="AG47" s="178"/>
      <c r="AH47" s="178"/>
      <c r="AI47" s="179">
        <f>SUM([11]Cashflow!B47:AG47)-SUM(B47:AG47)</f>
        <v>0</v>
      </c>
    </row>
    <row r="48" spans="1:209" x14ac:dyDescent="0.15">
      <c r="A48" s="12" t="s">
        <v>179</v>
      </c>
      <c r="B48" s="141">
        <v>-20310</v>
      </c>
      <c r="C48" s="141">
        <v>-20353</v>
      </c>
      <c r="D48" s="141">
        <v>-17294</v>
      </c>
      <c r="E48" s="141">
        <f t="shared" si="24"/>
        <v>-75477</v>
      </c>
      <c r="F48" s="158">
        <v>-133434</v>
      </c>
      <c r="G48" s="158">
        <v>-47683</v>
      </c>
      <c r="H48" s="158">
        <v>-20505</v>
      </c>
      <c r="I48" s="158">
        <v>-49746</v>
      </c>
      <c r="J48" s="158">
        <f t="shared" si="25"/>
        <v>-70040</v>
      </c>
      <c r="K48" s="158">
        <f>'[1]Statements of Cash Flow'!C36</f>
        <v>-187974</v>
      </c>
      <c r="L48" s="179">
        <f t="shared" si="26"/>
        <v>0</v>
      </c>
      <c r="M48" s="178">
        <v>-23830</v>
      </c>
      <c r="N48" s="178">
        <v>-25197</v>
      </c>
      <c r="O48" s="178">
        <v>-8938</v>
      </c>
      <c r="P48" s="178">
        <f t="shared" si="27"/>
        <v>-44497</v>
      </c>
      <c r="Q48" s="178">
        <f>'[2]Statements of Cash Flow'!$C$37</f>
        <v>-102462</v>
      </c>
      <c r="R48" s="178">
        <v>-18835</v>
      </c>
      <c r="S48" s="178">
        <v>-14152</v>
      </c>
      <c r="T48" s="178">
        <v>-43513</v>
      </c>
      <c r="U48" s="178">
        <f t="shared" si="28"/>
        <v>-19511</v>
      </c>
      <c r="V48" s="178">
        <f>'[3]Statements of Cash Flow'!$C$38</f>
        <v>-96011</v>
      </c>
      <c r="W48" s="178">
        <v>-36804</v>
      </c>
      <c r="X48" s="178">
        <v>-59278</v>
      </c>
      <c r="Y48" s="178">
        <v>-68231</v>
      </c>
      <c r="Z48" s="178">
        <f t="shared" si="29"/>
        <v>-48294</v>
      </c>
      <c r="AA48" s="178">
        <f>'[4]Statements of Cash Flow'!$C$39</f>
        <v>-212607</v>
      </c>
      <c r="AB48" s="178">
        <f>'[5]Statements of Cash Flow'!$C$39</f>
        <v>-51495</v>
      </c>
      <c r="AC48" s="178">
        <f>'[6]Statements of Cash Flow'!$C$40-AB48</f>
        <v>-62328</v>
      </c>
      <c r="AD48" s="178">
        <f>'[7]Statements of Cash Flow'!$C$40-SUM(AB48:AC48)</f>
        <v>-51198</v>
      </c>
      <c r="AE48" s="178">
        <f t="shared" si="30"/>
        <v>-70348</v>
      </c>
      <c r="AF48" s="178">
        <f>'[8]Statements of Cash Flow'!$C$39</f>
        <v>-235369</v>
      </c>
      <c r="AG48" s="178">
        <f>'[9]Statements of Cash Flow'!$C$40</f>
        <v>-64932</v>
      </c>
      <c r="AH48" s="178">
        <f>'[10]Statements of Cash Flow'!$C$40-AG48</f>
        <v>-94922</v>
      </c>
      <c r="AI48" s="179">
        <f>SUM([11]Cashflow!B48:AG48)-SUM(B48:AG48)</f>
        <v>0</v>
      </c>
      <c r="AJ48" s="179"/>
      <c r="AK48" s="179"/>
    </row>
    <row r="49" spans="1:209" x14ac:dyDescent="0.15">
      <c r="A49" s="12" t="s">
        <v>180</v>
      </c>
      <c r="B49" s="141">
        <v>30358</v>
      </c>
      <c r="C49" s="141">
        <v>30453</v>
      </c>
      <c r="D49" s="141">
        <v>18725</v>
      </c>
      <c r="E49" s="141">
        <f t="shared" si="24"/>
        <v>48672</v>
      </c>
      <c r="F49" s="158">
        <v>128208</v>
      </c>
      <c r="G49" s="158">
        <v>21361</v>
      </c>
      <c r="H49" s="158">
        <v>70308</v>
      </c>
      <c r="I49" s="158">
        <v>37474</v>
      </c>
      <c r="J49" s="158">
        <f>+K49-SUM(G49:I49)</f>
        <v>47825</v>
      </c>
      <c r="K49" s="158">
        <f>'[1]Statements of Cash Flow'!C37</f>
        <v>176968</v>
      </c>
      <c r="L49" s="179">
        <f t="shared" si="26"/>
        <v>0</v>
      </c>
      <c r="M49" s="178">
        <v>72844</v>
      </c>
      <c r="N49" s="178">
        <v>0</v>
      </c>
      <c r="O49" s="178">
        <v>30874</v>
      </c>
      <c r="P49" s="178">
        <f>+Q49-SUM(M49:O49)</f>
        <v>22436</v>
      </c>
      <c r="Q49" s="178">
        <f>'[2]Statements of Cash Flow'!$C$38</f>
        <v>126154</v>
      </c>
      <c r="R49" s="178">
        <v>5357</v>
      </c>
      <c r="S49" s="178">
        <v>58674</v>
      </c>
      <c r="T49" s="178">
        <v>19152</v>
      </c>
      <c r="U49" s="178">
        <f t="shared" si="28"/>
        <v>11337</v>
      </c>
      <c r="V49" s="178">
        <f>'[3]Statements of Cash Flow'!$C$39</f>
        <v>94520</v>
      </c>
      <c r="W49" s="178">
        <v>49515</v>
      </c>
      <c r="X49" s="178">
        <v>33052</v>
      </c>
      <c r="Y49" s="178">
        <v>41788</v>
      </c>
      <c r="Z49" s="178">
        <f t="shared" si="29"/>
        <v>40148</v>
      </c>
      <c r="AA49" s="178">
        <f>'[4]Statements of Cash Flow'!$C$40</f>
        <v>164503</v>
      </c>
      <c r="AB49" s="178">
        <f>'[5]Statements of Cash Flow'!$C$40</f>
        <v>106750</v>
      </c>
      <c r="AC49" s="178">
        <f>'[6]Statements of Cash Flow'!$C$41-AB49</f>
        <v>44428</v>
      </c>
      <c r="AD49" s="178">
        <f>'[7]Statements of Cash Flow'!$C$41-SUM(AB49:AC49)</f>
        <v>66347</v>
      </c>
      <c r="AE49" s="178">
        <f t="shared" si="30"/>
        <v>58511</v>
      </c>
      <c r="AF49" s="178">
        <f>'[8]Statements of Cash Flow'!$C$40</f>
        <v>276036</v>
      </c>
      <c r="AG49" s="178">
        <f>'[9]Statements of Cash Flow'!$C$41</f>
        <v>80825</v>
      </c>
      <c r="AH49" s="178">
        <f>'[10]Statements of Cash Flow'!$C$41-AG49</f>
        <v>59019</v>
      </c>
      <c r="AI49" s="179">
        <f>SUM([11]Cashflow!B49:AG49)-SUM(B49:AG49)</f>
        <v>0</v>
      </c>
      <c r="AJ49" s="179"/>
      <c r="AK49" s="179"/>
    </row>
    <row r="50" spans="1:209" x14ac:dyDescent="0.15">
      <c r="A50" s="42" t="s">
        <v>133</v>
      </c>
      <c r="B50" s="133">
        <f t="shared" ref="B50:AG50" si="31">SUM(B43:B49)</f>
        <v>-3012</v>
      </c>
      <c r="C50" s="133">
        <f t="shared" si="31"/>
        <v>3369</v>
      </c>
      <c r="D50" s="133">
        <f t="shared" si="31"/>
        <v>-240766</v>
      </c>
      <c r="E50" s="133">
        <f t="shared" si="31"/>
        <v>-37083</v>
      </c>
      <c r="F50" s="133">
        <f t="shared" si="31"/>
        <v>-277492</v>
      </c>
      <c r="G50" s="133">
        <f t="shared" si="31"/>
        <v>-37200</v>
      </c>
      <c r="H50" s="133">
        <f t="shared" si="31"/>
        <v>38153</v>
      </c>
      <c r="I50" s="133">
        <f t="shared" si="31"/>
        <v>-22293</v>
      </c>
      <c r="J50" s="133">
        <f t="shared" si="31"/>
        <v>-30045</v>
      </c>
      <c r="K50" s="133">
        <f t="shared" si="31"/>
        <v>-51385</v>
      </c>
      <c r="L50" s="133">
        <f t="shared" si="31"/>
        <v>0</v>
      </c>
      <c r="M50" s="133">
        <f t="shared" si="31"/>
        <v>36040</v>
      </c>
      <c r="N50" s="133">
        <f t="shared" si="31"/>
        <v>-34974</v>
      </c>
      <c r="O50" s="133">
        <f t="shared" si="31"/>
        <v>9997</v>
      </c>
      <c r="P50" s="133">
        <f t="shared" si="31"/>
        <v>-29379</v>
      </c>
      <c r="Q50" s="133">
        <f t="shared" si="31"/>
        <v>-18316</v>
      </c>
      <c r="R50" s="133">
        <f t="shared" si="31"/>
        <v>-26029</v>
      </c>
      <c r="S50" s="133">
        <f t="shared" si="31"/>
        <v>37697</v>
      </c>
      <c r="T50" s="133">
        <f t="shared" si="31"/>
        <v>-33186</v>
      </c>
      <c r="U50" s="133">
        <f t="shared" si="31"/>
        <v>-92752</v>
      </c>
      <c r="V50" s="133">
        <f t="shared" si="31"/>
        <v>-114270</v>
      </c>
      <c r="W50" s="133">
        <f t="shared" si="31"/>
        <v>-4694</v>
      </c>
      <c r="X50" s="133">
        <f t="shared" si="31"/>
        <v>-36293</v>
      </c>
      <c r="Y50" s="133">
        <f t="shared" si="31"/>
        <v>-34195</v>
      </c>
      <c r="Z50" s="133">
        <f t="shared" si="31"/>
        <v>-21364</v>
      </c>
      <c r="AA50" s="133">
        <f t="shared" si="31"/>
        <v>-96546</v>
      </c>
      <c r="AB50" s="133">
        <f t="shared" si="31"/>
        <v>43341</v>
      </c>
      <c r="AC50" s="133">
        <f t="shared" si="31"/>
        <v>-31552</v>
      </c>
      <c r="AD50" s="133">
        <f t="shared" si="31"/>
        <v>-351</v>
      </c>
      <c r="AE50" s="133">
        <f t="shared" ref="AE50" si="32">SUM(AE43:AE49)</f>
        <v>-23435</v>
      </c>
      <c r="AF50" s="133">
        <f t="shared" si="31"/>
        <v>-11997</v>
      </c>
      <c r="AG50" s="133">
        <f t="shared" si="31"/>
        <v>4689</v>
      </c>
      <c r="AH50" s="133">
        <f t="shared" ref="AH50" si="33">SUM(AH43:AH49)</f>
        <v>-47938</v>
      </c>
      <c r="AI50" s="179">
        <f>SUM([11]Cashflow!B50:AG50)-SUM(B50:AG50)</f>
        <v>0</v>
      </c>
      <c r="AJ50" s="179"/>
      <c r="AK50" s="89"/>
      <c r="AL50" s="89"/>
      <c r="AM50" s="89"/>
      <c r="AN50" s="89"/>
      <c r="AO50" s="89"/>
      <c r="AP50" s="89"/>
      <c r="AQ50" s="89"/>
      <c r="AR50" s="89"/>
      <c r="AS50" s="89"/>
      <c r="BO50" s="89"/>
      <c r="BP50" s="89"/>
      <c r="BQ50" s="89"/>
      <c r="BR50" s="89"/>
      <c r="BS50" s="89"/>
      <c r="BT50" s="89"/>
      <c r="BU50" s="89"/>
      <c r="BV50" s="89"/>
      <c r="BW50" s="89"/>
      <c r="BX50" s="89"/>
      <c r="BY50" s="89"/>
      <c r="BZ50" s="89"/>
      <c r="CA50" s="89"/>
      <c r="CB50" s="89"/>
      <c r="CC50" s="89"/>
      <c r="CD50" s="89"/>
      <c r="CE50" s="89"/>
      <c r="CF50" s="89"/>
      <c r="CG50" s="89"/>
      <c r="CH50" s="89"/>
      <c r="CI50" s="89"/>
      <c r="CJ50" s="89"/>
      <c r="CK50" s="89"/>
      <c r="CL50" s="89"/>
      <c r="CM50" s="89"/>
      <c r="CN50" s="89"/>
      <c r="CO50" s="89"/>
      <c r="CP50" s="89"/>
      <c r="CQ50" s="89"/>
      <c r="CR50" s="89"/>
      <c r="CS50" s="89"/>
      <c r="CT50" s="89"/>
      <c r="CU50" s="89"/>
      <c r="CV50" s="89"/>
      <c r="CW50" s="89"/>
      <c r="CX50" s="89"/>
      <c r="CY50" s="89"/>
      <c r="CZ50" s="89"/>
      <c r="DA50" s="89"/>
      <c r="DB50" s="89"/>
      <c r="DC50" s="89"/>
      <c r="DD50" s="89"/>
      <c r="DE50" s="89"/>
      <c r="DF50" s="89"/>
      <c r="DG50" s="89"/>
      <c r="DH50" s="89"/>
      <c r="DI50" s="89"/>
      <c r="DJ50" s="89"/>
      <c r="DK50" s="89"/>
      <c r="DL50" s="89"/>
      <c r="DM50" s="89"/>
      <c r="DN50" s="89"/>
      <c r="DO50" s="89"/>
      <c r="DP50" s="89"/>
      <c r="DQ50" s="89"/>
      <c r="DR50" s="89"/>
      <c r="DS50" s="89"/>
      <c r="DT50" s="89"/>
      <c r="DU50" s="89"/>
      <c r="DV50" s="89"/>
      <c r="DW50" s="89"/>
      <c r="DX50" s="89"/>
      <c r="DY50" s="89"/>
      <c r="DZ50" s="89"/>
      <c r="EA50" s="89"/>
      <c r="EB50" s="89"/>
      <c r="EC50" s="89"/>
      <c r="ED50" s="89"/>
      <c r="EE50" s="89"/>
      <c r="EF50" s="89"/>
      <c r="EG50" s="89"/>
      <c r="EH50" s="89"/>
      <c r="EI50" s="89"/>
      <c r="EJ50" s="89"/>
      <c r="EK50" s="89"/>
      <c r="EL50" s="89"/>
      <c r="EM50" s="89"/>
      <c r="EN50" s="89"/>
      <c r="EO50" s="89"/>
      <c r="EP50" s="89"/>
      <c r="EQ50" s="89"/>
      <c r="ER50" s="89"/>
      <c r="ES50" s="89"/>
      <c r="ET50" s="89"/>
      <c r="EU50" s="89"/>
      <c r="EV50" s="89"/>
      <c r="EW50" s="89"/>
      <c r="EX50" s="89"/>
      <c r="EY50" s="89"/>
      <c r="EZ50" s="89"/>
      <c r="FA50" s="89"/>
      <c r="FB50" s="89"/>
      <c r="FC50" s="89"/>
      <c r="FD50" s="89"/>
      <c r="FE50" s="89"/>
      <c r="FF50" s="89"/>
      <c r="FG50" s="89"/>
      <c r="FH50" s="89"/>
      <c r="FI50" s="89"/>
      <c r="FJ50" s="89"/>
      <c r="FK50" s="89"/>
      <c r="FL50" s="89"/>
      <c r="FM50" s="89"/>
      <c r="FN50" s="89"/>
      <c r="FO50" s="89"/>
      <c r="FP50" s="89"/>
      <c r="FQ50" s="89"/>
      <c r="FR50" s="89"/>
      <c r="FS50" s="89"/>
      <c r="FT50" s="89"/>
      <c r="FU50" s="89"/>
      <c r="FV50" s="89"/>
      <c r="FW50" s="89"/>
      <c r="FX50" s="89"/>
      <c r="FY50" s="89"/>
      <c r="FZ50" s="89"/>
      <c r="GA50" s="89"/>
      <c r="GB50" s="89"/>
      <c r="GC50" s="89"/>
      <c r="GD50" s="89"/>
      <c r="GE50" s="89"/>
      <c r="GF50" s="89"/>
      <c r="GG50" s="89"/>
      <c r="GH50" s="89"/>
      <c r="GI50" s="89"/>
      <c r="GJ50" s="89"/>
      <c r="GK50" s="89"/>
      <c r="GL50" s="89"/>
      <c r="GM50" s="89"/>
      <c r="GN50" s="89"/>
      <c r="GO50" s="89"/>
      <c r="GP50" s="89"/>
      <c r="GQ50" s="89"/>
      <c r="GR50" s="89"/>
      <c r="GS50" s="89"/>
      <c r="GT50" s="89"/>
      <c r="GU50" s="89"/>
      <c r="GV50" s="89"/>
      <c r="GW50" s="89"/>
      <c r="GX50" s="89"/>
      <c r="GY50" s="89"/>
      <c r="GZ50" s="89"/>
      <c r="HA50" s="89"/>
    </row>
    <row r="51" spans="1:209" x14ac:dyDescent="0.15">
      <c r="A51" s="14" t="s">
        <v>18</v>
      </c>
      <c r="F51" s="158"/>
      <c r="G51" s="158"/>
      <c r="H51" s="158"/>
      <c r="I51" s="158"/>
      <c r="J51" s="158"/>
      <c r="K51" s="158"/>
      <c r="L51" s="2"/>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73"/>
    </row>
    <row r="52" spans="1:209" x14ac:dyDescent="0.15">
      <c r="A52" s="10" t="s">
        <v>74</v>
      </c>
      <c r="F52" s="158"/>
      <c r="G52" s="158"/>
      <c r="H52" s="158"/>
      <c r="I52" s="158"/>
      <c r="J52" s="158"/>
      <c r="K52" s="158"/>
      <c r="L52" s="2"/>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9"/>
    </row>
    <row r="53" spans="1:209" x14ac:dyDescent="0.15">
      <c r="A53" s="12" t="s">
        <v>123</v>
      </c>
      <c r="B53" s="144">
        <v>12000</v>
      </c>
      <c r="C53" s="144">
        <v>0</v>
      </c>
      <c r="D53" s="144">
        <v>233000</v>
      </c>
      <c r="E53" s="144">
        <f t="shared" ref="E53:E61" si="34">+F53-SUM(B53:D53)</f>
        <v>1614</v>
      </c>
      <c r="F53" s="158">
        <v>246614</v>
      </c>
      <c r="G53" s="158">
        <v>46000</v>
      </c>
      <c r="H53" s="158">
        <v>0</v>
      </c>
      <c r="I53" s="158">
        <v>0</v>
      </c>
      <c r="J53" s="158">
        <f t="shared" ref="J53:J61" si="35">+K53-SUM(G53:I53)</f>
        <v>0</v>
      </c>
      <c r="K53" s="158">
        <f>'[1]Statements of Cash Flow'!$C$41</f>
        <v>46000</v>
      </c>
      <c r="L53" s="179">
        <f t="shared" ref="L53:L61" si="36">SUM(G53:J53)-K53</f>
        <v>0</v>
      </c>
      <c r="M53" s="178">
        <v>110000</v>
      </c>
      <c r="N53" s="178">
        <v>0</v>
      </c>
      <c r="O53" s="178">
        <v>0</v>
      </c>
      <c r="P53" s="178">
        <f t="shared" ref="P53:P59" si="37">+Q53-SUM(M53:O53)</f>
        <v>0</v>
      </c>
      <c r="Q53" s="178">
        <f>'[2]Statements of Cash Flow'!$C$42</f>
        <v>110000</v>
      </c>
      <c r="R53" s="178">
        <v>25000</v>
      </c>
      <c r="S53" s="178">
        <v>0</v>
      </c>
      <c r="T53" s="178">
        <v>200000</v>
      </c>
      <c r="U53" s="178">
        <f t="shared" ref="U53:U61" si="38">+V53-SUM(R53:T53)</f>
        <v>75000</v>
      </c>
      <c r="V53" s="178">
        <f>'[3]Statements of Cash Flow'!$C$43</f>
        <v>300000</v>
      </c>
      <c r="W53" s="178">
        <v>35000</v>
      </c>
      <c r="X53" s="178">
        <v>0</v>
      </c>
      <c r="Y53" s="178">
        <v>0</v>
      </c>
      <c r="Z53" s="178">
        <f t="shared" ref="Z53:Z61" si="39">+AA53-SUM(W53:Y53)</f>
        <v>0</v>
      </c>
      <c r="AA53" s="178">
        <f>'[4]Statements of Cash Flow'!$C$44</f>
        <v>35000</v>
      </c>
      <c r="AB53" s="178">
        <f>'[5]Statements of Cash Flow'!$C$44</f>
        <v>50000</v>
      </c>
      <c r="AC53" s="178">
        <f>'[6]Statements of Cash Flow'!$C$45-AB53</f>
        <v>20000</v>
      </c>
      <c r="AD53" s="178">
        <f>'[7]Statements of Cash Flow'!$C$45-SUM(AB53:AC53)</f>
        <v>0</v>
      </c>
      <c r="AE53" s="178">
        <f t="shared" ref="AE53:AE61" si="40">+AF53-SUM(AB53:AD53)</f>
        <v>10000</v>
      </c>
      <c r="AF53" s="178">
        <f>'[8]Statements of Cash Flow'!$C$44</f>
        <v>80000</v>
      </c>
      <c r="AG53" s="178">
        <f>'[9]Statements of Cash Flow'!$C$45</f>
        <v>180000</v>
      </c>
      <c r="AH53" s="178">
        <f>'[10]Statements of Cash Flow'!$C$45-AG53</f>
        <v>0</v>
      </c>
      <c r="AI53" s="179">
        <f>SUM([11]Cashflow!B53:AG53)-SUM(B53:AG53)</f>
        <v>0</v>
      </c>
      <c r="AJ53" s="179"/>
    </row>
    <row r="54" spans="1:209" x14ac:dyDescent="0.15">
      <c r="A54" s="12" t="s">
        <v>124</v>
      </c>
      <c r="B54" s="144">
        <v>-5036</v>
      </c>
      <c r="C54" s="144">
        <v>-29</v>
      </c>
      <c r="D54" s="144">
        <v>-18</v>
      </c>
      <c r="E54" s="144">
        <f t="shared" si="34"/>
        <v>-150126</v>
      </c>
      <c r="F54" s="158">
        <v>-155209</v>
      </c>
      <c r="G54" s="158">
        <v>-10572</v>
      </c>
      <c r="H54" s="158">
        <v>-69018</v>
      </c>
      <c r="I54" s="158">
        <v>-8173</v>
      </c>
      <c r="J54" s="158">
        <f t="shared" si="35"/>
        <v>-10484</v>
      </c>
      <c r="K54" s="158">
        <f>'[1]Statements of Cash Flow'!$C$42</f>
        <v>-98247</v>
      </c>
      <c r="L54" s="179">
        <f t="shared" si="36"/>
        <v>0</v>
      </c>
      <c r="M54" s="178">
        <v>-10201</v>
      </c>
      <c r="N54" s="178">
        <v>-100009</v>
      </c>
      <c r="O54" s="178">
        <v>-10183</v>
      </c>
      <c r="P54" s="178">
        <f t="shared" si="37"/>
        <v>-474</v>
      </c>
      <c r="Q54" s="178">
        <f>'[2]Statements of Cash Flow'!$C$43</f>
        <v>-120867</v>
      </c>
      <c r="R54" s="178">
        <v>-25000</v>
      </c>
      <c r="S54" s="178">
        <v>-74000</v>
      </c>
      <c r="T54" s="178">
        <v>-230000</v>
      </c>
      <c r="U54" s="178">
        <f t="shared" si="38"/>
        <v>-31</v>
      </c>
      <c r="V54" s="178">
        <f>'[3]Statements of Cash Flow'!$C$44</f>
        <v>-329031</v>
      </c>
      <c r="W54" s="178">
        <v>0</v>
      </c>
      <c r="X54" s="178">
        <v>-10000</v>
      </c>
      <c r="Y54" s="178">
        <v>-15000</v>
      </c>
      <c r="Z54" s="178">
        <f t="shared" si="39"/>
        <v>-20000</v>
      </c>
      <c r="AA54" s="178">
        <f>'[4]Statements of Cash Flow'!$C$45</f>
        <v>-45000</v>
      </c>
      <c r="AB54" s="178">
        <f>'[5]Statements of Cash Flow'!$C$45</f>
        <v>-100000</v>
      </c>
      <c r="AC54" s="178">
        <f>'[6]Statements of Cash Flow'!$C$46-AB54</f>
        <v>0</v>
      </c>
      <c r="AD54" s="178">
        <f>'[7]Statements of Cash Flow'!$C$46-SUM(AB54:AC54)</f>
        <v>-10000</v>
      </c>
      <c r="AE54" s="178">
        <f t="shared" si="40"/>
        <v>-20000</v>
      </c>
      <c r="AF54" s="178">
        <f>'[8]Statements of Cash Flow'!$C$45</f>
        <v>-130000</v>
      </c>
      <c r="AG54" s="178">
        <f>'[9]Statements of Cash Flow'!$C$46</f>
        <v>-35000</v>
      </c>
      <c r="AH54" s="178">
        <f>'[10]Statements of Cash Flow'!$C$46-AG54</f>
        <v>-10000</v>
      </c>
      <c r="AI54" s="179">
        <f>SUM([11]Cashflow!B54:AG54)-SUM(B54:AG54)</f>
        <v>0</v>
      </c>
      <c r="AJ54" s="179"/>
    </row>
    <row r="55" spans="1:209" x14ac:dyDescent="0.15">
      <c r="A55" s="12" t="s">
        <v>201</v>
      </c>
      <c r="B55" s="144">
        <v>0</v>
      </c>
      <c r="C55" s="144">
        <v>0</v>
      </c>
      <c r="D55" s="144">
        <v>0</v>
      </c>
      <c r="E55" s="144">
        <v>0</v>
      </c>
      <c r="F55" s="158">
        <v>0</v>
      </c>
      <c r="G55" s="158">
        <v>0</v>
      </c>
      <c r="H55" s="158">
        <v>0</v>
      </c>
      <c r="I55" s="158">
        <v>0</v>
      </c>
      <c r="J55" s="158">
        <v>0</v>
      </c>
      <c r="K55" s="158">
        <v>0</v>
      </c>
      <c r="L55" s="179">
        <v>0</v>
      </c>
      <c r="M55" s="178">
        <v>0</v>
      </c>
      <c r="N55" s="178">
        <v>0</v>
      </c>
      <c r="O55" s="178">
        <v>0</v>
      </c>
      <c r="P55" s="178">
        <v>0</v>
      </c>
      <c r="Q55" s="178">
        <v>0</v>
      </c>
      <c r="R55" s="178">
        <v>0</v>
      </c>
      <c r="S55" s="178">
        <v>0</v>
      </c>
      <c r="T55" s="178">
        <v>0</v>
      </c>
      <c r="U55" s="178">
        <v>0</v>
      </c>
      <c r="V55" s="178">
        <v>0</v>
      </c>
      <c r="W55" s="178">
        <v>0</v>
      </c>
      <c r="X55" s="178">
        <v>0</v>
      </c>
      <c r="Y55" s="178">
        <v>0</v>
      </c>
      <c r="Z55" s="178">
        <v>0</v>
      </c>
      <c r="AA55" s="178">
        <v>0</v>
      </c>
      <c r="AB55" s="178">
        <v>0</v>
      </c>
      <c r="AC55" s="178">
        <f>'[6]Statements of Cash Flow'!$C$47-AB55</f>
        <v>-5000</v>
      </c>
      <c r="AD55" s="178">
        <f>'[7]Statements of Cash Flow'!$C$47-SUM(AB55:AC55)</f>
        <v>0</v>
      </c>
      <c r="AE55" s="178">
        <v>0</v>
      </c>
      <c r="AF55" s="178">
        <f>'[8]Statements of Cash Flow'!$C$48</f>
        <v>-5000</v>
      </c>
      <c r="AG55" s="178">
        <f>'[9]Statements of Cash Flow'!$C$50</f>
        <v>-4000</v>
      </c>
      <c r="AH55" s="178">
        <f>'[10]Statements of Cash Flow'!$C$47-AG55</f>
        <v>0</v>
      </c>
      <c r="AI55" s="179">
        <f>SUM([11]Cashflow!B55:AG55)-SUM(B55:AG55)</f>
        <v>0</v>
      </c>
      <c r="AJ55" s="179"/>
    </row>
    <row r="56" spans="1:209" x14ac:dyDescent="0.15">
      <c r="A56" s="12" t="s">
        <v>130</v>
      </c>
      <c r="B56" s="144"/>
      <c r="C56" s="144"/>
      <c r="D56" s="144"/>
      <c r="E56" s="144">
        <f t="shared" si="34"/>
        <v>149000</v>
      </c>
      <c r="F56" s="158">
        <v>149000</v>
      </c>
      <c r="G56" s="158">
        <v>0</v>
      </c>
      <c r="H56" s="158">
        <v>0</v>
      </c>
      <c r="I56" s="158">
        <v>0</v>
      </c>
      <c r="J56" s="158">
        <f t="shared" si="35"/>
        <v>0</v>
      </c>
      <c r="K56" s="158">
        <v>0</v>
      </c>
      <c r="L56" s="179">
        <f t="shared" si="36"/>
        <v>0</v>
      </c>
      <c r="M56" s="178">
        <v>0</v>
      </c>
      <c r="N56" s="178">
        <v>0</v>
      </c>
      <c r="O56" s="178">
        <v>0</v>
      </c>
      <c r="P56" s="178">
        <f t="shared" si="37"/>
        <v>0</v>
      </c>
      <c r="Q56" s="178">
        <f>'[2]Statements of Cash Flow'!$C$44</f>
        <v>0</v>
      </c>
      <c r="R56" s="178">
        <v>0</v>
      </c>
      <c r="S56" s="178">
        <v>0</v>
      </c>
      <c r="T56" s="178">
        <v>0</v>
      </c>
      <c r="U56" s="178">
        <f t="shared" si="38"/>
        <v>0</v>
      </c>
      <c r="V56" s="178">
        <f>'[3]Statements of Cash Flow'!$C$45</f>
        <v>0</v>
      </c>
      <c r="W56" s="178">
        <v>0</v>
      </c>
      <c r="X56" s="178">
        <v>0</v>
      </c>
      <c r="Y56" s="178">
        <v>0</v>
      </c>
      <c r="Z56" s="178">
        <f t="shared" si="39"/>
        <v>0</v>
      </c>
      <c r="AA56" s="178">
        <f>'[4]Statements of Cash Flow'!$C$46</f>
        <v>0</v>
      </c>
      <c r="AB56" s="178">
        <f>'[5]Statements of Cash Flow'!$C$46</f>
        <v>0</v>
      </c>
      <c r="AC56" s="178">
        <f>'[6]Statements of Cash Flow'!$C$48-AB56</f>
        <v>0</v>
      </c>
      <c r="AD56" s="178">
        <f>'[7]Statements of Cash Flow'!$C$48-SUM(AB56:AC56)</f>
        <v>0</v>
      </c>
      <c r="AE56" s="178">
        <f t="shared" si="40"/>
        <v>0</v>
      </c>
      <c r="AF56" s="178">
        <f>'[8]Statements of Cash Flow'!$C$46</f>
        <v>0</v>
      </c>
      <c r="AG56" s="178"/>
      <c r="AH56" s="178"/>
      <c r="AI56" s="179">
        <f>SUM([11]Cashflow!B56:AG56)-SUM(B56:AG56)</f>
        <v>0</v>
      </c>
    </row>
    <row r="57" spans="1:209" hidden="1" x14ac:dyDescent="0.15">
      <c r="A57" s="12" t="s">
        <v>90</v>
      </c>
      <c r="B57" s="140">
        <v>0</v>
      </c>
      <c r="C57" s="140">
        <v>0</v>
      </c>
      <c r="D57" s="140">
        <v>0</v>
      </c>
      <c r="E57" s="140">
        <f t="shared" si="34"/>
        <v>-762</v>
      </c>
      <c r="F57" s="158">
        <v>-762</v>
      </c>
      <c r="G57" s="158">
        <v>-97</v>
      </c>
      <c r="H57" s="158">
        <v>-20</v>
      </c>
      <c r="I57" s="158">
        <v>0</v>
      </c>
      <c r="J57" s="158">
        <f>+K57-SUM(G57:I57)</f>
        <v>0</v>
      </c>
      <c r="K57" s="158">
        <f>'[1]Statements of Cash Flow'!$C$47</f>
        <v>-117</v>
      </c>
      <c r="L57" s="179">
        <f t="shared" si="36"/>
        <v>0</v>
      </c>
      <c r="M57" s="178">
        <v>0</v>
      </c>
      <c r="N57" s="178">
        <v>0</v>
      </c>
      <c r="O57" s="178">
        <v>0</v>
      </c>
      <c r="P57" s="178">
        <f t="shared" si="37"/>
        <v>0</v>
      </c>
      <c r="Q57" s="178">
        <f>'[2]Statements of Cash Flow'!$C$48</f>
        <v>0</v>
      </c>
      <c r="R57" s="178">
        <v>0</v>
      </c>
      <c r="S57" s="178">
        <v>0</v>
      </c>
      <c r="T57" s="178">
        <v>0</v>
      </c>
      <c r="U57" s="178">
        <f t="shared" si="38"/>
        <v>0</v>
      </c>
      <c r="V57" s="178">
        <f>'[3]Statements of Cash Flow'!$C$49</f>
        <v>0</v>
      </c>
      <c r="W57" s="178">
        <v>0</v>
      </c>
      <c r="X57" s="178">
        <v>0</v>
      </c>
      <c r="Y57" s="178">
        <v>0</v>
      </c>
      <c r="Z57" s="178">
        <f t="shared" si="39"/>
        <v>0</v>
      </c>
      <c r="AA57" s="178">
        <v>0</v>
      </c>
      <c r="AB57" s="178">
        <v>0</v>
      </c>
      <c r="AC57" s="178">
        <v>0</v>
      </c>
      <c r="AD57" s="178">
        <v>0</v>
      </c>
      <c r="AE57" s="178">
        <f t="shared" si="40"/>
        <v>0</v>
      </c>
      <c r="AF57" s="178"/>
      <c r="AG57" s="178"/>
      <c r="AH57" s="178"/>
      <c r="AI57" s="179">
        <f>SUM([11]Cashflow!B57:AG57)-SUM(B57:AG57)</f>
        <v>0</v>
      </c>
    </row>
    <row r="58" spans="1:209" x14ac:dyDescent="0.15">
      <c r="A58" s="12" t="s">
        <v>159</v>
      </c>
      <c r="B58" s="144">
        <v>-42</v>
      </c>
      <c r="C58" s="144">
        <v>-41</v>
      </c>
      <c r="D58" s="144">
        <v>-22</v>
      </c>
      <c r="E58" s="144">
        <f t="shared" si="34"/>
        <v>-47</v>
      </c>
      <c r="F58" s="158">
        <v>-152</v>
      </c>
      <c r="G58" s="158">
        <v>-137</v>
      </c>
      <c r="H58" s="158">
        <v>-70</v>
      </c>
      <c r="I58" s="158">
        <v>-67</v>
      </c>
      <c r="J58" s="158">
        <f t="shared" si="35"/>
        <v>-62</v>
      </c>
      <c r="K58" s="158">
        <f>'[1]Statements of Cash Flow'!$C$40</f>
        <v>-336</v>
      </c>
      <c r="L58" s="179">
        <f t="shared" si="36"/>
        <v>0</v>
      </c>
      <c r="M58" s="178">
        <v>-67</v>
      </c>
      <c r="N58" s="178">
        <v>-57</v>
      </c>
      <c r="O58" s="178">
        <v>-56</v>
      </c>
      <c r="P58" s="178">
        <f t="shared" si="37"/>
        <v>-69</v>
      </c>
      <c r="Q58" s="178">
        <f>'[2]Statements of Cash Flow'!$C$41</f>
        <v>-249</v>
      </c>
      <c r="R58" s="178">
        <v>-57</v>
      </c>
      <c r="S58" s="178">
        <v>-50</v>
      </c>
      <c r="T58" s="178">
        <v>-50</v>
      </c>
      <c r="U58" s="178">
        <f t="shared" si="38"/>
        <v>-44</v>
      </c>
      <c r="V58" s="178">
        <f>'[3]Statements of Cash Flow'!$C$42</f>
        <v>-201</v>
      </c>
      <c r="W58" s="178">
        <v>-39</v>
      </c>
      <c r="X58" s="178">
        <v>-36</v>
      </c>
      <c r="Y58" s="178">
        <v>-33</v>
      </c>
      <c r="Z58" s="178">
        <f t="shared" si="39"/>
        <v>-34</v>
      </c>
      <c r="AA58" s="178">
        <f>'[4]Statements of Cash Flow'!$C$43</f>
        <v>-142</v>
      </c>
      <c r="AB58" s="178">
        <f>'[5]Statements of Cash Flow'!$C$43</f>
        <v>-43</v>
      </c>
      <c r="AC58" s="178">
        <f>'[6]Statements of Cash Flow'!$C$44-AB58</f>
        <v>-37</v>
      </c>
      <c r="AD58" s="178">
        <f>'[7]Statements of Cash Flow'!$C$44-SUM(AB58:AC58)</f>
        <v>-40</v>
      </c>
      <c r="AE58" s="178">
        <f t="shared" si="40"/>
        <v>-49</v>
      </c>
      <c r="AF58" s="178">
        <f>'[8]Statements of Cash Flow'!$C$43</f>
        <v>-169</v>
      </c>
      <c r="AG58" s="178">
        <f>'[9]Statements of Cash Flow'!$C$44</f>
        <v>-60</v>
      </c>
      <c r="AH58" s="178">
        <f>'[10]Statements of Cash Flow'!$C$44-AG58</f>
        <v>-72</v>
      </c>
      <c r="AI58" s="179">
        <f>SUM([11]Cashflow!B58:AG58)-SUM(B58:AG58)</f>
        <v>0</v>
      </c>
      <c r="AJ58" s="179"/>
    </row>
    <row r="59" spans="1:209" x14ac:dyDescent="0.15">
      <c r="A59" s="12" t="s">
        <v>32</v>
      </c>
      <c r="B59" s="144">
        <v>431</v>
      </c>
      <c r="C59" s="144">
        <v>0</v>
      </c>
      <c r="D59" s="144">
        <v>653</v>
      </c>
      <c r="E59" s="144">
        <f t="shared" si="34"/>
        <v>313</v>
      </c>
      <c r="F59" s="158">
        <v>1397</v>
      </c>
      <c r="G59" s="158">
        <v>22</v>
      </c>
      <c r="H59" s="158">
        <v>316</v>
      </c>
      <c r="I59" s="158">
        <v>0</v>
      </c>
      <c r="J59" s="158">
        <f t="shared" si="35"/>
        <v>649</v>
      </c>
      <c r="K59" s="158">
        <f>'[1]Statements of Cash Flow'!$C$49</f>
        <v>987</v>
      </c>
      <c r="L59" s="179">
        <f t="shared" si="36"/>
        <v>0</v>
      </c>
      <c r="M59" s="178">
        <v>921</v>
      </c>
      <c r="N59" s="178">
        <v>39</v>
      </c>
      <c r="O59" s="178">
        <v>85</v>
      </c>
      <c r="P59" s="178">
        <f t="shared" si="37"/>
        <v>456</v>
      </c>
      <c r="Q59" s="178">
        <f>'[2]Statements of Cash Flow'!$C$50</f>
        <v>1501</v>
      </c>
      <c r="R59" s="178">
        <v>75</v>
      </c>
      <c r="S59" s="178">
        <v>99</v>
      </c>
      <c r="T59" s="178">
        <v>536</v>
      </c>
      <c r="U59" s="178">
        <f t="shared" si="38"/>
        <v>0</v>
      </c>
      <c r="V59" s="178">
        <f>'[3]Statements of Cash Flow'!$C$51</f>
        <v>710</v>
      </c>
      <c r="W59" s="178">
        <v>0</v>
      </c>
      <c r="X59" s="178">
        <v>0</v>
      </c>
      <c r="Y59" s="178">
        <v>0</v>
      </c>
      <c r="Z59" s="178">
        <f t="shared" si="39"/>
        <v>0</v>
      </c>
      <c r="AA59" s="178">
        <f>'[4]Statements of Cash Flow'!$C$52</f>
        <v>0</v>
      </c>
      <c r="AB59" s="178">
        <f>'[5]Statements of Cash Flow'!$C$52</f>
        <v>0</v>
      </c>
      <c r="AC59" s="178">
        <f>'[6]Statements of Cash Flow'!$C$54-AB59</f>
        <v>85</v>
      </c>
      <c r="AD59" s="178">
        <f>'[7]Statements of Cash Flow'!$C$54-SUM(AB59:AC59)</f>
        <v>0</v>
      </c>
      <c r="AE59" s="178">
        <f t="shared" si="40"/>
        <v>0</v>
      </c>
      <c r="AF59" s="178">
        <f>'[8]Statements of Cash Flow'!$C$52</f>
        <v>85</v>
      </c>
      <c r="AG59" s="178"/>
      <c r="AH59" s="178">
        <f>'[10]Statements of Cash Flow'!$C$55-AG59</f>
        <v>2474</v>
      </c>
      <c r="AI59" s="179">
        <f>SUM([11]Cashflow!B59:AG59)-SUM(B59:AG59)</f>
        <v>0</v>
      </c>
      <c r="AJ59" s="179"/>
    </row>
    <row r="60" spans="1:209" x14ac:dyDescent="0.15">
      <c r="A60" s="12" t="s">
        <v>182</v>
      </c>
      <c r="B60" s="140">
        <v>0</v>
      </c>
      <c r="C60" s="140">
        <v>0</v>
      </c>
      <c r="D60" s="140">
        <v>0</v>
      </c>
      <c r="E60" s="140">
        <v>0</v>
      </c>
      <c r="F60" s="140">
        <v>0</v>
      </c>
      <c r="G60" s="140">
        <v>0</v>
      </c>
      <c r="H60" s="140">
        <v>0</v>
      </c>
      <c r="I60" s="140">
        <v>0</v>
      </c>
      <c r="J60" s="140">
        <v>0</v>
      </c>
      <c r="K60" s="140">
        <v>0</v>
      </c>
      <c r="L60" s="140">
        <v>0</v>
      </c>
      <c r="M60" s="140">
        <v>0</v>
      </c>
      <c r="N60" s="140">
        <v>0</v>
      </c>
      <c r="O60" s="140">
        <v>0</v>
      </c>
      <c r="P60" s="140">
        <v>0</v>
      </c>
      <c r="Q60" s="140">
        <v>0</v>
      </c>
      <c r="R60" s="140">
        <v>0</v>
      </c>
      <c r="S60" s="140">
        <v>0</v>
      </c>
      <c r="T60" s="140">
        <v>0</v>
      </c>
      <c r="U60" s="140">
        <v>0</v>
      </c>
      <c r="V60" s="140">
        <v>0</v>
      </c>
      <c r="W60" s="140">
        <v>0</v>
      </c>
      <c r="X60" s="140">
        <v>0</v>
      </c>
      <c r="Y60" s="140">
        <v>0</v>
      </c>
      <c r="Z60" s="178">
        <f t="shared" si="39"/>
        <v>1060</v>
      </c>
      <c r="AA60" s="178">
        <f>'[4]Statements of Cash Flow'!$C$53</f>
        <v>1060</v>
      </c>
      <c r="AB60" s="178">
        <f>'[5]Statements of Cash Flow'!$C$53</f>
        <v>1102</v>
      </c>
      <c r="AC60" s="178">
        <f>'[6]Statements of Cash Flow'!$C$55-AB60</f>
        <v>2698</v>
      </c>
      <c r="AD60" s="178">
        <f>'[7]Statements of Cash Flow'!$C$55-SUM(AB60:AC60)</f>
        <v>805</v>
      </c>
      <c r="AE60" s="178">
        <f t="shared" si="40"/>
        <v>876</v>
      </c>
      <c r="AF60" s="178">
        <f>'[8]Statements of Cash Flow'!$C$53</f>
        <v>5481</v>
      </c>
      <c r="AG60" s="178">
        <f>'[9]Statements of Cash Flow'!$C$54</f>
        <v>1514</v>
      </c>
      <c r="AH60" s="178">
        <f>'[10]Statements of Cash Flow'!$C$54-AG60</f>
        <v>-1514</v>
      </c>
      <c r="AI60" s="179">
        <f>SUM([11]Cashflow!B60:AG60)-SUM(B60:AG60)</f>
        <v>0</v>
      </c>
    </row>
    <row r="61" spans="1:209" x14ac:dyDescent="0.15">
      <c r="A61" s="12" t="s">
        <v>33</v>
      </c>
      <c r="B61" s="144">
        <v>-13504</v>
      </c>
      <c r="C61" s="144">
        <v>-9632</v>
      </c>
      <c r="D61" s="144">
        <v>-9657</v>
      </c>
      <c r="E61" s="144">
        <f t="shared" si="34"/>
        <v>-10316</v>
      </c>
      <c r="F61" s="158">
        <v>-43109</v>
      </c>
      <c r="G61" s="158">
        <v>-15408</v>
      </c>
      <c r="H61" s="158">
        <v>-12130</v>
      </c>
      <c r="I61" s="158">
        <v>-8346</v>
      </c>
      <c r="J61" s="158">
        <f t="shared" si="35"/>
        <v>-5480</v>
      </c>
      <c r="K61" s="158">
        <f>'[1]Statements of Cash Flow'!$C$48</f>
        <v>-41364</v>
      </c>
      <c r="L61" s="179">
        <f t="shared" si="36"/>
        <v>0</v>
      </c>
      <c r="M61" s="178">
        <v>-13995</v>
      </c>
      <c r="N61" s="178">
        <v>0</v>
      </c>
      <c r="O61" s="178">
        <v>-24906</v>
      </c>
      <c r="P61" s="178">
        <f>+Q61-SUM(M61:O61)</f>
        <v>-41048</v>
      </c>
      <c r="Q61" s="178">
        <f>'[2]Statements of Cash Flow'!$C$49</f>
        <v>-79949</v>
      </c>
      <c r="R61" s="178">
        <v>-29015</v>
      </c>
      <c r="S61" s="178">
        <v>-28409</v>
      </c>
      <c r="T61" s="178">
        <v>-28196</v>
      </c>
      <c r="U61" s="178">
        <f t="shared" si="38"/>
        <v>-32737</v>
      </c>
      <c r="V61" s="178">
        <f>'[3]Statements of Cash Flow'!$C$50</f>
        <v>-118357</v>
      </c>
      <c r="W61" s="178">
        <v>-31385</v>
      </c>
      <c r="X61" s="178">
        <v>-28806</v>
      </c>
      <c r="Y61" s="178">
        <v>-11521</v>
      </c>
      <c r="Z61" s="178">
        <f t="shared" si="39"/>
        <v>-930</v>
      </c>
      <c r="AA61" s="178">
        <f>'[4]Statements of Cash Flow'!$C$51</f>
        <v>-72642</v>
      </c>
      <c r="AB61" s="178">
        <f>'[5]Statements of Cash Flow'!$C$51</f>
        <v>-42363</v>
      </c>
      <c r="AC61" s="178">
        <f>'[6]Statements of Cash Flow'!$C$53-AB61</f>
        <v>-28275</v>
      </c>
      <c r="AD61" s="178">
        <f>'[7]Statements of Cash Flow'!$C$53-SUM(AB61:AC61)</f>
        <v>-29904</v>
      </c>
      <c r="AE61" s="178">
        <f t="shared" si="40"/>
        <v>-31305</v>
      </c>
      <c r="AF61" s="178">
        <f>'[8]Statements of Cash Flow'!$C$51</f>
        <v>-131847</v>
      </c>
      <c r="AG61" s="178">
        <f>'[9]Statements of Cash Flow'!$C$52</f>
        <v>-152227</v>
      </c>
      <c r="AH61" s="178">
        <f>'[10]Statements of Cash Flow'!$C$53-AG61</f>
        <v>-8420</v>
      </c>
      <c r="AI61" s="179">
        <f>SUM([11]Cashflow!B61:AG61)-SUM(B61:AG61)</f>
        <v>0</v>
      </c>
      <c r="AJ61" s="179"/>
    </row>
    <row r="62" spans="1:209" x14ac:dyDescent="0.15">
      <c r="A62" s="43" t="s">
        <v>210</v>
      </c>
      <c r="B62" s="133">
        <f t="shared" ref="B62:AG62" si="41">SUM(B53:B61)</f>
        <v>-6151</v>
      </c>
      <c r="C62" s="133">
        <f t="shared" si="41"/>
        <v>-9702</v>
      </c>
      <c r="D62" s="133">
        <f t="shared" si="41"/>
        <v>223956</v>
      </c>
      <c r="E62" s="133">
        <f t="shared" si="41"/>
        <v>-10324</v>
      </c>
      <c r="F62" s="133">
        <f t="shared" si="41"/>
        <v>197779</v>
      </c>
      <c r="G62" s="133">
        <f t="shared" si="41"/>
        <v>19808</v>
      </c>
      <c r="H62" s="133">
        <f t="shared" si="41"/>
        <v>-80922</v>
      </c>
      <c r="I62" s="133">
        <f t="shared" si="41"/>
        <v>-16586</v>
      </c>
      <c r="J62" s="133">
        <f t="shared" si="41"/>
        <v>-15377</v>
      </c>
      <c r="K62" s="133">
        <f t="shared" si="41"/>
        <v>-93077</v>
      </c>
      <c r="L62" s="133">
        <f t="shared" si="41"/>
        <v>0</v>
      </c>
      <c r="M62" s="133">
        <f t="shared" si="41"/>
        <v>86658</v>
      </c>
      <c r="N62" s="133">
        <f t="shared" si="41"/>
        <v>-100027</v>
      </c>
      <c r="O62" s="133">
        <f t="shared" si="41"/>
        <v>-35060</v>
      </c>
      <c r="P62" s="133">
        <f t="shared" si="41"/>
        <v>-41135</v>
      </c>
      <c r="Q62" s="133">
        <f t="shared" si="41"/>
        <v>-89564</v>
      </c>
      <c r="R62" s="133">
        <f t="shared" si="41"/>
        <v>-28997</v>
      </c>
      <c r="S62" s="133">
        <f t="shared" si="41"/>
        <v>-102360</v>
      </c>
      <c r="T62" s="133">
        <f t="shared" si="41"/>
        <v>-57710</v>
      </c>
      <c r="U62" s="133">
        <f t="shared" si="41"/>
        <v>42188</v>
      </c>
      <c r="V62" s="133">
        <f t="shared" si="41"/>
        <v>-146879</v>
      </c>
      <c r="W62" s="133">
        <f t="shared" si="41"/>
        <v>3576</v>
      </c>
      <c r="X62" s="133">
        <f t="shared" si="41"/>
        <v>-38842</v>
      </c>
      <c r="Y62" s="133">
        <f t="shared" si="41"/>
        <v>-26554</v>
      </c>
      <c r="Z62" s="133">
        <f t="shared" si="41"/>
        <v>-19904</v>
      </c>
      <c r="AA62" s="133">
        <f t="shared" si="41"/>
        <v>-81724</v>
      </c>
      <c r="AB62" s="133">
        <f t="shared" si="41"/>
        <v>-91304</v>
      </c>
      <c r="AC62" s="133">
        <f t="shared" si="41"/>
        <v>-10529</v>
      </c>
      <c r="AD62" s="133">
        <f t="shared" si="41"/>
        <v>-39139</v>
      </c>
      <c r="AE62" s="133">
        <f t="shared" ref="AE62" si="42">SUM(AE53:AE61)</f>
        <v>-40478</v>
      </c>
      <c r="AF62" s="133">
        <f t="shared" si="41"/>
        <v>-181450</v>
      </c>
      <c r="AG62" s="133">
        <f t="shared" si="41"/>
        <v>-9773</v>
      </c>
      <c r="AH62" s="133">
        <f t="shared" ref="AH62" si="43">SUM(AH53:AH61)</f>
        <v>-17532</v>
      </c>
      <c r="AI62" s="179">
        <f>SUM([11]Cashflow!B62:AG62)-SUM(B62:AG62)</f>
        <v>0</v>
      </c>
      <c r="AJ62" s="179"/>
    </row>
    <row r="63" spans="1:209" x14ac:dyDescent="0.15">
      <c r="A63" s="13"/>
      <c r="F63" s="158"/>
      <c r="G63" s="158"/>
      <c r="H63" s="158"/>
      <c r="I63" s="158"/>
      <c r="J63" s="158"/>
      <c r="K63" s="158"/>
      <c r="L63" s="2"/>
      <c r="M63" s="178"/>
      <c r="N63" s="178"/>
      <c r="O63" s="178"/>
      <c r="P63" s="178"/>
      <c r="Q63" s="178"/>
      <c r="R63" s="178"/>
      <c r="S63" s="178"/>
      <c r="T63" s="178"/>
      <c r="U63" s="178"/>
      <c r="V63" s="178"/>
      <c r="W63" s="178"/>
      <c r="X63" s="178"/>
      <c r="Y63" s="178"/>
      <c r="Z63" s="178"/>
      <c r="AA63" s="178"/>
      <c r="AB63" s="178"/>
      <c r="AC63" s="178"/>
      <c r="AD63" s="178"/>
      <c r="AE63" s="178"/>
      <c r="AF63" s="178"/>
      <c r="AG63" s="178"/>
      <c r="AH63" s="178"/>
      <c r="AI63" s="73"/>
    </row>
    <row r="64" spans="1:209" x14ac:dyDescent="0.15">
      <c r="A64" s="13" t="s">
        <v>194</v>
      </c>
      <c r="B64" s="134">
        <v>-644</v>
      </c>
      <c r="C64" s="134">
        <v>-1938</v>
      </c>
      <c r="D64" s="134">
        <v>-426</v>
      </c>
      <c r="E64" s="140">
        <f>+F64-SUM(B64:D64)</f>
        <v>140</v>
      </c>
      <c r="F64" s="158">
        <v>-2868</v>
      </c>
      <c r="G64" s="158">
        <v>-455</v>
      </c>
      <c r="H64" s="158">
        <v>215</v>
      </c>
      <c r="I64" s="158">
        <v>-1521</v>
      </c>
      <c r="J64" s="140">
        <f>+K64-SUM(G64:I64)</f>
        <v>716</v>
      </c>
      <c r="K64" s="158">
        <f>'[1]Statements of Cash Flow'!$C$51</f>
        <v>-1045</v>
      </c>
      <c r="L64" s="179">
        <f>SUM(G64:J64)-K64</f>
        <v>0</v>
      </c>
      <c r="M64" s="178">
        <v>-2653</v>
      </c>
      <c r="N64" s="178">
        <v>-220</v>
      </c>
      <c r="O64" s="178">
        <v>2893</v>
      </c>
      <c r="P64" s="178">
        <f>+Q64-SUM(M64:O64)</f>
        <v>3362</v>
      </c>
      <c r="Q64" s="178">
        <f>'[2]Statements of Cash Flow'!$C$52</f>
        <v>3382</v>
      </c>
      <c r="R64" s="178">
        <v>-984</v>
      </c>
      <c r="S64" s="178">
        <v>-1253</v>
      </c>
      <c r="T64" s="178">
        <v>-2766</v>
      </c>
      <c r="U64" s="178">
        <f>+V64-SUM(R64:T64)</f>
        <v>56</v>
      </c>
      <c r="V64" s="178">
        <f>'[3]Statements of Cash Flow'!$C$53</f>
        <v>-4947</v>
      </c>
      <c r="W64" s="178">
        <v>-753</v>
      </c>
      <c r="X64" s="178">
        <v>-4612</v>
      </c>
      <c r="Y64" s="178">
        <v>-4261</v>
      </c>
      <c r="Z64" s="178">
        <f>+AA64-SUM(W64:Y64)</f>
        <v>3566</v>
      </c>
      <c r="AA64" s="178">
        <f>'[4]Statements of Cash Flow'!$C$55</f>
        <v>-6060</v>
      </c>
      <c r="AB64" s="178">
        <f>'[5]Statements of Cash Flow'!$C$55</f>
        <v>1282</v>
      </c>
      <c r="AC64" s="178">
        <f>'[6]Statements of Cash Flow'!$C$57-AB64</f>
        <v>242</v>
      </c>
      <c r="AD64" s="178">
        <f>'[7]Statements of Cash Flow'!$C$57-SUM(AB64:AC64)</f>
        <v>-1812</v>
      </c>
      <c r="AE64" s="178">
        <f>+AF64-SUM(AB64:AD64)</f>
        <v>2317</v>
      </c>
      <c r="AF64" s="178">
        <f>'[8]Statements of Cash Flow'!$C$55</f>
        <v>2029</v>
      </c>
      <c r="AG64" s="178">
        <f>'[9]Statements of Cash Flow'!$C$56</f>
        <v>-1212</v>
      </c>
      <c r="AH64" s="178">
        <f>'[10]Statements of Cash Flow'!$C$57-AG64</f>
        <v>-632</v>
      </c>
      <c r="AI64" s="179">
        <f>SUM([11]Cashflow!B64:AG64)-SUM(B64:AG64)</f>
        <v>0</v>
      </c>
      <c r="AJ64" s="179"/>
    </row>
    <row r="65" spans="1:36" x14ac:dyDescent="0.15">
      <c r="A65" s="14" t="s">
        <v>18</v>
      </c>
      <c r="F65" s="158"/>
      <c r="G65" s="158"/>
      <c r="H65" s="158"/>
      <c r="I65" s="158"/>
      <c r="J65" s="158"/>
      <c r="K65" s="158"/>
      <c r="L65" s="2"/>
      <c r="M65" s="178"/>
      <c r="N65" s="178"/>
      <c r="O65" s="178"/>
      <c r="P65" s="178"/>
      <c r="Q65" s="178"/>
      <c r="R65" s="178"/>
      <c r="S65" s="178"/>
      <c r="T65" s="178"/>
      <c r="U65" s="178"/>
      <c r="V65" s="178"/>
      <c r="W65" s="178"/>
      <c r="X65" s="178"/>
      <c r="Y65" s="178"/>
      <c r="Z65" s="178"/>
      <c r="AA65" s="178"/>
      <c r="AB65" s="178"/>
      <c r="AC65" s="178"/>
      <c r="AD65" s="178"/>
      <c r="AE65" s="178"/>
      <c r="AF65" s="178"/>
      <c r="AG65" s="178"/>
      <c r="AH65" s="178"/>
      <c r="AI65" s="179">
        <f>SUM([11]Cashflow!B65:AG65)-SUM(B65:AG65)</f>
        <v>0</v>
      </c>
    </row>
    <row r="66" spans="1:36" x14ac:dyDescent="0.15">
      <c r="A66" s="10" t="s">
        <v>197</v>
      </c>
      <c r="B66" s="135">
        <f t="shared" ref="B66:K66" si="44">B62+B50+B40+B64</f>
        <v>-17812</v>
      </c>
      <c r="C66" s="135">
        <f t="shared" si="44"/>
        <v>13527</v>
      </c>
      <c r="D66" s="135">
        <f t="shared" si="44"/>
        <v>15822</v>
      </c>
      <c r="E66" s="135">
        <f t="shared" si="44"/>
        <v>-1682.5240648213221</v>
      </c>
      <c r="F66" s="135">
        <f t="shared" si="44"/>
        <v>9854.4759351786925</v>
      </c>
      <c r="G66" s="135">
        <f t="shared" si="44"/>
        <v>-9504.5240648213221</v>
      </c>
      <c r="H66" s="135">
        <f t="shared" si="44"/>
        <v>-3179.9016086385891</v>
      </c>
      <c r="I66" s="135">
        <f t="shared" si="44"/>
        <v>17837.828320000001</v>
      </c>
      <c r="J66" s="135">
        <f t="shared" si="44"/>
        <v>17759.597353459918</v>
      </c>
      <c r="K66" s="135">
        <f t="shared" si="44"/>
        <v>22913</v>
      </c>
      <c r="L66" s="2"/>
      <c r="M66" s="185">
        <f t="shared" ref="M66:AD66" si="45">M62+M50+M40+M64</f>
        <v>106490</v>
      </c>
      <c r="N66" s="185">
        <f t="shared" si="45"/>
        <v>-62759</v>
      </c>
      <c r="O66" s="185">
        <f t="shared" si="45"/>
        <v>45237</v>
      </c>
      <c r="P66" s="185">
        <f t="shared" si="45"/>
        <v>9507</v>
      </c>
      <c r="Q66" s="185">
        <f t="shared" si="45"/>
        <v>98475</v>
      </c>
      <c r="R66" s="185">
        <f t="shared" si="45"/>
        <v>-40805</v>
      </c>
      <c r="S66" s="185">
        <f t="shared" si="45"/>
        <v>-27178</v>
      </c>
      <c r="T66" s="185">
        <f t="shared" si="45"/>
        <v>-33843</v>
      </c>
      <c r="U66" s="185">
        <f t="shared" si="45"/>
        <v>20117</v>
      </c>
      <c r="V66" s="185">
        <f t="shared" si="45"/>
        <v>-81709</v>
      </c>
      <c r="W66" s="185">
        <f t="shared" si="45"/>
        <v>-28741</v>
      </c>
      <c r="X66" s="185">
        <f t="shared" si="45"/>
        <v>131</v>
      </c>
      <c r="Y66" s="185">
        <f t="shared" si="45"/>
        <v>-16929</v>
      </c>
      <c r="Z66" s="185">
        <f t="shared" si="45"/>
        <v>27350</v>
      </c>
      <c r="AA66" s="185">
        <f t="shared" si="45"/>
        <v>-18189</v>
      </c>
      <c r="AB66" s="185">
        <f t="shared" si="45"/>
        <v>-30656</v>
      </c>
      <c r="AC66" s="185">
        <f t="shared" si="45"/>
        <v>5695</v>
      </c>
      <c r="AD66" s="185">
        <f t="shared" si="45"/>
        <v>27299</v>
      </c>
      <c r="AE66" s="185">
        <f t="shared" ref="AE66" si="46">AE62+AE50+AE40+AE64</f>
        <v>17442</v>
      </c>
      <c r="AF66" s="185">
        <f t="shared" ref="AF66:AG66" si="47">AF62+AF50+AF40+AF64</f>
        <v>19780</v>
      </c>
      <c r="AG66" s="185">
        <f t="shared" si="47"/>
        <v>-28169</v>
      </c>
      <c r="AH66" s="185">
        <f t="shared" ref="AH66" si="48">AH62+AH50+AH40+AH64</f>
        <v>8805</v>
      </c>
      <c r="AI66" s="179">
        <f>SUM([11]Cashflow!B66:AG66)-SUM(B66:AG66)</f>
        <v>0</v>
      </c>
      <c r="AJ66" s="179"/>
    </row>
    <row r="67" spans="1:36" x14ac:dyDescent="0.15">
      <c r="A67" s="21" t="s">
        <v>196</v>
      </c>
      <c r="B67" s="136">
        <v>94277</v>
      </c>
      <c r="C67" s="136">
        <f>B68</f>
        <v>76465</v>
      </c>
      <c r="D67" s="136">
        <f>C68</f>
        <v>89992</v>
      </c>
      <c r="E67" s="136">
        <f>D68</f>
        <v>105814</v>
      </c>
      <c r="F67" s="136">
        <v>94277</v>
      </c>
      <c r="G67" s="136">
        <f>E68</f>
        <v>104131.47593517868</v>
      </c>
      <c r="H67" s="136">
        <f>G68</f>
        <v>94626.951870357356</v>
      </c>
      <c r="I67" s="136">
        <f t="shared" ref="I67:AG67" si="49">H68</f>
        <v>91447.050261718774</v>
      </c>
      <c r="J67" s="136">
        <f t="shared" si="49"/>
        <v>109284.87858171877</v>
      </c>
      <c r="K67" s="136">
        <f>F68</f>
        <v>104131.47593517869</v>
      </c>
      <c r="L67" s="136">
        <f t="shared" si="49"/>
        <v>127044.47593517869</v>
      </c>
      <c r="M67" s="136">
        <f t="shared" si="49"/>
        <v>127044.47593517869</v>
      </c>
      <c r="N67" s="136">
        <f t="shared" si="49"/>
        <v>233534.47593517869</v>
      </c>
      <c r="O67" s="136">
        <f t="shared" si="49"/>
        <v>170775.47593517869</v>
      </c>
      <c r="P67" s="136">
        <f t="shared" si="49"/>
        <v>216012.47593517869</v>
      </c>
      <c r="Q67" s="136">
        <f>K68</f>
        <v>127044.47593517869</v>
      </c>
      <c r="R67" s="136">
        <f t="shared" si="49"/>
        <v>225519.47593517869</v>
      </c>
      <c r="S67" s="136">
        <f t="shared" si="49"/>
        <v>184714.47593517869</v>
      </c>
      <c r="T67" s="136">
        <f t="shared" si="49"/>
        <v>157536.47593517869</v>
      </c>
      <c r="U67" s="136">
        <f t="shared" si="49"/>
        <v>123693.47593517869</v>
      </c>
      <c r="V67" s="136">
        <f>Q68</f>
        <v>225519.47593517869</v>
      </c>
      <c r="W67" s="136">
        <f t="shared" si="49"/>
        <v>143810.47593517869</v>
      </c>
      <c r="X67" s="136">
        <f t="shared" si="49"/>
        <v>115069.47593517869</v>
      </c>
      <c r="Y67" s="136">
        <f t="shared" si="49"/>
        <v>115200.47593517869</v>
      </c>
      <c r="Z67" s="136">
        <f t="shared" si="49"/>
        <v>98271.475935178692</v>
      </c>
      <c r="AA67" s="136">
        <f>V68</f>
        <v>143810.47593517869</v>
      </c>
      <c r="AB67" s="136">
        <f t="shared" si="49"/>
        <v>125621.47593517869</v>
      </c>
      <c r="AC67" s="136">
        <f t="shared" si="49"/>
        <v>94965.475935178692</v>
      </c>
      <c r="AD67" s="136">
        <f t="shared" si="49"/>
        <v>100660.47593517869</v>
      </c>
      <c r="AE67" s="136">
        <f t="shared" si="49"/>
        <v>127959.47593517869</v>
      </c>
      <c r="AF67" s="136">
        <f>AA68</f>
        <v>125621.47593517869</v>
      </c>
      <c r="AG67" s="136">
        <f t="shared" si="49"/>
        <v>145401.47593517869</v>
      </c>
      <c r="AH67" s="136">
        <f>AG68</f>
        <v>117232.47593517869</v>
      </c>
      <c r="AI67" s="179">
        <f>SUM([11]Cashflow!B67:AG67)-SUM(B67:AG67)</f>
        <v>0</v>
      </c>
      <c r="AJ67" s="179"/>
    </row>
    <row r="68" spans="1:36" x14ac:dyDescent="0.15">
      <c r="A68" s="43" t="s">
        <v>195</v>
      </c>
      <c r="B68" s="133">
        <f>SUM(B66:B67)</f>
        <v>76465</v>
      </c>
      <c r="C68" s="133">
        <f t="shared" ref="C68:AD68" si="50">SUM(C66:C67)</f>
        <v>89992</v>
      </c>
      <c r="D68" s="133">
        <f t="shared" si="50"/>
        <v>105814</v>
      </c>
      <c r="E68" s="133">
        <f t="shared" si="50"/>
        <v>104131.47593517868</v>
      </c>
      <c r="F68" s="133">
        <f t="shared" si="50"/>
        <v>104131.47593517869</v>
      </c>
      <c r="G68" s="133">
        <f t="shared" si="50"/>
        <v>94626.951870357356</v>
      </c>
      <c r="H68" s="133">
        <f t="shared" si="50"/>
        <v>91447.050261718774</v>
      </c>
      <c r="I68" s="133">
        <f t="shared" si="50"/>
        <v>109284.87858171877</v>
      </c>
      <c r="J68" s="133">
        <f t="shared" si="50"/>
        <v>127044.47593517869</v>
      </c>
      <c r="K68" s="133">
        <f t="shared" si="50"/>
        <v>127044.47593517869</v>
      </c>
      <c r="L68" s="133">
        <f t="shared" si="50"/>
        <v>127044.47593517869</v>
      </c>
      <c r="M68" s="133">
        <f t="shared" si="50"/>
        <v>233534.47593517869</v>
      </c>
      <c r="N68" s="133">
        <f t="shared" si="50"/>
        <v>170775.47593517869</v>
      </c>
      <c r="O68" s="133">
        <f t="shared" si="50"/>
        <v>216012.47593517869</v>
      </c>
      <c r="P68" s="133">
        <f t="shared" si="50"/>
        <v>225519.47593517869</v>
      </c>
      <c r="Q68" s="133">
        <f t="shared" si="50"/>
        <v>225519.47593517869</v>
      </c>
      <c r="R68" s="133">
        <f t="shared" si="50"/>
        <v>184714.47593517869</v>
      </c>
      <c r="S68" s="133">
        <f t="shared" si="50"/>
        <v>157536.47593517869</v>
      </c>
      <c r="T68" s="133">
        <f t="shared" si="50"/>
        <v>123693.47593517869</v>
      </c>
      <c r="U68" s="133">
        <f t="shared" si="50"/>
        <v>143810.47593517869</v>
      </c>
      <c r="V68" s="133">
        <f t="shared" si="50"/>
        <v>143810.47593517869</v>
      </c>
      <c r="W68" s="133">
        <f t="shared" si="50"/>
        <v>115069.47593517869</v>
      </c>
      <c r="X68" s="133">
        <f t="shared" si="50"/>
        <v>115200.47593517869</v>
      </c>
      <c r="Y68" s="133">
        <f t="shared" si="50"/>
        <v>98271.475935178692</v>
      </c>
      <c r="Z68" s="133">
        <f t="shared" si="50"/>
        <v>125621.47593517869</v>
      </c>
      <c r="AA68" s="133">
        <f t="shared" si="50"/>
        <v>125621.47593517869</v>
      </c>
      <c r="AB68" s="133">
        <f t="shared" si="50"/>
        <v>94965.475935178692</v>
      </c>
      <c r="AC68" s="133">
        <f t="shared" si="50"/>
        <v>100660.47593517869</v>
      </c>
      <c r="AD68" s="133">
        <f t="shared" si="50"/>
        <v>127959.47593517869</v>
      </c>
      <c r="AE68" s="133">
        <f t="shared" ref="AE68" si="51">SUM(AE66:AE67)</f>
        <v>145401.47593517869</v>
      </c>
      <c r="AF68" s="133">
        <f t="shared" ref="AF68:AG68" si="52">SUM(AF66:AF67)</f>
        <v>145401.47593517869</v>
      </c>
      <c r="AG68" s="133">
        <f t="shared" si="52"/>
        <v>117232.47593517869</v>
      </c>
      <c r="AH68" s="133">
        <f t="shared" ref="AH68" si="53">SUM(AH66:AH67)</f>
        <v>126037.47593517869</v>
      </c>
      <c r="AI68" s="179">
        <f>SUM([11]Cashflow!B68:AG68)-SUM(B68:AG68)</f>
        <v>0</v>
      </c>
      <c r="AJ68" s="235"/>
    </row>
    <row r="69" spans="1:36" x14ac:dyDescent="0.15">
      <c r="A69" s="13"/>
      <c r="F69" s="131"/>
      <c r="G69" s="131"/>
      <c r="H69" s="131"/>
      <c r="I69" s="174"/>
      <c r="J69" s="174"/>
      <c r="K69" s="174"/>
      <c r="L69" s="2"/>
      <c r="M69" s="174"/>
      <c r="N69" s="174"/>
      <c r="O69" s="174"/>
      <c r="P69" s="174"/>
      <c r="Q69" s="174"/>
      <c r="R69" s="174"/>
      <c r="S69" s="174"/>
      <c r="T69" s="174"/>
      <c r="U69" s="174"/>
      <c r="V69" s="174"/>
      <c r="W69" s="174"/>
      <c r="X69" s="174"/>
      <c r="Y69" s="174"/>
      <c r="Z69" s="174"/>
      <c r="AA69" s="174"/>
      <c r="AB69" s="174"/>
      <c r="AC69" s="174"/>
      <c r="AD69" s="174"/>
      <c r="AE69" s="174"/>
      <c r="AF69" s="174"/>
      <c r="AG69" s="174"/>
      <c r="AH69" s="174"/>
    </row>
    <row r="70" spans="1:36" x14ac:dyDescent="0.15">
      <c r="F70" s="131"/>
      <c r="G70" s="131"/>
      <c r="H70" s="131"/>
      <c r="I70" s="174"/>
      <c r="J70" s="174"/>
      <c r="K70" s="174"/>
      <c r="L70" s="2"/>
      <c r="M70" s="174"/>
      <c r="N70" s="174"/>
      <c r="O70" s="174"/>
      <c r="P70" s="174"/>
      <c r="Q70" s="174"/>
      <c r="R70" s="174"/>
      <c r="S70" s="174"/>
      <c r="T70" s="174"/>
      <c r="U70" s="174"/>
      <c r="V70" s="174"/>
      <c r="W70" s="174"/>
      <c r="X70" s="174"/>
      <c r="Y70" s="174"/>
      <c r="Z70" s="174"/>
      <c r="AA70" s="174"/>
      <c r="AB70" s="174"/>
      <c r="AC70" s="174"/>
      <c r="AD70" s="174"/>
      <c r="AE70" s="174"/>
      <c r="AF70" s="174"/>
      <c r="AG70" s="174"/>
      <c r="AH70" s="174"/>
    </row>
    <row r="71" spans="1:36" hidden="1" x14ac:dyDescent="0.15">
      <c r="A71" s="2" t="s">
        <v>152</v>
      </c>
      <c r="F71" s="131"/>
      <c r="G71" s="131"/>
      <c r="H71" s="131"/>
      <c r="I71" s="174"/>
      <c r="J71" s="174"/>
      <c r="K71" s="174"/>
      <c r="L71" s="2"/>
      <c r="M71" s="174"/>
      <c r="N71" s="174"/>
      <c r="O71" s="174"/>
      <c r="P71" s="174"/>
      <c r="Q71" s="174"/>
      <c r="R71" s="174"/>
      <c r="S71" s="174"/>
      <c r="T71" s="174"/>
      <c r="U71" s="174"/>
      <c r="V71" s="174"/>
      <c r="W71" s="174"/>
      <c r="X71" s="174"/>
      <c r="Y71" s="174"/>
      <c r="Z71" s="174"/>
      <c r="AA71" s="174"/>
      <c r="AB71" s="174"/>
      <c r="AC71" s="174"/>
      <c r="AD71" s="174"/>
      <c r="AE71" s="174"/>
      <c r="AF71" s="174"/>
      <c r="AG71" s="174"/>
      <c r="AH71" s="174"/>
    </row>
    <row r="72" spans="1:36" x14ac:dyDescent="0.15">
      <c r="B72" s="144">
        <f>SUM('Balance Sheet'!C8,'Balance Sheet'!C10,'Balance Sheet'!C17)</f>
        <v>72682</v>
      </c>
      <c r="C72" s="144">
        <f>SUM('Balance Sheet'!D8,'Balance Sheet'!D10,'Balance Sheet'!D17)</f>
        <v>86347</v>
      </c>
      <c r="D72" s="144">
        <f>SUM('Balance Sheet'!E8,'Balance Sheet'!E10,'Balance Sheet'!E17)</f>
        <v>102315</v>
      </c>
      <c r="E72" s="144">
        <f>SUM('Balance Sheet'!F8,'Balance Sheet'!F10,'Balance Sheet'!F17)</f>
        <v>101489</v>
      </c>
      <c r="F72" s="144">
        <f>SUM('Balance Sheet'!F8,'Balance Sheet'!F10,'Balance Sheet'!F17)</f>
        <v>101489</v>
      </c>
      <c r="G72" s="144">
        <f>SUM('Balance Sheet'!G8,'Balance Sheet'!G10,'Balance Sheet'!G17)</f>
        <v>92052</v>
      </c>
      <c r="H72" s="144">
        <f>SUM('Balance Sheet'!H8,'Balance Sheet'!H10,'Balance Sheet'!H17)</f>
        <v>88940</v>
      </c>
      <c r="I72" s="175">
        <f>SUM('Balance Sheet'!I8,'Balance Sheet'!I10,'Balance Sheet'!I17)</f>
        <v>106844</v>
      </c>
      <c r="J72" s="175">
        <f>SUM('Balance Sheet'!J8,'Balance Sheet'!J10,'Balance Sheet'!J17)</f>
        <v>124618</v>
      </c>
      <c r="K72" s="175">
        <f>SUM('Balance Sheet'!J8,'Balance Sheet'!J10,'Balance Sheet'!J17)</f>
        <v>124618</v>
      </c>
      <c r="M72" s="140">
        <f>SUM('Balance Sheet'!K8,'Balance Sheet'!K10,'Balance Sheet'!K17)</f>
        <v>231243</v>
      </c>
      <c r="N72" s="140">
        <f>SUM('Balance Sheet'!L8,'Balance Sheet'!L10,'Balance Sheet'!L17)</f>
        <v>168477</v>
      </c>
      <c r="O72" s="140">
        <f>SUM('Balance Sheet'!M8,'Balance Sheet'!M10,'Balance Sheet'!M17)</f>
        <v>213735</v>
      </c>
      <c r="P72" s="140">
        <f>SUM('Balance Sheet'!N8,'Balance Sheet'!N10,'Balance Sheet'!N17)</f>
        <v>223220</v>
      </c>
      <c r="Q72" s="140">
        <f>SUM('Balance Sheet'!N8,'Balance Sheet'!N10,'Balance Sheet'!N17)</f>
        <v>223220</v>
      </c>
      <c r="R72" s="140">
        <f>SUM('Balance Sheet'!O8,'Balance Sheet'!O10,'Balance Sheet'!O17)</f>
        <v>182416</v>
      </c>
      <c r="S72" s="140">
        <f>SUM('Balance Sheet'!P8,'Balance Sheet'!P10,'Balance Sheet'!P17)</f>
        <v>155276</v>
      </c>
      <c r="T72" s="140">
        <f>SUM('Balance Sheet'!Q8,'Balance Sheet'!Q10,'Balance Sheet'!Q17)</f>
        <v>121391</v>
      </c>
      <c r="U72" s="140">
        <f>SUM('Balance Sheet'!R8,'Balance Sheet'!R10,'Balance Sheet'!R17)</f>
        <v>141511</v>
      </c>
      <c r="V72" s="140">
        <f>SUM('Balance Sheet'!R8,'Balance Sheet'!R10,'Balance Sheet'!R17)</f>
        <v>141511</v>
      </c>
      <c r="W72" s="140">
        <f>SUM('Balance Sheet'!S8,'Balance Sheet'!S10,'Balance Sheet'!S17)</f>
        <v>112814</v>
      </c>
      <c r="X72" s="140">
        <f>SUM('Balance Sheet'!T8,'Balance Sheet'!T10,'Balance Sheet'!T17)</f>
        <v>113144</v>
      </c>
      <c r="Y72" s="140">
        <f>SUM('Balance Sheet'!U8,'Balance Sheet'!U10,'Balance Sheet'!U17)</f>
        <v>96275</v>
      </c>
      <c r="Z72" s="140">
        <f>SUM('Balance Sheet'!V8,'Balance Sheet'!V10,'Balance Sheet'!V17)</f>
        <v>123566</v>
      </c>
      <c r="AA72" s="140">
        <f>SUM('Balance Sheet'!V8,'Balance Sheet'!V10,'Balance Sheet'!V17)</f>
        <v>123566</v>
      </c>
      <c r="AB72" s="140">
        <f>SUM('Balance Sheet'!W8,'Balance Sheet'!W10,'Balance Sheet'!W17)</f>
        <v>92896</v>
      </c>
      <c r="AC72" s="140">
        <f>SUM('Balance Sheet'!X8,'Balance Sheet'!X10,'Balance Sheet'!X17)</f>
        <v>98588</v>
      </c>
      <c r="AD72" s="140">
        <f>SUM('Balance Sheet'!Y8,'Balance Sheet'!Y10,'Balance Sheet'!Y17)</f>
        <v>125912</v>
      </c>
      <c r="AE72" s="140">
        <f>SUM('Balance Sheet'!Z8,'Balance Sheet'!Z10,'Balance Sheet'!Z17)</f>
        <v>141015</v>
      </c>
      <c r="AF72" s="140">
        <f>SUM('Balance Sheet'!Z8,'Balance Sheet'!Z10,'Balance Sheet'!Z17)</f>
        <v>141015</v>
      </c>
      <c r="AG72" s="140">
        <f>SUM('Balance Sheet'!AA8,'Balance Sheet'!AA10,'Balance Sheet'!AA17)</f>
        <v>112856</v>
      </c>
      <c r="AH72" s="140">
        <f>SUM('Balance Sheet'!AB8,'Balance Sheet'!AB10,'Balance Sheet'!AB17)</f>
        <v>121654</v>
      </c>
    </row>
    <row r="73" spans="1:36" x14ac:dyDescent="0.15">
      <c r="B73" s="141">
        <f t="shared" ref="B73:K73" si="54">B68-B72</f>
        <v>3783</v>
      </c>
      <c r="C73" s="141">
        <f t="shared" si="54"/>
        <v>3645</v>
      </c>
      <c r="D73" s="141">
        <f t="shared" si="54"/>
        <v>3499</v>
      </c>
      <c r="E73" s="141">
        <f t="shared" si="54"/>
        <v>2642.4759351786779</v>
      </c>
      <c r="F73" s="141">
        <f t="shared" si="54"/>
        <v>2642.4759351786925</v>
      </c>
      <c r="G73" s="141">
        <f t="shared" si="54"/>
        <v>2574.9518703573558</v>
      </c>
      <c r="H73" s="141">
        <f t="shared" si="54"/>
        <v>2507.050261718774</v>
      </c>
      <c r="I73" s="76">
        <f t="shared" si="54"/>
        <v>2440.8785817187745</v>
      </c>
      <c r="J73" s="76">
        <f t="shared" si="54"/>
        <v>2426.4759351786925</v>
      </c>
      <c r="K73" s="76">
        <f t="shared" si="54"/>
        <v>2426.4759351786925</v>
      </c>
      <c r="L73" s="24"/>
      <c r="M73" s="154">
        <f t="shared" ref="M73:S73" si="55">M68-M72</f>
        <v>2291.4759351786925</v>
      </c>
      <c r="N73" s="154">
        <f t="shared" si="55"/>
        <v>2298.4759351786925</v>
      </c>
      <c r="O73" s="154">
        <f t="shared" si="55"/>
        <v>2277.4759351786925</v>
      </c>
      <c r="P73" s="154">
        <f t="shared" si="55"/>
        <v>2299.4759351786925</v>
      </c>
      <c r="Q73" s="154">
        <f t="shared" si="55"/>
        <v>2299.4759351786925</v>
      </c>
      <c r="R73" s="154">
        <f t="shared" si="55"/>
        <v>2298.4759351786925</v>
      </c>
      <c r="S73" s="154">
        <f t="shared" si="55"/>
        <v>2260.4759351786925</v>
      </c>
      <c r="T73" s="154">
        <f t="shared" ref="T73:W73" si="56">T68-T72</f>
        <v>2302.4759351786925</v>
      </c>
      <c r="U73" s="154">
        <f t="shared" si="56"/>
        <v>2299.4759351786925</v>
      </c>
      <c r="V73" s="154">
        <f t="shared" si="56"/>
        <v>2299.4759351786925</v>
      </c>
      <c r="W73" s="154">
        <f t="shared" si="56"/>
        <v>2255.4759351786925</v>
      </c>
      <c r="X73" s="154">
        <f t="shared" ref="X73:AA73" si="57">X68-X72</f>
        <v>2056.4759351786925</v>
      </c>
      <c r="Y73" s="154">
        <f t="shared" si="57"/>
        <v>1996.4759351786925</v>
      </c>
      <c r="Z73" s="154">
        <f t="shared" si="57"/>
        <v>2055.4759351786925</v>
      </c>
      <c r="AA73" s="154">
        <f t="shared" si="57"/>
        <v>2055.4759351786925</v>
      </c>
      <c r="AB73" s="154">
        <f t="shared" ref="AB73:AD73" si="58">AB68-AB72</f>
        <v>2069.4759351786925</v>
      </c>
      <c r="AC73" s="154">
        <f t="shared" si="58"/>
        <v>2072.4759351786925</v>
      </c>
      <c r="AD73" s="154">
        <f t="shared" si="58"/>
        <v>2047.4759351786925</v>
      </c>
      <c r="AE73" s="154">
        <f t="shared" ref="AE73:AF73" si="59">AE68-AE72</f>
        <v>4386.4759351786925</v>
      </c>
      <c r="AF73" s="154">
        <f t="shared" si="59"/>
        <v>4386.4759351786925</v>
      </c>
      <c r="AG73" s="154">
        <f t="shared" ref="AG73:AH73" si="60">AG68-AG72</f>
        <v>4376.4759351786925</v>
      </c>
      <c r="AH73" s="154">
        <f t="shared" si="60"/>
        <v>4383.4759351786925</v>
      </c>
    </row>
  </sheetData>
  <phoneticPr fontId="16" type="noConversion"/>
  <pageMargins left="0.25" right="0.25" top="0.75" bottom="0.75" header="0.3" footer="0.3"/>
  <pageSetup paperSize="9" scale="64" orientation="landscape" r:id="rId1"/>
  <rowBreaks count="2" manualBreakCount="2">
    <brk id="50" max="34" man="1"/>
    <brk id="70" max="34" man="1"/>
  </rowBreaks>
  <ignoredErrors>
    <ignoredError sqref="E23 E12 E64 J30 J45 J56 J61 J58:J59 J53:J54"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549D8-0B00-4E6D-A4C6-1336A806F235}">
  <sheetPr>
    <tabColor rgb="FF92D050"/>
    <pageSetUpPr fitToPage="1"/>
  </sheetPr>
  <dimension ref="A1:HA73"/>
  <sheetViews>
    <sheetView showGridLines="0" view="pageBreakPreview" zoomScale="90" zoomScaleNormal="90" zoomScaleSheetLayoutView="90" workbookViewId="0">
      <pane xSplit="1" ySplit="5" topLeftCell="Q53" activePane="bottomRight" state="frozen"/>
      <selection activeCell="AE38" sqref="AE38"/>
      <selection pane="topRight" activeCell="AE38" sqref="AE38"/>
      <selection pane="bottomLeft" activeCell="AE38" sqref="AE38"/>
      <selection pane="bottomRight" activeCell="AH68" sqref="AH68"/>
    </sheetView>
  </sheetViews>
  <sheetFormatPr baseColWidth="10" defaultColWidth="9.1640625" defaultRowHeight="13" outlineLevelCol="1" x14ac:dyDescent="0.15"/>
  <cols>
    <col min="1" max="1" width="72.5" style="2" customWidth="1"/>
    <col min="2" max="5" width="13" style="131" hidden="1" customWidth="1" outlineLevel="1"/>
    <col min="6" max="6" width="10.6640625" style="21" customWidth="1" collapsed="1"/>
    <col min="7" max="7" width="10.6640625" style="21" hidden="1" customWidth="1" outlineLevel="1"/>
    <col min="8" max="10" width="11.5" style="21" hidden="1" customWidth="1" outlineLevel="1"/>
    <col min="11" max="11" width="11" style="21" customWidth="1" collapsed="1"/>
    <col min="12" max="12" width="11" style="21" hidden="1" customWidth="1"/>
    <col min="13" max="16" width="11" style="21" hidden="1" customWidth="1" outlineLevel="1"/>
    <col min="17" max="17" width="11" style="21" customWidth="1" collapsed="1"/>
    <col min="18" max="21" width="11" style="21" hidden="1" customWidth="1" outlineLevel="1"/>
    <col min="22" max="22" width="11" style="21" customWidth="1" collapsed="1"/>
    <col min="23" max="23" width="11" style="21" hidden="1" customWidth="1" outlineLevel="1"/>
    <col min="24" max="24" width="10" style="2" hidden="1" customWidth="1" outlineLevel="1"/>
    <col min="25" max="26" width="11.6640625" style="2" hidden="1" customWidth="1" outlineLevel="1"/>
    <col min="27" max="27" width="11.6640625" style="2" bestFit="1" customWidth="1" collapsed="1"/>
    <col min="28" max="30" width="11.6640625" style="2" bestFit="1" customWidth="1"/>
    <col min="31" max="31" width="11.6640625" style="2" customWidth="1"/>
    <col min="32" max="34" width="11.6640625" style="2" bestFit="1" customWidth="1"/>
    <col min="35" max="35" width="11.1640625" style="2" hidden="1" customWidth="1" outlineLevel="1"/>
    <col min="36" max="36" width="11.6640625" style="2" customWidth="1" collapsed="1"/>
    <col min="37" max="16384" width="9.1640625" style="2"/>
  </cols>
  <sheetData>
    <row r="1" spans="1:66" x14ac:dyDescent="0.15">
      <c r="A1" s="8"/>
      <c r="AI1" s="226"/>
      <c r="AJ1" s="226"/>
      <c r="AK1" s="250" t="s">
        <v>184</v>
      </c>
    </row>
    <row r="2" spans="1:66" x14ac:dyDescent="0.15">
      <c r="A2" s="9"/>
    </row>
    <row r="3" spans="1:66" ht="28.5" customHeight="1" x14ac:dyDescent="0.15">
      <c r="B3" s="205"/>
    </row>
    <row r="4" spans="1:66" x14ac:dyDescent="0.15">
      <c r="A4" s="7" t="s">
        <v>34</v>
      </c>
      <c r="B4" s="3">
        <v>2018</v>
      </c>
      <c r="C4" s="3">
        <v>2018</v>
      </c>
      <c r="D4" s="3">
        <v>2018</v>
      </c>
      <c r="E4" s="3">
        <v>2018</v>
      </c>
      <c r="F4" s="4">
        <v>2018</v>
      </c>
      <c r="G4" s="4">
        <v>2019</v>
      </c>
      <c r="H4" s="4">
        <v>2019</v>
      </c>
      <c r="I4" s="4">
        <v>2019</v>
      </c>
      <c r="J4" s="4">
        <v>2019</v>
      </c>
      <c r="K4" s="4">
        <v>2019</v>
      </c>
      <c r="M4" s="4">
        <v>2020</v>
      </c>
      <c r="N4" s="4">
        <v>2020</v>
      </c>
      <c r="O4" s="4">
        <v>2020</v>
      </c>
      <c r="P4" s="4">
        <v>2020</v>
      </c>
      <c r="Q4" s="4">
        <v>2020</v>
      </c>
      <c r="R4" s="4">
        <v>2021</v>
      </c>
      <c r="S4" s="4">
        <v>2021</v>
      </c>
      <c r="T4" s="4">
        <v>2021</v>
      </c>
      <c r="U4" s="4">
        <v>2021</v>
      </c>
      <c r="V4" s="4">
        <v>2021</v>
      </c>
      <c r="W4" s="4">
        <v>2022</v>
      </c>
      <c r="X4" s="4">
        <v>2022</v>
      </c>
      <c r="Y4" s="4">
        <v>2022</v>
      </c>
      <c r="Z4" s="4">
        <v>2022</v>
      </c>
      <c r="AA4" s="4">
        <v>2022</v>
      </c>
      <c r="AB4" s="4">
        <v>2023</v>
      </c>
      <c r="AC4" s="4">
        <v>2023</v>
      </c>
      <c r="AD4" s="4">
        <v>2023</v>
      </c>
      <c r="AE4" s="4">
        <v>2023</v>
      </c>
      <c r="AF4" s="4">
        <v>2023</v>
      </c>
      <c r="AG4" s="4">
        <v>2024</v>
      </c>
      <c r="AH4" s="4">
        <v>2024</v>
      </c>
    </row>
    <row r="5" spans="1:66" x14ac:dyDescent="0.15">
      <c r="A5" s="22" t="s">
        <v>47</v>
      </c>
      <c r="B5" s="3" t="s">
        <v>105</v>
      </c>
      <c r="C5" s="3" t="s">
        <v>106</v>
      </c>
      <c r="D5" s="3" t="s">
        <v>107</v>
      </c>
      <c r="E5" s="3" t="s">
        <v>110</v>
      </c>
      <c r="F5" s="4" t="s">
        <v>10</v>
      </c>
      <c r="G5" s="3" t="s">
        <v>105</v>
      </c>
      <c r="H5" s="3" t="s">
        <v>106</v>
      </c>
      <c r="I5" s="4" t="s">
        <v>107</v>
      </c>
      <c r="J5" s="4" t="s">
        <v>110</v>
      </c>
      <c r="K5" s="4" t="s">
        <v>10</v>
      </c>
      <c r="M5" s="3" t="s">
        <v>105</v>
      </c>
      <c r="N5" s="3" t="s">
        <v>106</v>
      </c>
      <c r="O5" s="3" t="s">
        <v>107</v>
      </c>
      <c r="P5" s="3" t="s">
        <v>110</v>
      </c>
      <c r="Q5" s="3" t="s">
        <v>10</v>
      </c>
      <c r="R5" s="3" t="s">
        <v>105</v>
      </c>
      <c r="S5" s="3" t="s">
        <v>106</v>
      </c>
      <c r="T5" s="3" t="s">
        <v>107</v>
      </c>
      <c r="U5" s="3" t="s">
        <v>110</v>
      </c>
      <c r="V5" s="3" t="s">
        <v>10</v>
      </c>
      <c r="W5" s="3" t="s">
        <v>6</v>
      </c>
      <c r="X5" s="3" t="s">
        <v>7</v>
      </c>
      <c r="Y5" s="3" t="s">
        <v>8</v>
      </c>
      <c r="Z5" s="3" t="s">
        <v>110</v>
      </c>
      <c r="AA5" s="3" t="s">
        <v>10</v>
      </c>
      <c r="AB5" s="3" t="s">
        <v>6</v>
      </c>
      <c r="AC5" s="3" t="s">
        <v>7</v>
      </c>
      <c r="AD5" s="3" t="s">
        <v>8</v>
      </c>
      <c r="AE5" s="3" t="s">
        <v>9</v>
      </c>
      <c r="AF5" s="3" t="s">
        <v>10</v>
      </c>
      <c r="AG5" s="3" t="s">
        <v>6</v>
      </c>
      <c r="AH5" s="3" t="s">
        <v>7</v>
      </c>
      <c r="AI5" s="237" t="s">
        <v>170</v>
      </c>
    </row>
    <row r="6" spans="1:66" s="1" customFormat="1" x14ac:dyDescent="0.15">
      <c r="B6" s="110"/>
      <c r="C6" s="110"/>
      <c r="D6" s="110"/>
      <c r="E6" s="110"/>
      <c r="F6" s="10"/>
      <c r="G6" s="10"/>
      <c r="H6" s="10"/>
      <c r="I6" s="10"/>
      <c r="J6" s="10"/>
      <c r="K6" s="10"/>
      <c r="M6" s="10"/>
      <c r="N6" s="10"/>
      <c r="O6" s="10"/>
      <c r="P6" s="10"/>
      <c r="Q6" s="10"/>
      <c r="R6" s="10"/>
      <c r="S6" s="10"/>
      <c r="T6" s="10"/>
      <c r="U6" s="10"/>
      <c r="V6" s="10"/>
      <c r="W6" s="10"/>
    </row>
    <row r="7" spans="1:66" x14ac:dyDescent="0.15">
      <c r="A7" s="10" t="s">
        <v>71</v>
      </c>
      <c r="AI7" s="73"/>
    </row>
    <row r="8" spans="1:66" x14ac:dyDescent="0.15">
      <c r="A8" s="11" t="s">
        <v>29</v>
      </c>
      <c r="B8" s="132">
        <v>23158</v>
      </c>
      <c r="C8" s="132">
        <v>14462</v>
      </c>
      <c r="D8" s="132">
        <v>15249</v>
      </c>
      <c r="E8" s="132">
        <f>+F8-SUM(B8:D8)</f>
        <v>3857</v>
      </c>
      <c r="F8" s="159">
        <v>56726</v>
      </c>
      <c r="G8" s="159">
        <v>14695</v>
      </c>
      <c r="H8" s="184">
        <v>12564</v>
      </c>
      <c r="I8" s="159">
        <v>19044</v>
      </c>
      <c r="J8" s="132">
        <f>+K8-SUM(G8:I8)</f>
        <v>21356</v>
      </c>
      <c r="K8" s="159">
        <f>'[1]Statements of Cash Flow'!$C$7</f>
        <v>67659</v>
      </c>
      <c r="L8" s="179">
        <f>SUM(G8:J8)-K8</f>
        <v>0</v>
      </c>
      <c r="M8" s="184">
        <v>22411</v>
      </c>
      <c r="N8" s="184">
        <v>8429</v>
      </c>
      <c r="O8" s="184">
        <v>26418</v>
      </c>
      <c r="P8" s="184">
        <f>+Q8-SUM(M8:O8)</f>
        <v>32218</v>
      </c>
      <c r="Q8" s="184">
        <f>ROUND('[2]Statements of Cash Flow'!$C$7,0)</f>
        <v>89476</v>
      </c>
      <c r="R8" s="184">
        <v>31931</v>
      </c>
      <c r="S8" s="184">
        <v>28021</v>
      </c>
      <c r="T8" s="184">
        <v>26507</v>
      </c>
      <c r="U8" s="184">
        <f>+V8-SUM(R8:T8)</f>
        <v>28299</v>
      </c>
      <c r="V8" s="184">
        <f>ROUND('[3]Statements of Cash Flow'!$C$7,0)</f>
        <v>114758</v>
      </c>
      <c r="W8" s="184">
        <v>36178</v>
      </c>
      <c r="X8" s="184">
        <v>35846</v>
      </c>
      <c r="Y8" s="184">
        <v>39095</v>
      </c>
      <c r="Z8" s="184">
        <f>+AA8-SUM(W8:Y8)</f>
        <v>31849</v>
      </c>
      <c r="AA8" s="184">
        <f>'[4]Statements of Cash Flow'!$C$7</f>
        <v>142968</v>
      </c>
      <c r="AB8" s="184">
        <f>'[5]Statements of Cash Flow'!$C$7</f>
        <v>51331</v>
      </c>
      <c r="AC8" s="184">
        <f>'[6]Statements of Cash Flow'!$C$7-AB8</f>
        <v>49068</v>
      </c>
      <c r="AD8" s="184">
        <f>'[7]Statements of Cash Flow'!$C$7-SUM(AB8:AC8)</f>
        <v>43876</v>
      </c>
      <c r="AE8" s="184">
        <f>+AF8-SUM(AB8:AD8)</f>
        <v>40283</v>
      </c>
      <c r="AF8" s="184">
        <f>'[8]Statements of Cash Flow'!$C$7</f>
        <v>184558</v>
      </c>
      <c r="AG8" s="184">
        <f>'[9]Statements of Cash Flow'!$C$7</f>
        <v>48763</v>
      </c>
      <c r="AH8" s="184">
        <f>'[10]Statements of Cash Flow'!$C$7-AG8</f>
        <v>45825</v>
      </c>
      <c r="AI8" s="179">
        <f>SUM([11]Cashflow!B8:AG8)-SUM(B8:AG8)</f>
        <v>0</v>
      </c>
      <c r="AL8" s="73"/>
    </row>
    <row r="9" spans="1:66" x14ac:dyDescent="0.15">
      <c r="A9" s="30" t="s">
        <v>40</v>
      </c>
      <c r="F9" s="157"/>
      <c r="G9" s="157"/>
      <c r="H9" s="52"/>
      <c r="I9" s="157"/>
      <c r="J9" s="157"/>
      <c r="K9" s="157"/>
      <c r="L9" s="2"/>
      <c r="M9" s="52"/>
      <c r="N9" s="52"/>
      <c r="O9" s="52"/>
      <c r="P9" s="52"/>
      <c r="Q9" s="52"/>
      <c r="R9" s="52"/>
      <c r="S9" s="52"/>
      <c r="T9" s="52"/>
      <c r="U9" s="52"/>
      <c r="V9" s="52"/>
      <c r="W9" s="52"/>
      <c r="X9" s="52"/>
      <c r="Y9" s="52"/>
      <c r="Z9" s="52"/>
      <c r="AA9" s="52"/>
      <c r="AB9" s="52"/>
      <c r="AC9" s="52"/>
      <c r="AD9" s="52"/>
      <c r="AE9" s="52"/>
      <c r="AF9" s="52"/>
      <c r="AG9" s="52"/>
      <c r="AH9" s="52"/>
      <c r="AI9" s="179"/>
      <c r="AL9" s="73"/>
    </row>
    <row r="10" spans="1:66" x14ac:dyDescent="0.15">
      <c r="A10" s="30" t="s">
        <v>140</v>
      </c>
      <c r="B10" s="142">
        <v>10655</v>
      </c>
      <c r="C10" s="142">
        <v>10625</v>
      </c>
      <c r="D10" s="142">
        <v>14065</v>
      </c>
      <c r="E10" s="142">
        <f t="shared" ref="E10:E26" si="0">+F10-SUM(B10:D10)</f>
        <v>13374</v>
      </c>
      <c r="F10" s="158">
        <v>48719</v>
      </c>
      <c r="G10" s="158">
        <v>13724</v>
      </c>
      <c r="H10" s="178">
        <v>12808</v>
      </c>
      <c r="I10" s="158">
        <v>13101</v>
      </c>
      <c r="J10" s="158">
        <f t="shared" ref="J10:J25" si="1">+K10-SUM(G10:I10)</f>
        <v>12560</v>
      </c>
      <c r="K10" s="158">
        <f>'[1]Statements of Cash Flow'!$C$9</f>
        <v>52193</v>
      </c>
      <c r="L10" s="179">
        <f t="shared" ref="L10:L27" si="2">SUM(G10:J10)-K10</f>
        <v>0</v>
      </c>
      <c r="M10" s="178">
        <v>12472</v>
      </c>
      <c r="N10" s="178">
        <v>12334</v>
      </c>
      <c r="O10" s="178">
        <v>12443</v>
      </c>
      <c r="P10" s="178">
        <f t="shared" ref="P10:P27" si="3">+Q10-SUM(M10:O10)</f>
        <v>13264</v>
      </c>
      <c r="Q10" s="178">
        <f>ROUND('[2]Statements of Cash Flow'!$C$9,0)</f>
        <v>50513</v>
      </c>
      <c r="R10" s="178">
        <v>12266</v>
      </c>
      <c r="S10" s="178">
        <v>12468</v>
      </c>
      <c r="T10" s="178">
        <v>12425</v>
      </c>
      <c r="U10" s="178">
        <f t="shared" ref="U10:U11" si="4">+V10-SUM(R10:T10)</f>
        <v>12497</v>
      </c>
      <c r="V10" s="178">
        <f>ROUND('[3]Statements of Cash Flow'!$C$9,0)</f>
        <v>49656</v>
      </c>
      <c r="W10" s="178">
        <v>13669</v>
      </c>
      <c r="X10" s="178">
        <v>14070</v>
      </c>
      <c r="Y10" s="178">
        <v>14254</v>
      </c>
      <c r="Z10" s="178">
        <f t="shared" ref="Z10:Z15" si="5">+AA10-SUM(W10:Y10)</f>
        <v>14109</v>
      </c>
      <c r="AA10" s="178">
        <f>'[4]Statements of Cash Flow'!$C$9</f>
        <v>56102</v>
      </c>
      <c r="AB10" s="178">
        <f>'[5]Statements of Cash Flow'!$C$9</f>
        <v>13408</v>
      </c>
      <c r="AC10" s="178">
        <f>'[6]Statements of Cash Flow'!$C$9-AB10</f>
        <v>13056</v>
      </c>
      <c r="AD10" s="178">
        <f>'[7]Statements of Cash Flow'!$C$9-SUM(AB10:AC10)</f>
        <v>11546</v>
      </c>
      <c r="AE10" s="178">
        <f t="shared" ref="AE10:AE15" si="6">+AF10-SUM(AB10:AD10)</f>
        <v>12270</v>
      </c>
      <c r="AF10" s="178">
        <f>'[8]Statements of Cash Flow'!$C$9</f>
        <v>50280</v>
      </c>
      <c r="AG10" s="178">
        <f>'[9]Statements of Cash Flow'!$C$9</f>
        <v>12337</v>
      </c>
      <c r="AH10" s="178">
        <f>'[10]Statements of Cash Flow'!$C$9-AG10</f>
        <v>12893</v>
      </c>
      <c r="AI10" s="179">
        <f>SUM([11]Cashflow!B10:AG10)-SUM(B10:AG10)</f>
        <v>0</v>
      </c>
      <c r="AL10" s="73"/>
    </row>
    <row r="11" spans="1:66" s="21" customFormat="1" hidden="1" x14ac:dyDescent="0.15">
      <c r="A11" s="30" t="s">
        <v>30</v>
      </c>
      <c r="B11" s="76"/>
      <c r="C11" s="154"/>
      <c r="D11" s="154"/>
      <c r="E11" s="154"/>
      <c r="F11" s="24"/>
      <c r="G11" s="24"/>
      <c r="H11" s="26"/>
      <c r="I11" s="24"/>
      <c r="J11" s="24"/>
      <c r="K11" s="26"/>
      <c r="L11" s="179">
        <f t="shared" si="2"/>
        <v>0</v>
      </c>
      <c r="M11" s="26">
        <f>ROUND('[35]Cash Flow_SEC Format'!$H$8/1000,0)*0</f>
        <v>0</v>
      </c>
      <c r="N11" s="26">
        <f>0*ROUND('[36]Cash Flow_SEC Format'!$G$8/1000,0)-M11</f>
        <v>0</v>
      </c>
      <c r="O11" s="26">
        <f>0*ROUND('[37]Cash Flow_SEC Format'!$G$8/1000,0)-SUM(M11:N11)</f>
        <v>0</v>
      </c>
      <c r="P11" s="26">
        <f t="shared" si="3"/>
        <v>0</v>
      </c>
      <c r="Q11" s="26">
        <f>ROUND('[38]Cash Flow_SEC Format'!$G$8/1000,0)*0</f>
        <v>0</v>
      </c>
      <c r="R11" s="26">
        <f>ROUND('[39]Cash Flow_SEC Format'!$H$8/1000,0)*0</f>
        <v>0</v>
      </c>
      <c r="S11" s="26">
        <f>0*ROUND('[40]Cash Flow_SEC Format'!$G$8/1000,0)-R11</f>
        <v>0</v>
      </c>
      <c r="T11" s="26">
        <v>0</v>
      </c>
      <c r="U11" s="178">
        <f t="shared" si="4"/>
        <v>0</v>
      </c>
      <c r="V11" s="26">
        <v>0</v>
      </c>
      <c r="W11" s="26">
        <v>0</v>
      </c>
      <c r="X11" s="26">
        <v>0</v>
      </c>
      <c r="Y11" s="26">
        <v>0</v>
      </c>
      <c r="Z11" s="178">
        <f t="shared" si="5"/>
        <v>0</v>
      </c>
      <c r="AA11" s="26"/>
      <c r="AB11" s="26"/>
      <c r="AC11" s="26"/>
      <c r="AD11" s="26"/>
      <c r="AE11" s="178">
        <f t="shared" si="6"/>
        <v>0</v>
      </c>
      <c r="AF11" s="26"/>
      <c r="AG11" s="26"/>
      <c r="AH11" s="26"/>
      <c r="AI11" s="179">
        <f>SUM([41]Cashflow!K13:AC13)-SUM(K12:AC12)</f>
        <v>273138</v>
      </c>
      <c r="AJ11" s="2"/>
      <c r="AL11" s="73"/>
      <c r="AT11" s="2"/>
      <c r="AU11" s="2"/>
      <c r="AV11" s="2"/>
      <c r="AW11" s="2"/>
      <c r="AX11" s="2"/>
      <c r="AY11" s="2"/>
      <c r="AZ11" s="2"/>
      <c r="BA11" s="2"/>
      <c r="BB11" s="2"/>
      <c r="BC11" s="2"/>
      <c r="BD11" s="2"/>
      <c r="BE11" s="2"/>
      <c r="BF11" s="2"/>
      <c r="BG11" s="2"/>
      <c r="BH11" s="2"/>
      <c r="BI11" s="2"/>
      <c r="BJ11" s="2"/>
      <c r="BK11" s="2"/>
      <c r="BL11" s="2"/>
      <c r="BM11" s="2"/>
      <c r="BN11" s="2"/>
    </row>
    <row r="12" spans="1:66" s="21" customFormat="1" x14ac:dyDescent="0.15">
      <c r="A12" s="30" t="s">
        <v>186</v>
      </c>
      <c r="B12" s="154">
        <v>0</v>
      </c>
      <c r="C12" s="154">
        <v>0</v>
      </c>
      <c r="D12" s="154">
        <v>0</v>
      </c>
      <c r="E12" s="154">
        <f t="shared" si="0"/>
        <v>600.47593517868052</v>
      </c>
      <c r="F12" s="24">
        <v>600.47593517868052</v>
      </c>
      <c r="G12" s="24">
        <v>600.47593517868052</v>
      </c>
      <c r="H12" s="26">
        <f>ROUND('[42]Cash Flow_SEC Format'!$G$19/1000,0)-G12</f>
        <v>617.52406482131948</v>
      </c>
      <c r="I12" s="24">
        <v>618</v>
      </c>
      <c r="J12" s="24">
        <f t="shared" si="1"/>
        <v>636</v>
      </c>
      <c r="K12" s="26">
        <f>ROUND('[43]Cash Flow_SEC Format'!$G$19/1000,0)+1</f>
        <v>2472</v>
      </c>
      <c r="L12" s="179">
        <f t="shared" si="2"/>
        <v>0</v>
      </c>
      <c r="M12" s="26">
        <f>ROUND('[35]Cash Flow_SEC Format'!$H$19/1000,0)</f>
        <v>635</v>
      </c>
      <c r="N12" s="26">
        <f>ROUND('[36]Cash Flow_SEC Format'!$G$19/1000,0)-M12</f>
        <v>654</v>
      </c>
      <c r="O12" s="26">
        <f>ROUND('[37]Cash Flow_SEC Format'!$G$19/1000,0)-SUM(M12:N12)</f>
        <v>654</v>
      </c>
      <c r="P12" s="26">
        <f t="shared" si="3"/>
        <v>673</v>
      </c>
      <c r="Q12" s="26">
        <f>ROUND('[38]Cash Flow_SEC Format'!$G$19/1000,0)</f>
        <v>2616</v>
      </c>
      <c r="R12" s="26">
        <f>ROUND('[39]Cash Flow_SEC Format'!$H$19/1000,0)</f>
        <v>673</v>
      </c>
      <c r="S12" s="26">
        <f>ROUND('[40]Cash Flow_SEC Format'!$G$19/1000,0)-R12</f>
        <v>691</v>
      </c>
      <c r="T12" s="178">
        <v>431</v>
      </c>
      <c r="U12" s="178">
        <f t="shared" ref="U12:U15" si="7">+V12-SUM(R12:T12)</f>
        <v>0</v>
      </c>
      <c r="V12" s="178">
        <f>ROUND('[3]Statements of Cash Flow'!$C$18,0)</f>
        <v>1795</v>
      </c>
      <c r="W12" s="178">
        <v>0</v>
      </c>
      <c r="X12" s="178">
        <v>0</v>
      </c>
      <c r="Y12" s="178">
        <v>0</v>
      </c>
      <c r="Z12" s="178">
        <f t="shared" si="5"/>
        <v>0</v>
      </c>
      <c r="AA12" s="178">
        <f>'[4]Statements of Cash Flow'!$C$19</f>
        <v>0</v>
      </c>
      <c r="AB12" s="178">
        <f>'[5]Statements of Cash Flow'!$C$19</f>
        <v>0</v>
      </c>
      <c r="AC12" s="178">
        <f>'[6]Statements of Cash Flow'!$C$19-AB12</f>
        <v>0</v>
      </c>
      <c r="AD12" s="178">
        <f>'[7]Statements of Cash Flow'!$C$19-SUM(AB12:AC12)</f>
        <v>0</v>
      </c>
      <c r="AE12" s="178">
        <f t="shared" si="6"/>
        <v>0</v>
      </c>
      <c r="AF12" s="178">
        <f>'[8]Statements of Cash Flow'!$C$19</f>
        <v>0</v>
      </c>
      <c r="AG12" s="178">
        <f>'[9]Statements of Cash Flow'!$C$19</f>
        <v>0</v>
      </c>
      <c r="AH12" s="178">
        <f>'[10]Statements of Cash Flow'!$C$19</f>
        <v>0</v>
      </c>
      <c r="AI12" s="179">
        <f>SUM([11]Cashflow!B12:AG12)-SUM(B12:AG12)</f>
        <v>0</v>
      </c>
      <c r="AJ12" s="2"/>
      <c r="AL12" s="73"/>
      <c r="AT12" s="2"/>
      <c r="AU12" s="2"/>
      <c r="AV12" s="2"/>
      <c r="AW12" s="2"/>
      <c r="AX12" s="2"/>
      <c r="AY12" s="2"/>
      <c r="AZ12" s="2"/>
      <c r="BA12" s="2"/>
      <c r="BB12" s="2"/>
      <c r="BC12" s="2"/>
      <c r="BD12" s="2"/>
      <c r="BE12" s="2"/>
      <c r="BF12" s="2"/>
      <c r="BG12" s="2"/>
      <c r="BH12" s="2"/>
      <c r="BI12" s="2"/>
      <c r="BJ12" s="2"/>
      <c r="BK12" s="2"/>
      <c r="BL12" s="2"/>
      <c r="BM12" s="2"/>
      <c r="BN12" s="2"/>
    </row>
    <row r="13" spans="1:66" s="21" customFormat="1" x14ac:dyDescent="0.15">
      <c r="A13" s="30" t="s">
        <v>192</v>
      </c>
      <c r="B13" s="76">
        <v>5074</v>
      </c>
      <c r="C13" s="154">
        <v>6892</v>
      </c>
      <c r="D13" s="154">
        <v>5345</v>
      </c>
      <c r="E13" s="154">
        <f t="shared" si="0"/>
        <v>6590</v>
      </c>
      <c r="F13" s="158">
        <v>23901</v>
      </c>
      <c r="G13" s="158">
        <v>6956</v>
      </c>
      <c r="H13" s="178">
        <v>7155</v>
      </c>
      <c r="I13" s="158">
        <v>7427</v>
      </c>
      <c r="J13" s="158">
        <f t="shared" si="1"/>
        <v>4532</v>
      </c>
      <c r="K13" s="158">
        <f>'[1]Statements of Cash Flow'!$C$10</f>
        <v>26070</v>
      </c>
      <c r="L13" s="179">
        <f t="shared" si="2"/>
        <v>0</v>
      </c>
      <c r="M13" s="178">
        <v>4778</v>
      </c>
      <c r="N13" s="178">
        <v>7726</v>
      </c>
      <c r="O13" s="178">
        <v>8346</v>
      </c>
      <c r="P13" s="178">
        <f t="shared" si="3"/>
        <v>7385</v>
      </c>
      <c r="Q13" s="178">
        <f>'[2]Statements of Cash Flow'!$C$10</f>
        <v>28235</v>
      </c>
      <c r="R13" s="178">
        <v>7832</v>
      </c>
      <c r="S13" s="178">
        <v>10070</v>
      </c>
      <c r="T13" s="178">
        <v>10894</v>
      </c>
      <c r="U13" s="178">
        <f t="shared" si="7"/>
        <v>9825</v>
      </c>
      <c r="V13" s="178">
        <f>'[3]Statements of Cash Flow'!$C$10</f>
        <v>38621</v>
      </c>
      <c r="W13" s="178">
        <v>11224</v>
      </c>
      <c r="X13" s="178">
        <v>13340</v>
      </c>
      <c r="Y13" s="178">
        <v>12186</v>
      </c>
      <c r="Z13" s="178">
        <f t="shared" si="5"/>
        <v>12616</v>
      </c>
      <c r="AA13" s="178">
        <f>'[4]Statements of Cash Flow'!$C$10</f>
        <v>49366</v>
      </c>
      <c r="AB13" s="178">
        <f>'[5]Statements of Cash Flow'!$C$10</f>
        <v>14407</v>
      </c>
      <c r="AC13" s="178">
        <f>'[6]Statements of Cash Flow'!$C$10-AB13</f>
        <v>11511</v>
      </c>
      <c r="AD13" s="178">
        <f>'[7]Statements of Cash Flow'!$C$10-SUM(AB13:AC13)</f>
        <v>17067</v>
      </c>
      <c r="AE13" s="178">
        <f t="shared" si="6"/>
        <v>15452</v>
      </c>
      <c r="AF13" s="178">
        <f>'[8]Statements of Cash Flow'!$C$10</f>
        <v>58437</v>
      </c>
      <c r="AG13" s="178">
        <f>'[9]Statements of Cash Flow'!$C$10</f>
        <v>17852</v>
      </c>
      <c r="AH13" s="178">
        <f>'[10]Statements of Cash Flow'!$C$10-AG13</f>
        <v>18095</v>
      </c>
      <c r="AI13" s="179">
        <f>SUM([11]Cashflow!B13:AG13)-SUM(B13:AG13)</f>
        <v>0</v>
      </c>
      <c r="AJ13" s="2"/>
      <c r="AL13" s="73"/>
      <c r="AT13" s="2"/>
      <c r="AU13" s="2"/>
      <c r="AV13" s="2"/>
      <c r="AW13" s="2"/>
      <c r="AX13" s="2"/>
      <c r="AY13" s="2"/>
      <c r="AZ13" s="2"/>
      <c r="BA13" s="2"/>
      <c r="BB13" s="2"/>
      <c r="BC13" s="2"/>
      <c r="BD13" s="2"/>
      <c r="BE13" s="2"/>
      <c r="BF13" s="2"/>
      <c r="BG13" s="2"/>
      <c r="BH13" s="2"/>
      <c r="BI13" s="2"/>
      <c r="BJ13" s="2"/>
      <c r="BK13" s="2"/>
      <c r="BL13" s="2"/>
      <c r="BM13" s="2"/>
      <c r="BN13" s="2"/>
    </row>
    <row r="14" spans="1:66" s="21" customFormat="1" x14ac:dyDescent="0.15">
      <c r="A14" s="30" t="s">
        <v>161</v>
      </c>
      <c r="B14" s="76"/>
      <c r="C14" s="154"/>
      <c r="D14" s="154"/>
      <c r="E14" s="154"/>
      <c r="F14" s="158">
        <v>0</v>
      </c>
      <c r="G14" s="158">
        <v>0</v>
      </c>
      <c r="H14" s="178">
        <v>0</v>
      </c>
      <c r="I14" s="158">
        <v>0</v>
      </c>
      <c r="J14" s="158">
        <v>0</v>
      </c>
      <c r="K14" s="158">
        <v>0</v>
      </c>
      <c r="L14" s="179">
        <v>0</v>
      </c>
      <c r="M14" s="178">
        <v>0</v>
      </c>
      <c r="N14" s="178">
        <v>0</v>
      </c>
      <c r="O14" s="178">
        <v>0</v>
      </c>
      <c r="P14" s="178">
        <v>0</v>
      </c>
      <c r="Q14" s="178">
        <v>0</v>
      </c>
      <c r="R14" s="178">
        <v>0</v>
      </c>
      <c r="S14" s="178">
        <v>0</v>
      </c>
      <c r="T14" s="178">
        <v>12845</v>
      </c>
      <c r="U14" s="178">
        <f t="shared" si="7"/>
        <v>0</v>
      </c>
      <c r="V14" s="178">
        <f>ROUND('[3]Statements of Cash Flow'!$C$16,0)</f>
        <v>12845</v>
      </c>
      <c r="W14" s="178">
        <v>0</v>
      </c>
      <c r="X14" s="178">
        <v>0</v>
      </c>
      <c r="Y14" s="178">
        <v>0</v>
      </c>
      <c r="Z14" s="178">
        <f t="shared" si="5"/>
        <v>0</v>
      </c>
      <c r="AA14" s="178">
        <v>0</v>
      </c>
      <c r="AB14" s="178">
        <v>0</v>
      </c>
      <c r="AC14" s="178">
        <v>0</v>
      </c>
      <c r="AD14" s="178">
        <v>0</v>
      </c>
      <c r="AE14" s="178">
        <f t="shared" si="6"/>
        <v>0</v>
      </c>
      <c r="AF14" s="178">
        <v>0</v>
      </c>
      <c r="AG14" s="178">
        <v>0</v>
      </c>
      <c r="AH14" s="178">
        <v>0</v>
      </c>
      <c r="AI14" s="179">
        <f>SUM([11]Cashflow!B14:AG14)-SUM(B14:AG14)</f>
        <v>0</v>
      </c>
      <c r="AJ14" s="2"/>
      <c r="AL14" s="73"/>
      <c r="AT14" s="2"/>
      <c r="AU14" s="2"/>
      <c r="AV14" s="2"/>
      <c r="AW14" s="2"/>
      <c r="AX14" s="2"/>
      <c r="AY14" s="2"/>
      <c r="AZ14" s="2"/>
      <c r="BA14" s="2"/>
      <c r="BB14" s="2"/>
      <c r="BC14" s="2"/>
      <c r="BD14" s="2"/>
      <c r="BE14" s="2"/>
      <c r="BF14" s="2"/>
      <c r="BG14" s="2"/>
      <c r="BH14" s="2"/>
      <c r="BI14" s="2"/>
      <c r="BJ14" s="2"/>
      <c r="BK14" s="2"/>
      <c r="BL14" s="2"/>
      <c r="BM14" s="2"/>
      <c r="BN14" s="2"/>
    </row>
    <row r="15" spans="1:66" s="21" customFormat="1" x14ac:dyDescent="0.15">
      <c r="A15" s="30" t="s">
        <v>158</v>
      </c>
      <c r="B15" s="140">
        <v>56</v>
      </c>
      <c r="C15" s="140">
        <v>58</v>
      </c>
      <c r="D15" s="140">
        <v>62</v>
      </c>
      <c r="E15" s="140">
        <f t="shared" si="0"/>
        <v>71</v>
      </c>
      <c r="F15" s="24">
        <v>247</v>
      </c>
      <c r="G15" s="24">
        <v>67</v>
      </c>
      <c r="H15" s="26">
        <v>62</v>
      </c>
      <c r="I15" s="24">
        <v>69</v>
      </c>
      <c r="J15" s="24">
        <f t="shared" si="1"/>
        <v>71</v>
      </c>
      <c r="K15" s="24">
        <f>'[1]Statements of Cash Flow'!$C$16</f>
        <v>269</v>
      </c>
      <c r="L15" s="179">
        <f t="shared" si="2"/>
        <v>0</v>
      </c>
      <c r="M15" s="26">
        <v>55</v>
      </c>
      <c r="N15" s="26">
        <v>66</v>
      </c>
      <c r="O15" s="26">
        <v>72</v>
      </c>
      <c r="P15" s="26">
        <f t="shared" si="3"/>
        <v>34</v>
      </c>
      <c r="Q15" s="26">
        <f>'[2]Statements of Cash Flow'!$C$16</f>
        <v>227</v>
      </c>
      <c r="R15" s="26">
        <v>36</v>
      </c>
      <c r="S15" s="26">
        <v>-8</v>
      </c>
      <c r="T15" s="26">
        <v>-28</v>
      </c>
      <c r="U15" s="26">
        <f t="shared" si="7"/>
        <v>-47</v>
      </c>
      <c r="V15" s="26">
        <f>'[3]Statements of Cash Flow'!$C$17</f>
        <v>-47</v>
      </c>
      <c r="W15" s="26">
        <v>-114</v>
      </c>
      <c r="X15" s="26">
        <v>-143</v>
      </c>
      <c r="Y15" s="26">
        <f>ROUND('[44]Cash Flow_SEC Format'!$I$19/1000,0)-SUM(W15:X15)</f>
        <v>-109</v>
      </c>
      <c r="Z15" s="26">
        <f t="shared" si="5"/>
        <v>-68</v>
      </c>
      <c r="AA15" s="26">
        <f>ROUND('[45]Cash Flow_SEC Format'!$I$19/1000,0)</f>
        <v>-434</v>
      </c>
      <c r="AB15" s="26">
        <f>ROUND('[46]Cash Flow_SEC Format'!$I$19/1000,0)</f>
        <v>-66</v>
      </c>
      <c r="AC15" s="26">
        <f>ROUND('[47]Cash Flow_SEC Format'!$I$19/1000,0)-AB15</f>
        <v>-66</v>
      </c>
      <c r="AD15" s="26">
        <f>ROUND('[48]Cash Flow_SEC Format'!$I$19/1000,0)-SUM(AB15:AC15)</f>
        <v>-25</v>
      </c>
      <c r="AE15" s="26">
        <f t="shared" si="6"/>
        <v>4</v>
      </c>
      <c r="AF15" s="26">
        <f>ROUND('[49]Cash Flow_SEC Format'!$I$19/1000,0)</f>
        <v>-153</v>
      </c>
      <c r="AG15" s="26">
        <f>ROUND('[50]Cash Flow_SEC Format'!$I$20/1000,0)</f>
        <v>28</v>
      </c>
      <c r="AH15" s="26">
        <f>ROUND('[51]Cash Flow_SEC Format'!$I$20/1000,0)-AG15</f>
        <v>8</v>
      </c>
      <c r="AI15" s="179">
        <f>SUM([11]Cashflow!B15:AG15)-SUM(B15:AG15)</f>
        <v>0</v>
      </c>
      <c r="AJ15" s="2"/>
      <c r="AL15" s="73"/>
      <c r="AT15" s="2"/>
      <c r="AU15" s="2"/>
      <c r="AV15" s="2"/>
      <c r="AW15" s="2"/>
      <c r="AX15" s="2"/>
      <c r="AY15" s="2"/>
      <c r="AZ15" s="2"/>
      <c r="BA15" s="2"/>
      <c r="BB15" s="2"/>
      <c r="BC15" s="2"/>
      <c r="BD15" s="2"/>
      <c r="BE15" s="2"/>
      <c r="BF15" s="2"/>
      <c r="BG15" s="2"/>
      <c r="BH15" s="2"/>
      <c r="BI15" s="2"/>
      <c r="BJ15" s="2"/>
      <c r="BK15" s="2"/>
      <c r="BL15" s="2"/>
      <c r="BM15" s="2"/>
      <c r="BN15" s="2"/>
    </row>
    <row r="16" spans="1:66" s="21" customFormat="1" hidden="1" x14ac:dyDescent="0.15">
      <c r="A16" s="30" t="s">
        <v>31</v>
      </c>
      <c r="B16" s="140">
        <v>0</v>
      </c>
      <c r="C16" s="140">
        <v>0</v>
      </c>
      <c r="D16" s="140">
        <v>0</v>
      </c>
      <c r="E16" s="140">
        <f t="shared" si="0"/>
        <v>0</v>
      </c>
      <c r="F16" s="140">
        <v>0</v>
      </c>
      <c r="G16" s="140">
        <v>0</v>
      </c>
      <c r="H16" s="140">
        <v>0</v>
      </c>
      <c r="I16" s="140">
        <v>0</v>
      </c>
      <c r="J16" s="140">
        <v>0</v>
      </c>
      <c r="K16" s="140">
        <v>0</v>
      </c>
      <c r="L16" s="179">
        <f t="shared" si="2"/>
        <v>0</v>
      </c>
      <c r="M16" s="140">
        <v>0</v>
      </c>
      <c r="N16" s="140">
        <v>0</v>
      </c>
      <c r="O16" s="140">
        <v>0</v>
      </c>
      <c r="P16" s="140">
        <v>0</v>
      </c>
      <c r="Q16" s="140">
        <v>0</v>
      </c>
      <c r="R16" s="140">
        <v>0</v>
      </c>
      <c r="S16" s="140">
        <v>0</v>
      </c>
      <c r="T16" s="140">
        <v>0</v>
      </c>
      <c r="U16" s="140"/>
      <c r="V16" s="140"/>
      <c r="W16" s="140"/>
      <c r="X16" s="140"/>
      <c r="Y16" s="140"/>
      <c r="Z16" s="140"/>
      <c r="AA16" s="140"/>
      <c r="AB16" s="140"/>
      <c r="AC16" s="140"/>
      <c r="AD16" s="140"/>
      <c r="AE16" s="140"/>
      <c r="AF16" s="140"/>
      <c r="AG16" s="140"/>
      <c r="AH16" s="140"/>
      <c r="AI16" s="179">
        <f>SUM([41]Cashflow!K18:AC18)-SUM(K17:AC17)</f>
        <v>0</v>
      </c>
      <c r="AJ16" s="2"/>
      <c r="AL16" s="73"/>
      <c r="AT16" s="2"/>
      <c r="AU16" s="2"/>
      <c r="AV16" s="2"/>
      <c r="AW16" s="2"/>
      <c r="AX16" s="2"/>
      <c r="AY16" s="2"/>
      <c r="AZ16" s="2"/>
      <c r="BA16" s="2"/>
      <c r="BB16" s="2"/>
      <c r="BC16" s="2"/>
      <c r="BD16" s="2"/>
      <c r="BE16" s="2"/>
      <c r="BF16" s="2"/>
      <c r="BG16" s="2"/>
      <c r="BH16" s="2"/>
      <c r="BI16" s="2"/>
      <c r="BJ16" s="2"/>
      <c r="BK16" s="2"/>
      <c r="BL16" s="2"/>
      <c r="BM16" s="2"/>
      <c r="BN16" s="2"/>
    </row>
    <row r="17" spans="1:66" s="21" customFormat="1" hidden="1" x14ac:dyDescent="0.15">
      <c r="A17" s="30" t="s">
        <v>77</v>
      </c>
      <c r="B17" s="76"/>
      <c r="C17" s="154"/>
      <c r="D17" s="154"/>
      <c r="E17" s="154"/>
      <c r="F17" s="24"/>
      <c r="G17" s="24"/>
      <c r="H17" s="26"/>
      <c r="I17" s="24"/>
      <c r="J17" s="24"/>
      <c r="K17" s="26"/>
      <c r="L17" s="179">
        <f t="shared" si="2"/>
        <v>0</v>
      </c>
      <c r="M17" s="26">
        <f>ROUND('[35]Cash Flow_SEC Format'!$H$15/1000,0)</f>
        <v>0</v>
      </c>
      <c r="N17" s="26">
        <f>ROUND('[36]Cash Flow_SEC Format'!$G$15/1000,0)-M17</f>
        <v>0</v>
      </c>
      <c r="O17" s="26">
        <f>ROUND('[37]Cash Flow_SEC Format'!$G$15/1000,0)-SUM(M17:N17)</f>
        <v>0</v>
      </c>
      <c r="P17" s="26">
        <f t="shared" si="3"/>
        <v>0</v>
      </c>
      <c r="Q17" s="26">
        <f>ROUND('[38]Cash Flow_SEC Format'!$G$15/1000,0)</f>
        <v>0</v>
      </c>
      <c r="R17" s="26">
        <f>ROUND('[39]Cash Flow_SEC Format'!$H$15/1000,0)</f>
        <v>0</v>
      </c>
      <c r="S17" s="26">
        <f>ROUND('[40]Cash Flow_SEC Format'!$G$15/1000,0)-R17</f>
        <v>0</v>
      </c>
      <c r="T17" s="26">
        <f>ROUND('[52]Cash Flow_SEC Format'!$G$16/1000,0)-SUM(R17:S17)</f>
        <v>0</v>
      </c>
      <c r="U17" s="26"/>
      <c r="V17" s="26"/>
      <c r="W17" s="26"/>
      <c r="X17" s="26"/>
      <c r="Y17" s="26"/>
      <c r="Z17" s="26"/>
      <c r="AA17" s="26"/>
      <c r="AB17" s="26"/>
      <c r="AC17" s="26"/>
      <c r="AD17" s="26"/>
      <c r="AE17" s="26"/>
      <c r="AF17" s="26"/>
      <c r="AG17" s="26"/>
      <c r="AH17" s="26"/>
      <c r="AI17" s="179">
        <f>SUM([41]Cashflow!K19:AC19)-SUM(K18:AC18)</f>
        <v>-39157</v>
      </c>
      <c r="AJ17" s="2"/>
      <c r="AL17" s="73"/>
      <c r="AT17" s="2"/>
      <c r="AU17" s="2"/>
      <c r="AV17" s="2"/>
      <c r="AW17" s="2"/>
      <c r="AX17" s="2"/>
      <c r="AY17" s="2"/>
      <c r="AZ17" s="2"/>
      <c r="BA17" s="2"/>
      <c r="BB17" s="2"/>
      <c r="BC17" s="2"/>
      <c r="BD17" s="2"/>
      <c r="BE17" s="2"/>
      <c r="BF17" s="2"/>
      <c r="BG17" s="2"/>
      <c r="BH17" s="2"/>
      <c r="BI17" s="2"/>
      <c r="BJ17" s="2"/>
      <c r="BK17" s="2"/>
      <c r="BL17" s="2"/>
      <c r="BM17" s="2"/>
      <c r="BN17" s="2"/>
    </row>
    <row r="18" spans="1:66" s="21" customFormat="1" hidden="1" x14ac:dyDescent="0.15">
      <c r="A18" s="30" t="s">
        <v>91</v>
      </c>
      <c r="B18" s="140">
        <v>0</v>
      </c>
      <c r="C18" s="140">
        <v>0</v>
      </c>
      <c r="D18" s="140">
        <v>0</v>
      </c>
      <c r="E18" s="140">
        <f t="shared" si="0"/>
        <v>0</v>
      </c>
      <c r="F18" s="140">
        <v>0</v>
      </c>
      <c r="G18" s="140">
        <v>0</v>
      </c>
      <c r="H18" s="140">
        <v>0</v>
      </c>
      <c r="I18" s="140">
        <v>0</v>
      </c>
      <c r="J18" s="140">
        <v>0</v>
      </c>
      <c r="K18" s="140">
        <v>0</v>
      </c>
      <c r="L18" s="179">
        <f t="shared" si="2"/>
        <v>0</v>
      </c>
      <c r="M18" s="140">
        <v>0</v>
      </c>
      <c r="N18" s="140">
        <v>0</v>
      </c>
      <c r="O18" s="140">
        <v>0</v>
      </c>
      <c r="P18" s="140">
        <v>0</v>
      </c>
      <c r="Q18" s="140">
        <v>0</v>
      </c>
      <c r="R18" s="140">
        <v>0</v>
      </c>
      <c r="S18" s="140">
        <v>0</v>
      </c>
      <c r="T18" s="140">
        <v>0</v>
      </c>
      <c r="U18" s="140"/>
      <c r="V18" s="140"/>
      <c r="W18" s="140"/>
      <c r="X18" s="140"/>
      <c r="Y18" s="140"/>
      <c r="Z18" s="140"/>
      <c r="AA18" s="140"/>
      <c r="AB18" s="140"/>
      <c r="AC18" s="140"/>
      <c r="AD18" s="140"/>
      <c r="AE18" s="140"/>
      <c r="AF18" s="140"/>
      <c r="AG18" s="140"/>
      <c r="AH18" s="140"/>
      <c r="AI18" s="179">
        <f>SUM([41]Cashflow!K20:AC20)-SUM(K19:AC19)</f>
        <v>29775</v>
      </c>
      <c r="AJ18" s="2"/>
      <c r="AL18" s="73"/>
      <c r="AT18" s="2"/>
      <c r="AU18" s="2"/>
      <c r="AV18" s="2"/>
      <c r="AW18" s="2"/>
      <c r="AX18" s="2"/>
      <c r="AY18" s="2"/>
      <c r="AZ18" s="2"/>
      <c r="BA18" s="2"/>
      <c r="BB18" s="2"/>
      <c r="BC18" s="2"/>
      <c r="BD18" s="2"/>
      <c r="BE18" s="2"/>
      <c r="BF18" s="2"/>
      <c r="BG18" s="2"/>
      <c r="BH18" s="2"/>
      <c r="BI18" s="2"/>
      <c r="BJ18" s="2"/>
      <c r="BK18" s="2"/>
      <c r="BL18" s="2"/>
      <c r="BM18" s="2"/>
      <c r="BN18" s="2"/>
    </row>
    <row r="19" spans="1:66" s="21" customFormat="1" x14ac:dyDescent="0.15">
      <c r="A19" s="30" t="s">
        <v>185</v>
      </c>
      <c r="B19" s="76">
        <f>ROUND(-3318.50205594496,0)</f>
        <v>-3319</v>
      </c>
      <c r="C19" s="154">
        <f>ROUND(-4463.49794405504,0)</f>
        <v>-4463</v>
      </c>
      <c r="D19" s="154">
        <v>-6593</v>
      </c>
      <c r="E19" s="154">
        <f t="shared" si="0"/>
        <v>5755</v>
      </c>
      <c r="F19" s="158">
        <v>-8620</v>
      </c>
      <c r="G19" s="158">
        <v>127</v>
      </c>
      <c r="H19" s="178">
        <v>1840</v>
      </c>
      <c r="I19" s="158">
        <v>-1948</v>
      </c>
      <c r="J19" s="158">
        <f t="shared" si="1"/>
        <v>-340</v>
      </c>
      <c r="K19" s="158">
        <f>'[1]Statements of Cash Flow'!$C$13</f>
        <v>-321</v>
      </c>
      <c r="L19" s="179">
        <f t="shared" si="2"/>
        <v>0</v>
      </c>
      <c r="M19" s="178">
        <v>-6490</v>
      </c>
      <c r="N19" s="178">
        <v>3112</v>
      </c>
      <c r="O19" s="178">
        <v>2894</v>
      </c>
      <c r="P19" s="178">
        <f t="shared" si="3"/>
        <v>886</v>
      </c>
      <c r="Q19" s="178">
        <f>'[2]Statements of Cash Flow'!$C$13</f>
        <v>402</v>
      </c>
      <c r="R19" s="178">
        <v>-1139</v>
      </c>
      <c r="S19" s="178">
        <v>-1495</v>
      </c>
      <c r="T19" s="178">
        <v>-1165</v>
      </c>
      <c r="U19" s="178">
        <f t="shared" ref="U19:U21" si="8">+V19-SUM(R19:T19)</f>
        <v>-22</v>
      </c>
      <c r="V19" s="178">
        <f>'[3]Statements of Cash Flow'!$C$13</f>
        <v>-3821</v>
      </c>
      <c r="W19" s="178">
        <v>-3165</v>
      </c>
      <c r="X19" s="178">
        <v>-7115</v>
      </c>
      <c r="Y19" s="178">
        <v>-6533</v>
      </c>
      <c r="Z19" s="178">
        <f t="shared" ref="Z19:Z21" si="9">+AA19-SUM(W19:Y19)</f>
        <v>170</v>
      </c>
      <c r="AA19" s="178">
        <f>'[4]Statements of Cash Flow'!$C$13</f>
        <v>-16643</v>
      </c>
      <c r="AB19" s="178">
        <f>'[5]Statements of Cash Flow'!$C$13</f>
        <v>2814</v>
      </c>
      <c r="AC19" s="178">
        <f>'[6]Statements of Cash Flow'!$C$13-AB19</f>
        <v>-1526</v>
      </c>
      <c r="AD19" s="178">
        <f>'[7]Statements of Cash Flow'!$C$13-SUM(AB19:AC19)</f>
        <v>-2150</v>
      </c>
      <c r="AE19" s="178">
        <f t="shared" ref="AE19:AE21" si="10">+AF19-SUM(AB19:AD19)</f>
        <v>-501</v>
      </c>
      <c r="AF19" s="178">
        <f>'[8]Statements of Cash Flow'!$C$13</f>
        <v>-1363</v>
      </c>
      <c r="AG19" s="178">
        <f>'[9]Statements of Cash Flow'!$C$13</f>
        <v>-274</v>
      </c>
      <c r="AH19" s="178">
        <f>'[10]Statements of Cash Flow'!$C$13-AG19</f>
        <v>-2645</v>
      </c>
      <c r="AI19" s="179">
        <f>SUM([11]Cashflow!B19:AG19)-SUM(B19:AG19)</f>
        <v>0</v>
      </c>
      <c r="AJ19" s="2"/>
      <c r="AL19" s="73"/>
      <c r="AT19" s="2"/>
      <c r="AU19" s="2"/>
      <c r="AV19" s="2"/>
      <c r="AW19" s="2"/>
      <c r="AX19" s="2"/>
      <c r="AY19" s="2"/>
      <c r="AZ19" s="2"/>
      <c r="BA19" s="2"/>
      <c r="BB19" s="2"/>
      <c r="BC19" s="2"/>
      <c r="BD19" s="2"/>
      <c r="BE19" s="2"/>
      <c r="BF19" s="2"/>
      <c r="BG19" s="2"/>
      <c r="BH19" s="2"/>
      <c r="BI19" s="2"/>
      <c r="BJ19" s="2"/>
      <c r="BK19" s="2"/>
      <c r="BL19" s="2"/>
      <c r="BM19" s="2"/>
      <c r="BN19" s="2"/>
    </row>
    <row r="20" spans="1:66" s="21" customFormat="1" x14ac:dyDescent="0.15">
      <c r="A20" s="30" t="s">
        <v>225</v>
      </c>
      <c r="B20" s="76">
        <v>-2842</v>
      </c>
      <c r="C20" s="154">
        <v>-1098</v>
      </c>
      <c r="D20" s="154">
        <v>-1483</v>
      </c>
      <c r="E20" s="154">
        <f t="shared" si="0"/>
        <v>-2273</v>
      </c>
      <c r="F20" s="158">
        <v>-7696</v>
      </c>
      <c r="G20" s="158">
        <v>-3185</v>
      </c>
      <c r="H20" s="178">
        <v>-1177</v>
      </c>
      <c r="I20" s="158">
        <v>-3081</v>
      </c>
      <c r="J20" s="158">
        <f t="shared" si="1"/>
        <v>-2673</v>
      </c>
      <c r="K20" s="158">
        <f>'[1]Statements of Cash Flow'!$C$12</f>
        <v>-10116</v>
      </c>
      <c r="L20" s="179">
        <f t="shared" si="2"/>
        <v>0</v>
      </c>
      <c r="M20" s="178">
        <v>267</v>
      </c>
      <c r="N20" s="178">
        <v>-3109</v>
      </c>
      <c r="O20" s="178">
        <v>-1965</v>
      </c>
      <c r="P20" s="178">
        <f t="shared" si="3"/>
        <v>-2367</v>
      </c>
      <c r="Q20" s="178">
        <f>'[2]Statements of Cash Flow'!$C$12</f>
        <v>-7174</v>
      </c>
      <c r="R20" s="178">
        <v>-1103</v>
      </c>
      <c r="S20" s="178">
        <v>7880</v>
      </c>
      <c r="T20" s="178">
        <v>-790</v>
      </c>
      <c r="U20" s="178">
        <f t="shared" si="8"/>
        <v>-848</v>
      </c>
      <c r="V20" s="178">
        <f>'[3]Statements of Cash Flow'!$C$12</f>
        <v>5139</v>
      </c>
      <c r="W20" s="178">
        <v>-384</v>
      </c>
      <c r="X20" s="178">
        <v>109</v>
      </c>
      <c r="Y20" s="178">
        <v>-200</v>
      </c>
      <c r="Z20" s="178">
        <f t="shared" si="9"/>
        <v>-734</v>
      </c>
      <c r="AA20" s="178">
        <f>'[4]Statements of Cash Flow'!$C$12</f>
        <v>-1209</v>
      </c>
      <c r="AB20" s="178">
        <f>'[5]Statements of Cash Flow'!$C$12</f>
        <v>8186</v>
      </c>
      <c r="AC20" s="178">
        <f>'[6]Statements of Cash Flow'!$C$12-AB20</f>
        <v>-964</v>
      </c>
      <c r="AD20" s="178">
        <f>'[7]Statements of Cash Flow'!$C$12-SUM(AB20:AC20)</f>
        <v>-1219</v>
      </c>
      <c r="AE20" s="178">
        <f t="shared" si="10"/>
        <v>11041</v>
      </c>
      <c r="AF20" s="178">
        <f>'[8]Statements of Cash Flow'!$C$12</f>
        <v>17044</v>
      </c>
      <c r="AG20" s="178">
        <f>'[9]Statements of Cash Flow'!$C$12</f>
        <v>353</v>
      </c>
      <c r="AH20" s="178">
        <f>'[10]Statements of Cash Flow'!$C$12-AG20</f>
        <v>-654</v>
      </c>
      <c r="AI20" s="179">
        <f>SUM([11]Cashflow!B20:AG20)-SUM(B20:AG20)</f>
        <v>0</v>
      </c>
      <c r="AJ20" s="2"/>
      <c r="AL20" s="73"/>
      <c r="AT20" s="2"/>
      <c r="AU20" s="2"/>
      <c r="AV20" s="2"/>
      <c r="AW20" s="2"/>
      <c r="AX20" s="2"/>
      <c r="AY20" s="2"/>
      <c r="AZ20" s="2"/>
      <c r="BA20" s="2"/>
      <c r="BB20" s="2"/>
      <c r="BC20" s="2"/>
      <c r="BD20" s="2"/>
      <c r="BE20" s="2"/>
      <c r="BF20" s="2"/>
      <c r="BG20" s="2"/>
      <c r="BH20" s="2"/>
      <c r="BI20" s="2"/>
      <c r="BJ20" s="2"/>
      <c r="BK20" s="2"/>
      <c r="BL20" s="2"/>
      <c r="BM20" s="2"/>
      <c r="BN20" s="2"/>
    </row>
    <row r="21" spans="1:66" s="21" customFormat="1" x14ac:dyDescent="0.15">
      <c r="A21" s="30" t="s">
        <v>120</v>
      </c>
      <c r="B21" s="76">
        <v>3433</v>
      </c>
      <c r="C21" s="154">
        <v>-2890</v>
      </c>
      <c r="D21" s="154">
        <v>-1529</v>
      </c>
      <c r="E21" s="154">
        <f t="shared" si="0"/>
        <v>361</v>
      </c>
      <c r="F21" s="158">
        <v>-625</v>
      </c>
      <c r="G21" s="158">
        <v>1049</v>
      </c>
      <c r="H21" s="178">
        <v>-3680</v>
      </c>
      <c r="I21" s="158">
        <v>-4228</v>
      </c>
      <c r="J21" s="158">
        <f t="shared" si="1"/>
        <v>-5486</v>
      </c>
      <c r="K21" s="158">
        <f>'[1]Statements of Cash Flow'!$C$14</f>
        <v>-12345</v>
      </c>
      <c r="L21" s="179">
        <f t="shared" si="2"/>
        <v>0</v>
      </c>
      <c r="M21" s="178">
        <v>3539</v>
      </c>
      <c r="N21" s="178">
        <v>-4202</v>
      </c>
      <c r="O21" s="178">
        <v>-909</v>
      </c>
      <c r="P21" s="178">
        <f t="shared" si="3"/>
        <v>4269</v>
      </c>
      <c r="Q21" s="178">
        <f>'[2]Statements of Cash Flow'!$C$14</f>
        <v>2697</v>
      </c>
      <c r="R21" s="178">
        <v>-2695</v>
      </c>
      <c r="S21" s="178">
        <v>-12042</v>
      </c>
      <c r="T21" s="178">
        <v>-2637</v>
      </c>
      <c r="U21" s="178">
        <f t="shared" si="8"/>
        <v>-2953</v>
      </c>
      <c r="V21" s="178">
        <f>'[3]Statements of Cash Flow'!$C$14</f>
        <v>-20327</v>
      </c>
      <c r="W21" s="178">
        <v>-193</v>
      </c>
      <c r="X21" s="178">
        <v>-1269</v>
      </c>
      <c r="Y21" s="178">
        <v>-4159</v>
      </c>
      <c r="Z21" s="178">
        <f t="shared" si="9"/>
        <v>-13931</v>
      </c>
      <c r="AA21" s="178">
        <f>'[4]Statements of Cash Flow'!$C$14</f>
        <v>-19552</v>
      </c>
      <c r="AB21" s="178">
        <f>'[5]Statements of Cash Flow'!$C$14</f>
        <v>-9444</v>
      </c>
      <c r="AC21" s="178">
        <f>'[6]Statements of Cash Flow'!$C$14-AB21</f>
        <v>-8839</v>
      </c>
      <c r="AD21" s="178">
        <f>'[7]Statements of Cash Flow'!$C$14-SUM(AB21:AC21)</f>
        <v>-8272</v>
      </c>
      <c r="AE21" s="178">
        <f t="shared" si="10"/>
        <v>-5187</v>
      </c>
      <c r="AF21" s="178">
        <f>'[8]Statements of Cash Flow'!$C$14</f>
        <v>-31742</v>
      </c>
      <c r="AG21" s="178">
        <f>'[9]Statements of Cash Flow'!$C$14</f>
        <v>-8680</v>
      </c>
      <c r="AH21" s="178">
        <f>'[10]Statements of Cash Flow'!$C$14-AG21</f>
        <v>-8396</v>
      </c>
      <c r="AI21" s="179">
        <f>SUM([11]Cashflow!B21:AG21)-SUM(B21:AG21)</f>
        <v>0</v>
      </c>
      <c r="AJ21" s="2"/>
      <c r="AL21" s="73"/>
      <c r="AT21" s="2"/>
      <c r="AU21" s="2"/>
      <c r="AV21" s="2"/>
      <c r="AW21" s="2"/>
      <c r="AX21" s="2"/>
      <c r="AY21" s="2"/>
      <c r="AZ21" s="2"/>
      <c r="BA21" s="2"/>
      <c r="BB21" s="2"/>
      <c r="BC21" s="2"/>
      <c r="BD21" s="2"/>
      <c r="BE21" s="2"/>
      <c r="BF21" s="2"/>
      <c r="BG21" s="2"/>
      <c r="BH21" s="2"/>
      <c r="BI21" s="2"/>
      <c r="BJ21" s="2"/>
      <c r="BK21" s="2"/>
      <c r="BL21" s="2"/>
      <c r="BM21" s="2"/>
      <c r="BN21" s="2"/>
    </row>
    <row r="22" spans="1:66" s="21" customFormat="1" hidden="1" x14ac:dyDescent="0.15">
      <c r="A22" s="30" t="s">
        <v>121</v>
      </c>
      <c r="B22" s="140">
        <v>0</v>
      </c>
      <c r="C22" s="140">
        <v>0</v>
      </c>
      <c r="D22" s="140">
        <v>0</v>
      </c>
      <c r="E22" s="154">
        <f t="shared" si="0"/>
        <v>0</v>
      </c>
      <c r="F22" s="158">
        <v>0</v>
      </c>
      <c r="G22" s="158">
        <v>0</v>
      </c>
      <c r="H22" s="178">
        <v>0</v>
      </c>
      <c r="I22" s="158">
        <v>0</v>
      </c>
      <c r="J22" s="158">
        <v>0</v>
      </c>
      <c r="K22" s="158">
        <v>0</v>
      </c>
      <c r="L22" s="179">
        <f t="shared" si="2"/>
        <v>0</v>
      </c>
      <c r="M22" s="178">
        <v>0</v>
      </c>
      <c r="N22" s="178">
        <v>0</v>
      </c>
      <c r="O22" s="178">
        <v>0</v>
      </c>
      <c r="P22" s="178">
        <v>0</v>
      </c>
      <c r="Q22" s="178">
        <v>0</v>
      </c>
      <c r="R22" s="178">
        <v>0</v>
      </c>
      <c r="S22" s="178">
        <v>0</v>
      </c>
      <c r="T22" s="178">
        <v>0</v>
      </c>
      <c r="U22" s="178"/>
      <c r="V22" s="178"/>
      <c r="W22" s="178"/>
      <c r="X22" s="178"/>
      <c r="Y22" s="178"/>
      <c r="Z22" s="178"/>
      <c r="AA22" s="178"/>
      <c r="AB22" s="178"/>
      <c r="AC22" s="178"/>
      <c r="AD22" s="178"/>
      <c r="AE22" s="178"/>
      <c r="AF22" s="178"/>
      <c r="AG22" s="178"/>
      <c r="AH22" s="178"/>
      <c r="AI22" s="179">
        <f>SUM([11]Cashflow!B22:AG22)-SUM(B22:AG22)</f>
        <v>0</v>
      </c>
      <c r="AJ22" s="2"/>
      <c r="AL22" s="73"/>
      <c r="AT22" s="2"/>
      <c r="AU22" s="2"/>
      <c r="AV22" s="2"/>
      <c r="AW22" s="2"/>
      <c r="AX22" s="2"/>
      <c r="AY22" s="2"/>
      <c r="AZ22" s="2"/>
      <c r="BA22" s="2"/>
      <c r="BB22" s="2"/>
      <c r="BC22" s="2"/>
      <c r="BD22" s="2"/>
      <c r="BE22" s="2"/>
      <c r="BF22" s="2"/>
      <c r="BG22" s="2"/>
      <c r="BH22" s="2"/>
      <c r="BI22" s="2"/>
      <c r="BJ22" s="2"/>
      <c r="BK22" s="2"/>
      <c r="BL22" s="2"/>
      <c r="BM22" s="2"/>
      <c r="BN22" s="2"/>
    </row>
    <row r="23" spans="1:66" s="21" customFormat="1" x14ac:dyDescent="0.15">
      <c r="A23" s="30" t="s">
        <v>131</v>
      </c>
      <c r="B23" s="140">
        <v>0</v>
      </c>
      <c r="C23" s="140">
        <v>0</v>
      </c>
      <c r="D23" s="140">
        <v>0</v>
      </c>
      <c r="E23" s="154">
        <f t="shared" si="0"/>
        <v>20056</v>
      </c>
      <c r="F23" s="158">
        <v>20056</v>
      </c>
      <c r="G23" s="158">
        <v>1227</v>
      </c>
      <c r="H23" s="178">
        <v>1940</v>
      </c>
      <c r="I23" s="158">
        <v>0</v>
      </c>
      <c r="J23" s="158">
        <f>+K23-SUM(G23:I23)</f>
        <v>460</v>
      </c>
      <c r="K23" s="158">
        <f>'[1]Statements of Cash Flow'!$C$18</f>
        <v>3627</v>
      </c>
      <c r="L23" s="179">
        <f t="shared" si="2"/>
        <v>0</v>
      </c>
      <c r="M23" s="178">
        <v>0</v>
      </c>
      <c r="N23" s="178">
        <v>0</v>
      </c>
      <c r="O23" s="178">
        <v>0</v>
      </c>
      <c r="P23" s="178">
        <f t="shared" si="3"/>
        <v>0</v>
      </c>
      <c r="Q23" s="178">
        <f>'[2]Statements of Cash Flow'!$C$18</f>
        <v>0</v>
      </c>
      <c r="R23" s="178">
        <v>0</v>
      </c>
      <c r="S23" s="178">
        <v>0</v>
      </c>
      <c r="T23" s="178">
        <v>0</v>
      </c>
      <c r="U23" s="178">
        <f t="shared" ref="U23" si="11">+V23-SUM(R23:T23)</f>
        <v>0</v>
      </c>
      <c r="V23" s="178">
        <f>'[3]Statements of Cash Flow'!$C$19</f>
        <v>0</v>
      </c>
      <c r="W23" s="178">
        <v>0</v>
      </c>
      <c r="X23" s="178">
        <v>0</v>
      </c>
      <c r="Y23" s="178">
        <v>0</v>
      </c>
      <c r="Z23" s="178">
        <f t="shared" ref="Z23" si="12">+AA23-SUM(W23:Y23)</f>
        <v>0</v>
      </c>
      <c r="AA23" s="178">
        <f>'[4]Statements of Cash Flow'!$C$20</f>
        <v>0</v>
      </c>
      <c r="AB23" s="178">
        <f>'[5]Statements of Cash Flow'!$C$20</f>
        <v>0</v>
      </c>
      <c r="AC23" s="178">
        <f>'[6]Statements of Cash Flow'!$C$20-AB23</f>
        <v>0</v>
      </c>
      <c r="AD23" s="178">
        <f>'[7]Statements of Cash Flow'!$C$20-SUM(AB23:AC23)</f>
        <v>0</v>
      </c>
      <c r="AE23" s="178">
        <f t="shared" ref="AE23" si="13">+AF23-SUM(AB23:AD23)</f>
        <v>0</v>
      </c>
      <c r="AF23" s="178">
        <f>'[8]Statements of Cash Flow'!$C$20</f>
        <v>0</v>
      </c>
      <c r="AG23" s="178"/>
      <c r="AH23" s="178"/>
      <c r="AI23" s="179">
        <f>SUM([11]Cashflow!B23:AG23)-SUM(B23:AG23)</f>
        <v>0</v>
      </c>
      <c r="AJ23" s="2"/>
      <c r="AL23" s="73"/>
      <c r="AT23" s="2"/>
      <c r="AU23" s="2"/>
      <c r="AV23" s="2"/>
      <c r="AW23" s="2"/>
      <c r="AX23" s="2"/>
      <c r="AY23" s="2"/>
      <c r="AZ23" s="2"/>
      <c r="BA23" s="2"/>
      <c r="BB23" s="2"/>
      <c r="BC23" s="2"/>
      <c r="BD23" s="2"/>
      <c r="BE23" s="2"/>
      <c r="BF23" s="2"/>
      <c r="BG23" s="2"/>
      <c r="BH23" s="2"/>
      <c r="BI23" s="2"/>
      <c r="BJ23" s="2"/>
      <c r="BK23" s="2"/>
      <c r="BL23" s="2"/>
      <c r="BM23" s="2"/>
      <c r="BN23" s="2"/>
    </row>
    <row r="24" spans="1:66" s="21" customFormat="1" hidden="1" x14ac:dyDescent="0.15">
      <c r="A24" s="30" t="s">
        <v>101</v>
      </c>
      <c r="B24" s="140">
        <v>0</v>
      </c>
      <c r="C24" s="140">
        <v>0</v>
      </c>
      <c r="D24" s="140">
        <v>0</v>
      </c>
      <c r="E24" s="140">
        <f t="shared" si="0"/>
        <v>0</v>
      </c>
      <c r="F24" s="140">
        <v>0</v>
      </c>
      <c r="G24" s="140">
        <v>0</v>
      </c>
      <c r="H24" s="140">
        <v>0</v>
      </c>
      <c r="I24" s="140">
        <v>0</v>
      </c>
      <c r="J24" s="140">
        <v>0</v>
      </c>
      <c r="K24" s="140">
        <v>0</v>
      </c>
      <c r="L24" s="179">
        <f t="shared" si="2"/>
        <v>0</v>
      </c>
      <c r="M24" s="140">
        <v>0</v>
      </c>
      <c r="N24" s="140">
        <v>0</v>
      </c>
      <c r="O24" s="140">
        <v>0</v>
      </c>
      <c r="P24" s="140">
        <v>0</v>
      </c>
      <c r="Q24" s="140">
        <v>0</v>
      </c>
      <c r="R24" s="140">
        <v>0</v>
      </c>
      <c r="S24" s="140">
        <v>0</v>
      </c>
      <c r="T24" s="140">
        <v>0</v>
      </c>
      <c r="U24" s="140"/>
      <c r="V24" s="140"/>
      <c r="W24" s="140"/>
      <c r="X24" s="140"/>
      <c r="Y24" s="140"/>
      <c r="Z24" s="140"/>
      <c r="AA24" s="140"/>
      <c r="AB24" s="140"/>
      <c r="AC24" s="140"/>
      <c r="AD24" s="140"/>
      <c r="AE24" s="140"/>
      <c r="AF24" s="140"/>
      <c r="AG24" s="140"/>
      <c r="AH24" s="140"/>
      <c r="AI24" s="179">
        <f>SUM([11]Cashflow!B24:AG24)-SUM(B24:AG24)</f>
        <v>0</v>
      </c>
      <c r="AJ24" s="2"/>
      <c r="AL24" s="73"/>
      <c r="AT24" s="2"/>
      <c r="AU24" s="2"/>
      <c r="AV24" s="2"/>
      <c r="AW24" s="2"/>
      <c r="AX24" s="2"/>
      <c r="AY24" s="2"/>
      <c r="AZ24" s="2"/>
      <c r="BA24" s="2"/>
      <c r="BB24" s="2"/>
      <c r="BC24" s="2"/>
      <c r="BD24" s="2"/>
      <c r="BE24" s="2"/>
      <c r="BF24" s="2"/>
      <c r="BG24" s="2"/>
      <c r="BH24" s="2"/>
      <c r="BI24" s="2"/>
      <c r="BJ24" s="2"/>
      <c r="BK24" s="2"/>
      <c r="BL24" s="2"/>
      <c r="BM24" s="2"/>
      <c r="BN24" s="2"/>
    </row>
    <row r="25" spans="1:66" s="21" customFormat="1" x14ac:dyDescent="0.15">
      <c r="A25" s="30" t="s">
        <v>183</v>
      </c>
      <c r="B25" s="140">
        <v>-612</v>
      </c>
      <c r="C25" s="140">
        <v>22</v>
      </c>
      <c r="D25" s="140">
        <v>-30</v>
      </c>
      <c r="E25" s="140">
        <f t="shared" si="0"/>
        <v>47</v>
      </c>
      <c r="F25" s="158">
        <v>-573</v>
      </c>
      <c r="G25" s="158">
        <v>298</v>
      </c>
      <c r="H25" s="178">
        <v>-17</v>
      </c>
      <c r="I25" s="158">
        <v>152</v>
      </c>
      <c r="J25" s="158">
        <f t="shared" si="1"/>
        <v>181</v>
      </c>
      <c r="K25" s="158">
        <f>'[1]Statements of Cash Flow'!$C$15</f>
        <v>614</v>
      </c>
      <c r="L25" s="179">
        <f t="shared" si="2"/>
        <v>0</v>
      </c>
      <c r="M25" s="178">
        <v>195</v>
      </c>
      <c r="N25" s="178">
        <v>194</v>
      </c>
      <c r="O25" s="178">
        <v>-36</v>
      </c>
      <c r="P25" s="178">
        <f t="shared" si="3"/>
        <v>-56</v>
      </c>
      <c r="Q25" s="178">
        <f>'[2]Statements of Cash Flow'!$C$15</f>
        <v>297</v>
      </c>
      <c r="R25" s="178">
        <v>48</v>
      </c>
      <c r="S25" s="178">
        <v>-438</v>
      </c>
      <c r="T25" s="178">
        <v>-15</v>
      </c>
      <c r="U25" s="178">
        <f t="shared" ref="U25:U26" si="14">+V25-SUM(R25:T25)</f>
        <v>-59</v>
      </c>
      <c r="V25" s="178">
        <f>'[3]Statements of Cash Flow'!$C$15</f>
        <v>-464</v>
      </c>
      <c r="W25" s="178">
        <v>34</v>
      </c>
      <c r="X25" s="178">
        <v>136</v>
      </c>
      <c r="Y25" s="178">
        <v>7</v>
      </c>
      <c r="Z25" s="178">
        <f t="shared" ref="Z25:Z38" si="15">+AA25-SUM(W25:Y25)</f>
        <v>506</v>
      </c>
      <c r="AA25" s="178">
        <f>'[4]Statements of Cash Flow'!$C$15</f>
        <v>683</v>
      </c>
      <c r="AB25" s="178">
        <f>'[5]Statements of Cash Flow'!$C$15</f>
        <v>342</v>
      </c>
      <c r="AC25" s="178">
        <f>'[6]Statements of Cash Flow'!$C$15-AB25</f>
        <v>137</v>
      </c>
      <c r="AD25" s="178">
        <f>'[7]Statements of Cash Flow'!$C$15-SUM(AB25:AC25)</f>
        <v>1965</v>
      </c>
      <c r="AE25" s="178">
        <f t="shared" ref="AE25:AE38" si="16">+AF25-SUM(AB25:AD25)</f>
        <v>9</v>
      </c>
      <c r="AF25" s="178">
        <f>'[8]Statements of Cash Flow'!$C$15</f>
        <v>2453</v>
      </c>
      <c r="AG25" s="178">
        <f>'[9]Statements of Cash Flow'!$C$15</f>
        <v>-240</v>
      </c>
      <c r="AH25" s="178">
        <f>ROUND('[51]Cash Flow_SEC Format'!$I$11/1000,0)-AG25</f>
        <v>202</v>
      </c>
      <c r="AI25" s="179">
        <f>SUM([11]Cashflow!B25:AG25)-SUM(B25:AG25)</f>
        <v>0</v>
      </c>
      <c r="AJ25" s="2"/>
      <c r="AL25" s="73"/>
      <c r="AT25" s="2"/>
      <c r="AU25" s="2"/>
      <c r="AV25" s="2"/>
      <c r="AW25" s="2"/>
      <c r="AX25" s="2"/>
      <c r="AY25" s="2"/>
      <c r="AZ25" s="2"/>
      <c r="BA25" s="2"/>
      <c r="BB25" s="2"/>
      <c r="BC25" s="2"/>
      <c r="BD25" s="2"/>
      <c r="BE25" s="2"/>
      <c r="BF25" s="2"/>
      <c r="BG25" s="2"/>
      <c r="BH25" s="2"/>
      <c r="BI25" s="2"/>
      <c r="BJ25" s="2"/>
      <c r="BK25" s="2"/>
      <c r="BL25" s="2"/>
      <c r="BM25" s="2"/>
      <c r="BN25" s="2"/>
    </row>
    <row r="26" spans="1:66" ht="12.75" customHeight="1" x14ac:dyDescent="0.15">
      <c r="A26" s="30" t="s">
        <v>187</v>
      </c>
      <c r="B26" s="140">
        <v>0</v>
      </c>
      <c r="C26" s="140">
        <v>0</v>
      </c>
      <c r="D26" s="140">
        <v>0</v>
      </c>
      <c r="E26" s="140">
        <f t="shared" si="0"/>
        <v>0</v>
      </c>
      <c r="F26" s="140">
        <v>0</v>
      </c>
      <c r="G26" s="140">
        <v>0</v>
      </c>
      <c r="H26" s="140">
        <v>0</v>
      </c>
      <c r="I26" s="140">
        <v>0</v>
      </c>
      <c r="J26" s="140">
        <v>0</v>
      </c>
      <c r="K26" s="140">
        <v>0</v>
      </c>
      <c r="L26" s="179">
        <f t="shared" si="2"/>
        <v>0</v>
      </c>
      <c r="M26" s="140">
        <v>0</v>
      </c>
      <c r="N26" s="140">
        <v>0</v>
      </c>
      <c r="O26" s="140">
        <v>0</v>
      </c>
      <c r="P26" s="140">
        <v>0</v>
      </c>
      <c r="Q26" s="140">
        <v>0</v>
      </c>
      <c r="R26" s="140">
        <v>0</v>
      </c>
      <c r="S26" s="140">
        <v>0</v>
      </c>
      <c r="T26" s="140">
        <v>0</v>
      </c>
      <c r="U26" s="178">
        <f t="shared" si="14"/>
        <v>0</v>
      </c>
      <c r="V26" s="140">
        <v>0</v>
      </c>
      <c r="W26" s="140">
        <v>0</v>
      </c>
      <c r="X26" s="178">
        <v>1000</v>
      </c>
      <c r="Y26" s="178">
        <v>0</v>
      </c>
      <c r="Z26" s="178">
        <f t="shared" si="15"/>
        <v>7250</v>
      </c>
      <c r="AA26" s="178">
        <f>'[4]Statements of Cash Flow'!$C$17</f>
        <v>8250</v>
      </c>
      <c r="AB26" s="178">
        <f>'[5]Statements of Cash Flow'!$C$17</f>
        <v>0</v>
      </c>
      <c r="AC26" s="178">
        <f>'[6]Statements of Cash Flow'!$C$17-AB26</f>
        <v>0</v>
      </c>
      <c r="AD26" s="178">
        <f>'[7]Statements of Cash Flow'!$C$17-SUM(AB26:AC26)</f>
        <v>2500</v>
      </c>
      <c r="AE26" s="178">
        <f t="shared" si="16"/>
        <v>-600</v>
      </c>
      <c r="AF26" s="178">
        <f>'[8]Statements of Cash Flow'!$C$17</f>
        <v>1900</v>
      </c>
      <c r="AG26" s="178">
        <f>'[9]Statements of Cash Flow'!$C$17</f>
        <v>-589</v>
      </c>
      <c r="AH26" s="178">
        <f>'[10]Statements of Cash Flow'!$C$17</f>
        <v>0</v>
      </c>
      <c r="AI26" s="179">
        <f>SUM([11]Cashflow!B26:AG26)-SUM(B26:AG26)</f>
        <v>0</v>
      </c>
      <c r="AL26" s="73"/>
    </row>
    <row r="27" spans="1:66" x14ac:dyDescent="0.15">
      <c r="A27" s="30" t="s">
        <v>219</v>
      </c>
      <c r="B27" s="140">
        <v>0</v>
      </c>
      <c r="C27" s="140">
        <v>0</v>
      </c>
      <c r="D27" s="140">
        <v>0</v>
      </c>
      <c r="E27" s="140">
        <v>0</v>
      </c>
      <c r="F27" s="140">
        <v>0</v>
      </c>
      <c r="G27" s="140">
        <v>0</v>
      </c>
      <c r="H27" s="140">
        <v>13701</v>
      </c>
      <c r="I27" s="140">
        <v>6843</v>
      </c>
      <c r="J27" s="158">
        <f>+K27-SUM(G27:I27)</f>
        <v>6791</v>
      </c>
      <c r="K27" s="140">
        <f>'[1]Statements of Cash Flow'!$C$11</f>
        <v>27335</v>
      </c>
      <c r="L27" s="179">
        <f t="shared" si="2"/>
        <v>0</v>
      </c>
      <c r="M27" s="140">
        <v>6853</v>
      </c>
      <c r="N27" s="140">
        <v>6850</v>
      </c>
      <c r="O27" s="140">
        <v>6781</v>
      </c>
      <c r="P27" s="140">
        <f t="shared" si="3"/>
        <v>6662</v>
      </c>
      <c r="Q27" s="140">
        <f>'[2]Statements of Cash Flow'!$C$11</f>
        <v>27146</v>
      </c>
      <c r="R27" s="140">
        <v>6761</v>
      </c>
      <c r="S27" s="140">
        <v>6871</v>
      </c>
      <c r="T27" s="140">
        <v>6380</v>
      </c>
      <c r="U27" s="140">
        <f t="shared" ref="U27:U38" si="17">+V27-SUM(R27:T27)</f>
        <v>6314</v>
      </c>
      <c r="V27" s="140">
        <f>'[3]Statements of Cash Flow'!$C$11</f>
        <v>26326</v>
      </c>
      <c r="W27" s="140">
        <v>6043</v>
      </c>
      <c r="X27" s="140">
        <v>5962</v>
      </c>
      <c r="Y27" s="140">
        <v>5360</v>
      </c>
      <c r="Z27" s="140">
        <f t="shared" si="15"/>
        <v>4418</v>
      </c>
      <c r="AA27" s="178">
        <f>'[4]Statements of Cash Flow'!$C$11</f>
        <v>21783</v>
      </c>
      <c r="AB27" s="178">
        <f>'[5]Statements of Cash Flow'!$C$11</f>
        <v>4883</v>
      </c>
      <c r="AC27" s="178">
        <f>'[6]Statements of Cash Flow'!$C$11-AB27</f>
        <v>5449</v>
      </c>
      <c r="AD27" s="178">
        <f>'[7]Statements of Cash Flow'!$C$11-SUM(AB27:AC27)</f>
        <v>4839</v>
      </c>
      <c r="AE27" s="140">
        <f t="shared" si="16"/>
        <v>5017</v>
      </c>
      <c r="AF27" s="178">
        <f>'[8]Statements of Cash Flow'!$C$11</f>
        <v>20188</v>
      </c>
      <c r="AG27" s="178">
        <f>'[9]Statements of Cash Flow'!$C$11</f>
        <v>4995</v>
      </c>
      <c r="AH27" s="178">
        <f>'[10]Statements of Cash Flow'!$C$11-AG27</f>
        <v>5354</v>
      </c>
      <c r="AI27" s="179">
        <f>SUM([11]Cashflow!B27:AG27)-SUM(B27:AG27)</f>
        <v>0</v>
      </c>
      <c r="AL27" s="73"/>
    </row>
    <row r="28" spans="1:66" s="21" customFormat="1" x14ac:dyDescent="0.15">
      <c r="A28" s="30" t="s">
        <v>156</v>
      </c>
      <c r="B28" s="140">
        <v>28</v>
      </c>
      <c r="C28" s="140">
        <v>95</v>
      </c>
      <c r="D28" s="140">
        <v>70</v>
      </c>
      <c r="E28" s="140">
        <v>110</v>
      </c>
      <c r="F28" s="158">
        <v>303</v>
      </c>
      <c r="G28" s="158">
        <v>416</v>
      </c>
      <c r="H28" s="178">
        <v>544.57432654008653</v>
      </c>
      <c r="I28" s="158">
        <v>-1109.1716799999977</v>
      </c>
      <c r="J28" s="158">
        <v>-1056.4026465400889</v>
      </c>
      <c r="K28" s="178">
        <v>-1205</v>
      </c>
      <c r="L28" s="179">
        <f>SUM(G28:J28)-K28</f>
        <v>0</v>
      </c>
      <c r="M28" s="26">
        <f>ROUND(SUM('[35]Cash Flow_SEC Format'!$H$18+'[35]Cash Flow_SEC Format'!$H$9+'[35]Cash Flow_SEC Format'!$H$8)/1000,0)</f>
        <v>-26</v>
      </c>
      <c r="N28" s="26">
        <f>ROUND(SUM('[36]Cash Flow_SEC Format'!$G$9+'[36]Cash Flow_SEC Format'!$G$18,'[36]Cash Flow_SEC Format'!$G$8)/1000,0)-M28</f>
        <v>-1178</v>
      </c>
      <c r="O28" s="26">
        <f>ROUND(SUM('[37]Cash Flow_SEC Format'!$G$9+'[37]Cash Flow_SEC Format'!$G$18+'[37]Cash Flow_SEC Format'!$G$8)/1000,0)-SUM(M28:N28)</f>
        <v>269</v>
      </c>
      <c r="P28" s="26">
        <f>+Q28-SUM(M28:O28)</f>
        <v>393</v>
      </c>
      <c r="Q28" s="26">
        <f>ROUND(SUM('[38]Cash Flow_SEC Format'!$G$9+'[38]Cash Flow_SEC Format'!$G$18+'[38]Cash Flow_SEC Format'!$G$8)/1000,0)</f>
        <v>-542</v>
      </c>
      <c r="R28" s="26">
        <f>ROUND(SUM('[39]Cash Flow_SEC Format'!$H$18+'[39]Cash Flow_SEC Format'!$H$9+'[39]Cash Flow_SEC Format'!$H$8)/1000,0)-2</f>
        <v>216</v>
      </c>
      <c r="S28" s="26">
        <f>ROUND(SUM('[40]Cash Flow_SEC Format'!$G$18+'[40]Cash Flow_SEC Format'!$G$9+'[40]Cash Flow_SEC Format'!$G$8)/1000,0)-R28-3</f>
        <v>-72</v>
      </c>
      <c r="T28" s="178">
        <v>446</v>
      </c>
      <c r="U28" s="178">
        <f>+V28-SUM(R28:T28)</f>
        <v>-374</v>
      </c>
      <c r="V28" s="178">
        <f>ROUND('[3]Statements of Cash Flow'!$C$20,0)</f>
        <v>216</v>
      </c>
      <c r="W28" s="178">
        <v>819</v>
      </c>
      <c r="X28" s="178">
        <v>-36</v>
      </c>
      <c r="Y28" s="178">
        <f>ROUND(SUM('[44]Cash Flow_SEC Format'!$I$8,'[44]Cash Flow_SEC Format'!$I$9,'[44]Cash Flow_SEC Format'!$I$20)/1000,0)-SUM(W28:X28)+2</f>
        <v>823</v>
      </c>
      <c r="Z28" s="178">
        <f>+AA28-SUM(W28:Y28)</f>
        <v>-662</v>
      </c>
      <c r="AA28" s="178">
        <f>ROUND(SUM('[45]Cash Flow_SEC Format'!$I$8,'[45]Cash Flow_SEC Format'!$I$9,'[45]Cash Flow_SEC Format'!$I$20)/1000,0)+2</f>
        <v>944</v>
      </c>
      <c r="AB28" s="178">
        <f>ROUND(SUM('[46]Cash Flow_SEC Format'!$I$8,'[46]Cash Flow_SEC Format'!$I$9,'[46]Cash Flow_SEC Format'!$I$20)/1000,0)-2</f>
        <v>1226</v>
      </c>
      <c r="AC28" s="178">
        <f>ROUND(SUM('[47]Cash Flow_SEC Format'!$I$8,'[47]Cash Flow_SEC Format'!$I$9,'[47]Cash Flow_SEC Format'!$I$20)/1000,0)-AB28</f>
        <v>108</v>
      </c>
      <c r="AD28" s="178">
        <f>ROUND(SUM('[48]Cash Flow_SEC Format'!$I$8,'[48]Cash Flow_SEC Format'!$I$9,'[48]Cash Flow_SEC Format'!$I$20)/1000,0)-SUM(AB28:AC28)-3</f>
        <v>207</v>
      </c>
      <c r="AE28" s="178">
        <f>+AF28-SUM(AB28:AD28)</f>
        <v>-440</v>
      </c>
      <c r="AF28" s="178">
        <f>ROUND(SUM('[49]Cash Flow_SEC Format'!$I$8,'[49]Cash Flow_SEC Format'!$I$9,'[49]Cash Flow_SEC Format'!$I$20)/1000,0)</f>
        <v>1101</v>
      </c>
      <c r="AG28" s="178">
        <f>ROUND(SUM('[50]Cash Flow_SEC Format'!$I$10,'[50]Cash Flow_SEC Format'!$I$8,'[50]Cash Flow_SEC Format'!$I$21)/1000,0)+2</f>
        <v>348</v>
      </c>
      <c r="AH28" s="178">
        <f>ROUND(SUM('[51]Cash Flow_SEC Format'!$I$8,'[51]Cash Flow_SEC Format'!$I$10,'[51]Cash Flow_SEC Format'!$I$21)/1000,0)-AG28</f>
        <v>173</v>
      </c>
      <c r="AI28" s="179">
        <f>SUM([11]Cashflow!B28:AG28)-SUM(B28:AG28)</f>
        <v>0</v>
      </c>
      <c r="AJ28" s="2"/>
      <c r="AL28" s="73"/>
      <c r="AT28" s="2"/>
      <c r="AU28" s="2"/>
      <c r="AV28" s="2"/>
      <c r="AW28" s="2"/>
      <c r="AX28" s="2"/>
      <c r="AY28" s="2"/>
      <c r="AZ28" s="2"/>
      <c r="BA28" s="2"/>
      <c r="BB28" s="2"/>
      <c r="BC28" s="2"/>
      <c r="BD28" s="2"/>
      <c r="BE28" s="2"/>
      <c r="BF28" s="2"/>
      <c r="BG28" s="2"/>
      <c r="BH28" s="2"/>
      <c r="BI28" s="2"/>
      <c r="BJ28" s="2"/>
      <c r="BK28" s="2"/>
      <c r="BL28" s="2"/>
      <c r="BM28" s="2"/>
      <c r="BN28" s="2"/>
    </row>
    <row r="29" spans="1:66" x14ac:dyDescent="0.15">
      <c r="A29" s="36" t="s">
        <v>50</v>
      </c>
      <c r="B29" s="140"/>
      <c r="C29" s="140"/>
      <c r="D29" s="140"/>
      <c r="E29" s="140"/>
      <c r="F29" s="158"/>
      <c r="G29" s="158"/>
      <c r="H29" s="158"/>
      <c r="I29" s="158"/>
      <c r="J29" s="158"/>
      <c r="K29" s="158"/>
      <c r="L29" s="179"/>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9">
        <f>SUM([11]Cashflow!B29:AG29)-SUM(B29:AG29)</f>
        <v>0</v>
      </c>
      <c r="AL29" s="73"/>
    </row>
    <row r="30" spans="1:66" hidden="1" x14ac:dyDescent="0.15">
      <c r="A30" s="30" t="s">
        <v>16</v>
      </c>
      <c r="B30" s="140">
        <v>0</v>
      </c>
      <c r="C30" s="140">
        <v>0</v>
      </c>
      <c r="D30" s="140">
        <v>0</v>
      </c>
      <c r="E30" s="140">
        <f t="shared" ref="E30:E36" si="18">+F30-SUM(B30:D30)</f>
        <v>0</v>
      </c>
      <c r="F30" s="140">
        <v>0</v>
      </c>
      <c r="G30" s="140">
        <v>0</v>
      </c>
      <c r="H30" s="140">
        <v>0</v>
      </c>
      <c r="I30" s="140">
        <v>0</v>
      </c>
      <c r="J30" s="140">
        <f t="shared" ref="J30:J38" si="19">+K30-SUM(G30:I30)</f>
        <v>0</v>
      </c>
      <c r="K30" s="140">
        <v>0</v>
      </c>
      <c r="L30" s="179"/>
      <c r="M30" s="140">
        <v>0</v>
      </c>
      <c r="N30" s="140">
        <v>0</v>
      </c>
      <c r="O30" s="140">
        <v>0</v>
      </c>
      <c r="P30" s="140">
        <v>0</v>
      </c>
      <c r="Q30" s="140">
        <v>0</v>
      </c>
      <c r="R30" s="140">
        <v>0</v>
      </c>
      <c r="S30" s="140">
        <v>0</v>
      </c>
      <c r="T30" s="140">
        <v>0</v>
      </c>
      <c r="U30" s="140">
        <f t="shared" si="17"/>
        <v>0</v>
      </c>
      <c r="V30" s="140">
        <v>0</v>
      </c>
      <c r="W30" s="140">
        <v>0</v>
      </c>
      <c r="X30" s="140">
        <v>0</v>
      </c>
      <c r="Y30" s="140">
        <v>0</v>
      </c>
      <c r="Z30" s="140">
        <f t="shared" si="15"/>
        <v>0</v>
      </c>
      <c r="AA30" s="140"/>
      <c r="AB30" s="140">
        <v>0</v>
      </c>
      <c r="AC30" s="140">
        <v>0</v>
      </c>
      <c r="AD30" s="140">
        <v>0</v>
      </c>
      <c r="AE30" s="140">
        <f t="shared" si="16"/>
        <v>0</v>
      </c>
      <c r="AF30" s="140"/>
      <c r="AG30" s="140"/>
      <c r="AH30" s="140"/>
      <c r="AI30" s="179">
        <f>SUM([11]Cashflow!B30:AG30)-SUM(B30:AG30)</f>
        <v>0</v>
      </c>
      <c r="AL30" s="73"/>
    </row>
    <row r="31" spans="1:66" x14ac:dyDescent="0.15">
      <c r="A31" s="30" t="s">
        <v>17</v>
      </c>
      <c r="B31" s="141">
        <v>-590</v>
      </c>
      <c r="C31" s="141">
        <v>-11129</v>
      </c>
      <c r="D31" s="141">
        <v>2365</v>
      </c>
      <c r="E31" s="141">
        <f t="shared" si="18"/>
        <v>-692</v>
      </c>
      <c r="F31" s="158">
        <v>-10046</v>
      </c>
      <c r="G31" s="158">
        <v>-12016</v>
      </c>
      <c r="H31" s="158">
        <v>-4462</v>
      </c>
      <c r="I31" s="158">
        <v>3</v>
      </c>
      <c r="J31" s="158">
        <f t="shared" si="19"/>
        <v>9382</v>
      </c>
      <c r="K31" s="158">
        <f>'[1]Statements of Cash Flow'!C21</f>
        <v>-7093</v>
      </c>
      <c r="L31" s="179">
        <f t="shared" ref="L31:L38" si="20">SUM(G31:J31)-K31</f>
        <v>0</v>
      </c>
      <c r="M31" s="178">
        <v>-17518</v>
      </c>
      <c r="N31" s="178">
        <v>29898</v>
      </c>
      <c r="O31" s="178">
        <v>3698</v>
      </c>
      <c r="P31" s="178">
        <f t="shared" ref="P31:P38" si="21">+Q31-SUM(M31:O31)</f>
        <v>8618</v>
      </c>
      <c r="Q31" s="178">
        <f>'[2]Statements of Cash Flow'!$C$21</f>
        <v>24696</v>
      </c>
      <c r="R31" s="178">
        <v>-11818</v>
      </c>
      <c r="S31" s="178">
        <v>-22334</v>
      </c>
      <c r="T31" s="178">
        <v>-10719</v>
      </c>
      <c r="U31" s="178">
        <f t="shared" si="17"/>
        <v>7187</v>
      </c>
      <c r="V31" s="178">
        <f>'[3]Statements of Cash Flow'!$C$22</f>
        <v>-37684</v>
      </c>
      <c r="W31" s="178">
        <v>-45659</v>
      </c>
      <c r="X31" s="178">
        <v>-726</v>
      </c>
      <c r="Y31" s="178">
        <v>-21681</v>
      </c>
      <c r="Z31" s="178">
        <f t="shared" si="15"/>
        <v>-55</v>
      </c>
      <c r="AA31" s="178">
        <f>'[4]Statements of Cash Flow'!$C$23</f>
        <v>-68121</v>
      </c>
      <c r="AB31" s="178">
        <f>'[5]Statements of Cash Flow'!$C$23</f>
        <v>-30896</v>
      </c>
      <c r="AC31" s="178">
        <f>'[6]Statements of Cash Flow'!$C$23-AB31</f>
        <v>2521</v>
      </c>
      <c r="AD31" s="178">
        <f>'[7]Statements of Cash Flow'!$C$23-SUM(AB31:AC31)</f>
        <v>-18113</v>
      </c>
      <c r="AE31" s="178">
        <f t="shared" si="16"/>
        <v>-2754</v>
      </c>
      <c r="AF31" s="178">
        <f>'[8]Statements of Cash Flow'!$C$23</f>
        <v>-49242</v>
      </c>
      <c r="AG31" s="178">
        <f>'[9]Statements of Cash Flow'!$C$23</f>
        <v>-27578</v>
      </c>
      <c r="AH31" s="178">
        <f>'[10]Statements of Cash Flow'!$C$23-AG31</f>
        <v>7570</v>
      </c>
      <c r="AI31" s="179">
        <f>SUM([11]Cashflow!B31:AG31)-SUM(B31:AG31)</f>
        <v>0</v>
      </c>
      <c r="AL31" s="73"/>
    </row>
    <row r="32" spans="1:66" x14ac:dyDescent="0.15">
      <c r="A32" s="30" t="s">
        <v>230</v>
      </c>
      <c r="B32" s="141">
        <f>-2164+-1789</f>
        <v>-3953</v>
      </c>
      <c r="C32" s="141">
        <f>-266+-2498</f>
        <v>-2764</v>
      </c>
      <c r="D32" s="141">
        <f>-914+-1697</f>
        <v>-2611</v>
      </c>
      <c r="E32" s="141">
        <f t="shared" si="18"/>
        <v>-1981</v>
      </c>
      <c r="F32" s="158">
        <f>-4509+-6800</f>
        <v>-11309</v>
      </c>
      <c r="G32" s="158">
        <f>591+388</f>
        <v>979</v>
      </c>
      <c r="H32" s="158">
        <f>-2624+-262</f>
        <v>-2886</v>
      </c>
      <c r="I32" s="158">
        <f>2785+-1433</f>
        <v>1352</v>
      </c>
      <c r="J32" s="158">
        <f t="shared" si="19"/>
        <v>-434</v>
      </c>
      <c r="K32" s="158">
        <f>'[1]Statements of Cash Flow'!C22+'[1]Statements of Cash Flow'!$C$24</f>
        <v>-989</v>
      </c>
      <c r="L32" s="179">
        <f t="shared" si="20"/>
        <v>0</v>
      </c>
      <c r="M32" s="178">
        <f>-1871+925</f>
        <v>-946</v>
      </c>
      <c r="N32" s="178">
        <f>965+2121</f>
        <v>3086</v>
      </c>
      <c r="O32" s="178">
        <f>2703+50</f>
        <v>2753</v>
      </c>
      <c r="P32" s="178">
        <f t="shared" si="21"/>
        <v>-3521</v>
      </c>
      <c r="Q32" s="178">
        <f>'[2]Statements of Cash Flow'!$C$22+'[2]Statements of Cash Flow'!$C$24</f>
        <v>1372</v>
      </c>
      <c r="R32" s="178">
        <f>-21+1268</f>
        <v>1247</v>
      </c>
      <c r="S32" s="178">
        <f>210+321</f>
        <v>531</v>
      </c>
      <c r="T32" s="178">
        <f>2844+896</f>
        <v>3740</v>
      </c>
      <c r="U32" s="178">
        <f t="shared" si="17"/>
        <v>-6470</v>
      </c>
      <c r="V32" s="178">
        <f>'[3]Statements of Cash Flow'!$C$23+'[3]Statements of Cash Flow'!$C$25</f>
        <v>-952</v>
      </c>
      <c r="W32" s="178">
        <f>-1116+-2924</f>
        <v>-4040</v>
      </c>
      <c r="X32" s="178">
        <f>3977+-3660</f>
        <v>317</v>
      </c>
      <c r="Y32" s="178">
        <f>-308+-1844</f>
        <v>-2152</v>
      </c>
      <c r="Z32" s="178">
        <f t="shared" si="15"/>
        <v>-12557</v>
      </c>
      <c r="AA32" s="178">
        <f>'[4]Statements of Cash Flow'!$C$24+'[4]Statements of Cash Flow'!$C$26</f>
        <v>-18432</v>
      </c>
      <c r="AB32" s="178">
        <f>'[5]Statements of Cash Flow'!$C$24+'[5]Statements of Cash Flow'!$C$26</f>
        <v>-10218</v>
      </c>
      <c r="AC32" s="178">
        <f>'[6]Statements of Cash Flow'!$C$24+'[6]Statements of Cash Flow'!$C$26-AB32</f>
        <v>-6941</v>
      </c>
      <c r="AD32" s="178">
        <f>'[7]Statements of Cash Flow'!$C$24+'[7]Statements of Cash Flow'!$C$26-SUM(AB32:AC32)</f>
        <v>-2045</v>
      </c>
      <c r="AE32" s="178">
        <f t="shared" si="16"/>
        <v>-5135</v>
      </c>
      <c r="AF32" s="178">
        <f>'[8]Statements of Cash Flow'!$C$24+'[8]Statements of Cash Flow'!$C$26</f>
        <v>-24339</v>
      </c>
      <c r="AG32" s="178">
        <f>'[9]Statements of Cash Flow'!$C$24+'[9]Statements of Cash Flow'!$C$26</f>
        <v>-14969</v>
      </c>
      <c r="AH32" s="178">
        <f>'[10]Statements of Cash Flow'!$C$24-AG32</f>
        <v>462</v>
      </c>
      <c r="AI32" s="179">
        <f>SUM([11]Cashflow!B32:AG32)+SUM([11]Cashflow!$B$37:$AG$37)-SUM(B32:AG32)</f>
        <v>0</v>
      </c>
      <c r="AL32" s="73"/>
    </row>
    <row r="33" spans="1:209" hidden="1" x14ac:dyDescent="0.15">
      <c r="A33" s="30" t="s">
        <v>21</v>
      </c>
      <c r="B33" s="141"/>
      <c r="C33" s="141"/>
      <c r="D33" s="141"/>
      <c r="E33" s="141"/>
      <c r="F33" s="158"/>
      <c r="G33" s="158"/>
      <c r="H33" s="158"/>
      <c r="I33" s="158"/>
      <c r="J33" s="158"/>
      <c r="K33" s="158"/>
      <c r="L33" s="179">
        <f t="shared" si="20"/>
        <v>0</v>
      </c>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9">
        <f>SUM([11]Cashflow!B33:AG33)-SUM(B33:AG33)</f>
        <v>-3874</v>
      </c>
      <c r="AL33" s="73"/>
    </row>
    <row r="34" spans="1:209" x14ac:dyDescent="0.15">
      <c r="A34" s="30" t="s">
        <v>22</v>
      </c>
      <c r="B34" s="141">
        <v>877</v>
      </c>
      <c r="C34" s="141">
        <v>-1076</v>
      </c>
      <c r="D34" s="141">
        <v>-5000</v>
      </c>
      <c r="E34" s="141">
        <f t="shared" si="18"/>
        <v>270</v>
      </c>
      <c r="F34" s="158">
        <v>-4929</v>
      </c>
      <c r="G34" s="158">
        <v>3262</v>
      </c>
      <c r="H34" s="158">
        <v>2392</v>
      </c>
      <c r="I34" s="158">
        <v>-2407</v>
      </c>
      <c r="J34" s="158">
        <f t="shared" si="19"/>
        <v>3432</v>
      </c>
      <c r="K34" s="158">
        <f>'[1]Statements of Cash Flow'!C26</f>
        <v>6679</v>
      </c>
      <c r="L34" s="179">
        <f t="shared" si="20"/>
        <v>0</v>
      </c>
      <c r="M34" s="178">
        <v>2579</v>
      </c>
      <c r="N34" s="178">
        <v>487</v>
      </c>
      <c r="O34" s="178">
        <v>-2771</v>
      </c>
      <c r="P34" s="178">
        <f t="shared" si="21"/>
        <v>17927</v>
      </c>
      <c r="Q34" s="178">
        <f>'[2]Statements of Cash Flow'!$C$26</f>
        <v>18222</v>
      </c>
      <c r="R34" s="178">
        <v>-17986</v>
      </c>
      <c r="S34" s="178">
        <v>-2846</v>
      </c>
      <c r="T34" s="178">
        <v>-364</v>
      </c>
      <c r="U34" s="178">
        <f t="shared" si="17"/>
        <v>8463</v>
      </c>
      <c r="V34" s="178">
        <f>'[3]Statements of Cash Flow'!$C$27</f>
        <v>-12733</v>
      </c>
      <c r="W34" s="178">
        <v>3707</v>
      </c>
      <c r="X34" s="178">
        <v>569</v>
      </c>
      <c r="Y34" s="178">
        <v>-2173</v>
      </c>
      <c r="Z34" s="178">
        <f t="shared" si="15"/>
        <v>370</v>
      </c>
      <c r="AA34" s="178">
        <f>'[4]Statements of Cash Flow'!$C$28</f>
        <v>2473</v>
      </c>
      <c r="AB34" s="178">
        <f>'[5]Statements of Cash Flow'!$C$28</f>
        <v>2451</v>
      </c>
      <c r="AC34" s="178">
        <f>'[6]Statements of Cash Flow'!$C$28-AB34</f>
        <v>2929</v>
      </c>
      <c r="AD34" s="178">
        <f>'[7]Statements of Cash Flow'!$C$28-SUM(AB34:AC34)</f>
        <v>-3061</v>
      </c>
      <c r="AE34" s="178">
        <f t="shared" si="16"/>
        <v>-3196</v>
      </c>
      <c r="AF34" s="178">
        <f>'[8]Statements of Cash Flow'!$C$28</f>
        <v>-877</v>
      </c>
      <c r="AG34" s="178">
        <f>'[9]Statements of Cash Flow'!$C$29</f>
        <v>5829</v>
      </c>
      <c r="AH34" s="178">
        <f>'[10]Statements of Cash Flow'!$C$28-AG34</f>
        <v>-2691</v>
      </c>
      <c r="AI34" s="179">
        <f>SUM([11]Cashflow!B34:AG34)-SUM(B34:AG34)</f>
        <v>0</v>
      </c>
      <c r="AL34" s="73"/>
    </row>
    <row r="35" spans="1:209" x14ac:dyDescent="0.15">
      <c r="A35" s="30" t="s">
        <v>231</v>
      </c>
      <c r="B35" s="141">
        <f>-24338+-1726</f>
        <v>-26064</v>
      </c>
      <c r="C35" s="141">
        <f>6380+383</f>
        <v>6763</v>
      </c>
      <c r="D35" s="141">
        <f>9842+-71</f>
        <v>9771</v>
      </c>
      <c r="E35" s="141">
        <f t="shared" si="18"/>
        <v>9358</v>
      </c>
      <c r="F35" s="158">
        <f>188+-360</f>
        <v>-172</v>
      </c>
      <c r="G35" s="158">
        <f>-16599+-1159</f>
        <v>-17758</v>
      </c>
      <c r="H35" s="158">
        <f>9232+-955</f>
        <v>8277</v>
      </c>
      <c r="I35" s="158">
        <f>22947+267</f>
        <v>23214</v>
      </c>
      <c r="J35" s="158">
        <f t="shared" si="19"/>
        <v>17457</v>
      </c>
      <c r="K35" s="158">
        <f>'[1]Statements of Cash Flow'!C27+'[1]Statements of Cash Flow'!$C$28+'[1]Statements of Cash Flow'!C25</f>
        <v>31190</v>
      </c>
      <c r="L35" s="179">
        <f t="shared" si="20"/>
        <v>0</v>
      </c>
      <c r="M35" s="178">
        <f>-36074+1400</f>
        <v>-34674</v>
      </c>
      <c r="N35" s="178">
        <f>8272+543</f>
        <v>8815</v>
      </c>
      <c r="O35" s="178">
        <f>15587+-2433</f>
        <v>13154</v>
      </c>
      <c r="P35" s="178">
        <f t="shared" si="21"/>
        <v>3388</v>
      </c>
      <c r="Q35" s="178">
        <f>'[2]Statements of Cash Flow'!$C$27+'[2]Statements of Cash Flow'!$C$28+'[2]Statements of Cash Flow'!$C$25</f>
        <v>-9317</v>
      </c>
      <c r="R35" s="178">
        <f>-15155+1902</f>
        <v>-13253</v>
      </c>
      <c r="S35" s="178">
        <f>31278+-4360</f>
        <v>26918</v>
      </c>
      <c r="T35" s="178">
        <f>13795+125</f>
        <v>13920</v>
      </c>
      <c r="U35" s="178">
        <f t="shared" si="17"/>
        <v>21210</v>
      </c>
      <c r="V35" s="178">
        <f>'[3]Statements of Cash Flow'!$C$28+'[3]Statements of Cash Flow'!$C$29+'[3]Statements of Cash Flow'!$C$26</f>
        <v>48795</v>
      </c>
      <c r="W35" s="178">
        <f>-44361+-808</f>
        <v>-45169</v>
      </c>
      <c r="X35" s="178">
        <f>21535+-299</f>
        <v>21236</v>
      </c>
      <c r="Y35" s="178">
        <f>24733+-820</f>
        <v>23913</v>
      </c>
      <c r="Z35" s="178">
        <f t="shared" si="15"/>
        <v>22431</v>
      </c>
      <c r="AA35" s="178">
        <f>'[4]Statements of Cash Flow'!$C$29+'[4]Statements of Cash Flow'!$C$30+'[4]Statements of Cash Flow'!$C$27</f>
        <v>22411</v>
      </c>
      <c r="AB35" s="178">
        <f>'[5]Statements of Cash Flow'!$C$29+'[5]Statements of Cash Flow'!$C$30+'[5]Statements of Cash Flow'!$C$27</f>
        <v>-34829</v>
      </c>
      <c r="AC35" s="178">
        <f>'[6]Statements of Cash Flow'!$C$29+'[6]Statements of Cash Flow'!$C$30+'[6]Statements of Cash Flow'!$C$27-AB35</f>
        <v>4960</v>
      </c>
      <c r="AD35" s="178">
        <f>('[7]Statements of Cash Flow'!$C$29+'[7]Statements of Cash Flow'!$C$30)+'[7]Statements of Cash Flow'!$C$27-SUM(AB35:AC35)</f>
        <v>27691</v>
      </c>
      <c r="AE35" s="178">
        <f t="shared" si="16"/>
        <v>23594</v>
      </c>
      <c r="AF35" s="178">
        <f>'[8]Statements of Cash Flow'!$C$29+'[8]Statements of Cash Flow'!$C$30+'[8]Statements of Cash Flow'!$C$27</f>
        <v>21416</v>
      </c>
      <c r="AG35" s="178">
        <f>'[9]Statements of Cash Flow'!$C$31+'[9]Statements of Cash Flow'!$C$30+'[9]Statements of Cash Flow'!$C$27</f>
        <v>-55875</v>
      </c>
      <c r="AH35" s="178">
        <f>+'[10]Statements of Cash Flow'!$C$30+'[10]Statements of Cash Flow'!$C$29-AG35</f>
        <v>20108</v>
      </c>
      <c r="AI35" s="179">
        <f>SUM([11]Cashflow!B35:AG35)+SUM([11]Cashflow!$B$33:$AG$33)-SUM(B35:AG35)</f>
        <v>0</v>
      </c>
      <c r="AL35" s="73"/>
    </row>
    <row r="36" spans="1:209" x14ac:dyDescent="0.15">
      <c r="A36" s="30" t="s">
        <v>141</v>
      </c>
      <c r="B36" s="141">
        <v>-13906</v>
      </c>
      <c r="C36" s="141">
        <v>6301</v>
      </c>
      <c r="D36" s="141">
        <v>3377</v>
      </c>
      <c r="E36" s="141">
        <f t="shared" si="18"/>
        <v>-9919</v>
      </c>
      <c r="F36" s="158">
        <v>-14147</v>
      </c>
      <c r="G36" s="158">
        <v>-2099</v>
      </c>
      <c r="H36" s="158">
        <v>3444</v>
      </c>
      <c r="I36" s="158">
        <v>4867</v>
      </c>
      <c r="J36" s="158">
        <f t="shared" si="19"/>
        <v>982</v>
      </c>
      <c r="K36" s="158">
        <f>'[1]Statements of Cash Flow'!$C$23</f>
        <v>7194</v>
      </c>
      <c r="L36" s="179">
        <f t="shared" si="20"/>
        <v>0</v>
      </c>
      <c r="M36" s="178">
        <v>-1109</v>
      </c>
      <c r="N36" s="178">
        <v>5555</v>
      </c>
      <c r="O36" s="178">
        <v>2555</v>
      </c>
      <c r="P36" s="178">
        <f t="shared" si="21"/>
        <v>-6305</v>
      </c>
      <c r="Q36" s="178">
        <f>'[2]Statements of Cash Flow'!$C$23</f>
        <v>696</v>
      </c>
      <c r="R36" s="178">
        <v>9057</v>
      </c>
      <c r="S36" s="178">
        <v>-9018</v>
      </c>
      <c r="T36" s="178">
        <v>-5724</v>
      </c>
      <c r="U36" s="178">
        <f t="shared" si="17"/>
        <v>-6377</v>
      </c>
      <c r="V36" s="178">
        <f>'[3]Statements of Cash Flow'!$C$24</f>
        <v>-12062</v>
      </c>
      <c r="W36" s="178">
        <v>6185</v>
      </c>
      <c r="X36" s="178">
        <v>2499</v>
      </c>
      <c r="Y36" s="178">
        <v>-4641</v>
      </c>
      <c r="Z36" s="178">
        <f t="shared" si="15"/>
        <v>4736</v>
      </c>
      <c r="AA36" s="178">
        <f>'[4]Statements of Cash Flow'!$C$25</f>
        <v>8779</v>
      </c>
      <c r="AB36" s="178">
        <f>'[5]Statements of Cash Flow'!$C$25</f>
        <v>7883</v>
      </c>
      <c r="AC36" s="178">
        <f>'[6]Statements of Cash Flow'!$C$25-AB36</f>
        <v>-18493</v>
      </c>
      <c r="AD36" s="178">
        <f>'[7]Statements of Cash Flow'!$C$25-SUM(AB36:AC36)</f>
        <v>-1412</v>
      </c>
      <c r="AE36" s="178">
        <f t="shared" si="16"/>
        <v>-6260</v>
      </c>
      <c r="AF36" s="178">
        <f>'[8]Statements of Cash Flow'!$C$25</f>
        <v>-18282</v>
      </c>
      <c r="AG36" s="178">
        <f>'[9]Statements of Cash Flow'!$C$25</f>
        <v>11443</v>
      </c>
      <c r="AH36" s="178">
        <f>'[10]Statements of Cash Flow'!$C$25-AG36</f>
        <v>-16365</v>
      </c>
      <c r="AI36" s="179">
        <f>SUM([11]Cashflow!B36:AG36)-SUM(B36:AG36)</f>
        <v>0</v>
      </c>
      <c r="AL36" s="73"/>
    </row>
    <row r="37" spans="1:209" hidden="1" x14ac:dyDescent="0.15">
      <c r="A37" s="30" t="s">
        <v>26</v>
      </c>
      <c r="B37" s="141"/>
      <c r="C37" s="141"/>
      <c r="D37" s="141"/>
      <c r="E37" s="141"/>
      <c r="F37" s="158"/>
      <c r="G37" s="158"/>
      <c r="H37" s="158"/>
      <c r="I37" s="158"/>
      <c r="J37" s="158"/>
      <c r="K37" s="158"/>
      <c r="L37" s="179">
        <f t="shared" si="20"/>
        <v>0</v>
      </c>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9">
        <f>SUM([11]Cashflow!B37:AG37)-SUM(B37:AG37)</f>
        <v>-59231</v>
      </c>
      <c r="AL37" s="73"/>
    </row>
    <row r="38" spans="1:209" x14ac:dyDescent="0.15">
      <c r="A38" s="30" t="s">
        <v>139</v>
      </c>
      <c r="B38" s="158">
        <v>0</v>
      </c>
      <c r="C38" s="158">
        <v>0</v>
      </c>
      <c r="D38" s="158">
        <v>0</v>
      </c>
      <c r="E38" s="158">
        <v>0</v>
      </c>
      <c r="F38" s="158">
        <v>0</v>
      </c>
      <c r="G38" s="158">
        <v>0</v>
      </c>
      <c r="H38" s="158">
        <v>-13749</v>
      </c>
      <c r="I38" s="158">
        <v>-5679</v>
      </c>
      <c r="J38" s="158">
        <f t="shared" si="19"/>
        <v>-5385</v>
      </c>
      <c r="K38" s="158">
        <f>'[1]Statements of Cash Flow'!$C$29</f>
        <v>-24813</v>
      </c>
      <c r="L38" s="179">
        <f t="shared" si="20"/>
        <v>0</v>
      </c>
      <c r="M38" s="178">
        <v>-6576</v>
      </c>
      <c r="N38" s="178">
        <v>-6255</v>
      </c>
      <c r="O38" s="178">
        <v>-6949</v>
      </c>
      <c r="P38" s="178">
        <f t="shared" si="21"/>
        <v>-6809</v>
      </c>
      <c r="Q38" s="178">
        <f>'[2]Statements of Cash Flow'!$C$29</f>
        <v>-26589</v>
      </c>
      <c r="R38" s="178">
        <v>-6868</v>
      </c>
      <c r="S38" s="178">
        <v>-6459</v>
      </c>
      <c r="T38" s="178">
        <v>-6327</v>
      </c>
      <c r="U38" s="178">
        <f t="shared" si="17"/>
        <v>-6020</v>
      </c>
      <c r="V38" s="178">
        <f>'[3]Statements of Cash Flow'!$C$30</f>
        <v>-25674</v>
      </c>
      <c r="W38" s="178">
        <v>-6005</v>
      </c>
      <c r="X38" s="178">
        <v>-5917</v>
      </c>
      <c r="Y38" s="178">
        <v>-5909</v>
      </c>
      <c r="Z38" s="178">
        <f t="shared" si="15"/>
        <v>-5396</v>
      </c>
      <c r="AA38" s="178">
        <f>'[4]Statements of Cash Flow'!$C$31</f>
        <v>-23227</v>
      </c>
      <c r="AB38" s="178">
        <f>'[5]Statements of Cash Flow'!$C$31</f>
        <v>-5453</v>
      </c>
      <c r="AC38" s="178">
        <f>'[6]Statements of Cash Flow'!$C$31-AB38</f>
        <v>-5376</v>
      </c>
      <c r="AD38" s="178">
        <f>'[7]Statements of Cash Flow'!$C$31-SUM(AB38:AC38)</f>
        <v>-4793</v>
      </c>
      <c r="AE38" s="178">
        <f t="shared" si="16"/>
        <v>-4559</v>
      </c>
      <c r="AF38" s="178">
        <f>'[8]Statements of Cash Flow'!$C$31</f>
        <v>-20181</v>
      </c>
      <c r="AG38" s="178">
        <f>'[9]Statements of Cash Flow'!$C$32</f>
        <v>-4616</v>
      </c>
      <c r="AH38" s="282">
        <f>'[10]Statements of Cash Flow'!$C$31-AG38</f>
        <v>-5029</v>
      </c>
      <c r="AI38" s="179">
        <f>SUM([11]Cashflow!B38:AG38)-SUM(B38:AG38)</f>
        <v>0</v>
      </c>
      <c r="AL38" s="73"/>
    </row>
    <row r="39" spans="1:209" x14ac:dyDescent="0.15">
      <c r="A39" s="30" t="s">
        <v>201</v>
      </c>
      <c r="B39" s="141">
        <v>0</v>
      </c>
      <c r="C39" s="141">
        <v>0</v>
      </c>
      <c r="D39" s="141">
        <v>0</v>
      </c>
      <c r="E39" s="141">
        <v>0</v>
      </c>
      <c r="F39" s="158">
        <v>0</v>
      </c>
      <c r="G39" s="158">
        <v>0</v>
      </c>
      <c r="H39" s="158">
        <v>0</v>
      </c>
      <c r="I39" s="158">
        <v>0</v>
      </c>
      <c r="J39" s="158">
        <v>0</v>
      </c>
      <c r="K39" s="158">
        <v>0</v>
      </c>
      <c r="L39" s="179">
        <v>0</v>
      </c>
      <c r="M39" s="178">
        <v>0</v>
      </c>
      <c r="N39" s="178">
        <v>0</v>
      </c>
      <c r="O39" s="178">
        <v>0</v>
      </c>
      <c r="P39" s="178">
        <v>0</v>
      </c>
      <c r="Q39" s="178">
        <v>0</v>
      </c>
      <c r="R39" s="178">
        <v>0</v>
      </c>
      <c r="S39" s="178">
        <v>0</v>
      </c>
      <c r="T39" s="178">
        <v>0</v>
      </c>
      <c r="U39" s="178">
        <v>0</v>
      </c>
      <c r="V39" s="178">
        <v>0</v>
      </c>
      <c r="W39" s="178">
        <v>0</v>
      </c>
      <c r="X39" s="178">
        <v>0</v>
      </c>
      <c r="Y39" s="178">
        <v>0</v>
      </c>
      <c r="Z39" s="178">
        <v>0</v>
      </c>
      <c r="AA39" s="178">
        <v>0</v>
      </c>
      <c r="AB39" s="178">
        <v>0</v>
      </c>
      <c r="AC39" s="178">
        <v>0</v>
      </c>
      <c r="AD39" s="178">
        <v>0</v>
      </c>
      <c r="AE39" s="178">
        <v>0</v>
      </c>
      <c r="AF39" s="178">
        <v>0</v>
      </c>
      <c r="AG39" s="178">
        <f>'[9]Statements of Cash Flow'!$C$28</f>
        <v>-11000</v>
      </c>
      <c r="AH39" s="178">
        <f>'[10]Statements of Cash Flow'!$C$26-AG39</f>
        <v>0</v>
      </c>
      <c r="AI39" s="179"/>
      <c r="AL39" s="73"/>
    </row>
    <row r="40" spans="1:209" x14ac:dyDescent="0.15">
      <c r="A40" s="42" t="s">
        <v>72</v>
      </c>
      <c r="B40" s="133">
        <f>SUM(B8:B39)</f>
        <v>-8005</v>
      </c>
      <c r="C40" s="133">
        <f t="shared" ref="C40:AH40" si="22">SUM(C8:C39)</f>
        <v>21798</v>
      </c>
      <c r="D40" s="133">
        <f t="shared" si="22"/>
        <v>33058</v>
      </c>
      <c r="E40" s="133">
        <f t="shared" si="22"/>
        <v>45584.475935178678</v>
      </c>
      <c r="F40" s="133">
        <f t="shared" si="22"/>
        <v>92435.475935178692</v>
      </c>
      <c r="G40" s="133">
        <f t="shared" si="22"/>
        <v>8342.4759351786779</v>
      </c>
      <c r="H40" s="133">
        <f t="shared" si="22"/>
        <v>39374.098391361411</v>
      </c>
      <c r="I40" s="133">
        <f t="shared" si="22"/>
        <v>58237.828320000001</v>
      </c>
      <c r="J40" s="133">
        <f t="shared" si="22"/>
        <v>62465.597353459918</v>
      </c>
      <c r="K40" s="133">
        <f t="shared" si="22"/>
        <v>168420</v>
      </c>
      <c r="L40" s="133">
        <f t="shared" si="22"/>
        <v>0</v>
      </c>
      <c r="M40" s="133">
        <f t="shared" si="22"/>
        <v>-13555</v>
      </c>
      <c r="N40" s="133">
        <f t="shared" si="22"/>
        <v>72462</v>
      </c>
      <c r="O40" s="133">
        <f t="shared" si="22"/>
        <v>67407</v>
      </c>
      <c r="P40" s="133">
        <f t="shared" si="22"/>
        <v>76659</v>
      </c>
      <c r="Q40" s="133">
        <f t="shared" si="22"/>
        <v>202973</v>
      </c>
      <c r="R40" s="133">
        <f t="shared" si="22"/>
        <v>15205</v>
      </c>
      <c r="S40" s="133">
        <f t="shared" si="22"/>
        <v>38738</v>
      </c>
      <c r="T40" s="133">
        <f t="shared" si="22"/>
        <v>59819</v>
      </c>
      <c r="U40" s="133">
        <f t="shared" si="22"/>
        <v>70625</v>
      </c>
      <c r="V40" s="133">
        <f t="shared" si="22"/>
        <v>184387</v>
      </c>
      <c r="W40" s="133">
        <f t="shared" si="22"/>
        <v>-26870</v>
      </c>
      <c r="X40" s="133">
        <f t="shared" si="22"/>
        <v>79878</v>
      </c>
      <c r="Y40" s="133">
        <f t="shared" si="22"/>
        <v>48081</v>
      </c>
      <c r="Z40" s="133">
        <f t="shared" si="22"/>
        <v>65052</v>
      </c>
      <c r="AA40" s="133">
        <f t="shared" si="22"/>
        <v>166141</v>
      </c>
      <c r="AB40" s="133">
        <f t="shared" si="22"/>
        <v>16025</v>
      </c>
      <c r="AC40" s="133">
        <f t="shared" si="22"/>
        <v>47534</v>
      </c>
      <c r="AD40" s="133">
        <f t="shared" si="22"/>
        <v>68601</v>
      </c>
      <c r="AE40" s="133">
        <f t="shared" si="22"/>
        <v>79038</v>
      </c>
      <c r="AF40" s="133">
        <f t="shared" si="22"/>
        <v>211198</v>
      </c>
      <c r="AG40" s="133">
        <f t="shared" si="22"/>
        <v>-21873</v>
      </c>
      <c r="AH40" s="133">
        <f t="shared" si="22"/>
        <v>74910</v>
      </c>
      <c r="AI40" s="179">
        <f>SUM([11]Cashflow!B40:AG40)-SUM(B40:AG40)</f>
        <v>0</v>
      </c>
      <c r="AK40" s="89"/>
      <c r="AL40" s="89"/>
      <c r="AM40" s="89"/>
      <c r="AN40" s="89"/>
      <c r="AO40" s="89"/>
      <c r="AP40" s="89"/>
      <c r="AQ40" s="89"/>
      <c r="AR40" s="89"/>
      <c r="AS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c r="CL40" s="89"/>
      <c r="CM40" s="89"/>
      <c r="CN40" s="89"/>
      <c r="CO40" s="89"/>
      <c r="CP40" s="89"/>
      <c r="CQ40" s="89"/>
      <c r="CR40" s="89"/>
      <c r="CS40" s="89"/>
      <c r="CT40" s="89"/>
      <c r="CU40" s="89"/>
      <c r="CV40" s="89"/>
      <c r="CW40" s="89"/>
      <c r="CX40" s="89"/>
      <c r="CY40" s="89"/>
      <c r="CZ40" s="89"/>
      <c r="DA40" s="89"/>
      <c r="DB40" s="89"/>
      <c r="DC40" s="89"/>
      <c r="DD40" s="89"/>
      <c r="DE40" s="89"/>
      <c r="DF40" s="89"/>
      <c r="DG40" s="89"/>
      <c r="DH40" s="89"/>
      <c r="DI40" s="89"/>
      <c r="DJ40" s="89"/>
      <c r="DK40" s="89"/>
      <c r="DL40" s="89"/>
      <c r="DM40" s="89"/>
      <c r="DN40" s="89"/>
      <c r="DO40" s="89"/>
      <c r="DP40" s="89"/>
      <c r="DQ40" s="89"/>
      <c r="DR40" s="89"/>
      <c r="DS40" s="89"/>
      <c r="DT40" s="89"/>
      <c r="DU40" s="89"/>
      <c r="DV40" s="89"/>
      <c r="DW40" s="89"/>
      <c r="DX40" s="89"/>
      <c r="DY40" s="89"/>
      <c r="DZ40" s="89"/>
      <c r="EA40" s="89"/>
      <c r="EB40" s="89"/>
      <c r="EC40" s="89"/>
      <c r="ED40" s="89"/>
      <c r="EE40" s="89"/>
      <c r="EF40" s="89"/>
      <c r="EG40" s="89"/>
      <c r="EH40" s="89"/>
      <c r="EI40" s="89"/>
      <c r="EJ40" s="89"/>
      <c r="EK40" s="89"/>
      <c r="EL40" s="89"/>
      <c r="EM40" s="89"/>
      <c r="EN40" s="89"/>
      <c r="EO40" s="89"/>
      <c r="EP40" s="89"/>
      <c r="EQ40" s="89"/>
      <c r="ER40" s="89"/>
      <c r="ES40" s="89"/>
      <c r="ET40" s="89"/>
      <c r="EU40" s="89"/>
      <c r="EV40" s="89"/>
      <c r="EW40" s="89"/>
      <c r="EX40" s="89"/>
      <c r="EY40" s="89"/>
      <c r="EZ40" s="89"/>
      <c r="FA40" s="89"/>
      <c r="FB40" s="89"/>
      <c r="FC40" s="89"/>
      <c r="FD40" s="89"/>
      <c r="FE40" s="89"/>
      <c r="FF40" s="89"/>
      <c r="FG40" s="89"/>
      <c r="FH40" s="89"/>
      <c r="FI40" s="89"/>
      <c r="FJ40" s="89"/>
      <c r="FK40" s="89"/>
      <c r="FL40" s="89"/>
      <c r="FM40" s="89"/>
      <c r="FN40" s="89"/>
      <c r="FO40" s="89"/>
      <c r="FP40" s="89"/>
      <c r="FQ40" s="89"/>
      <c r="FR40" s="89"/>
      <c r="FS40" s="89"/>
      <c r="FT40" s="89"/>
      <c r="FU40" s="89"/>
      <c r="FV40" s="89"/>
      <c r="FW40" s="89"/>
      <c r="FX40" s="89"/>
      <c r="FY40" s="89"/>
      <c r="FZ40" s="89"/>
      <c r="GA40" s="89"/>
      <c r="GB40" s="89"/>
      <c r="GC40" s="89"/>
      <c r="GD40" s="89"/>
      <c r="GE40" s="89"/>
      <c r="GF40" s="89"/>
      <c r="GG40" s="89"/>
      <c r="GH40" s="89"/>
      <c r="GI40" s="89"/>
      <c r="GJ40" s="89"/>
      <c r="GK40" s="89"/>
      <c r="GL40" s="89"/>
      <c r="GM40" s="89"/>
      <c r="GN40" s="89"/>
      <c r="GO40" s="89"/>
      <c r="GP40" s="89"/>
      <c r="GQ40" s="89"/>
      <c r="GR40" s="89"/>
      <c r="GS40" s="89"/>
      <c r="GT40" s="89"/>
      <c r="GU40" s="89"/>
      <c r="GV40" s="89"/>
      <c r="GW40" s="89"/>
      <c r="GX40" s="89"/>
      <c r="GY40" s="89"/>
      <c r="GZ40" s="89"/>
      <c r="HA40" s="89"/>
    </row>
    <row r="41" spans="1:209" x14ac:dyDescent="0.15">
      <c r="A41" s="14" t="s">
        <v>18</v>
      </c>
      <c r="F41" s="158"/>
      <c r="G41" s="158"/>
      <c r="H41" s="158"/>
      <c r="I41" s="158"/>
      <c r="J41" s="158"/>
      <c r="K41" s="158"/>
      <c r="L41" s="2"/>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73"/>
    </row>
    <row r="42" spans="1:209" x14ac:dyDescent="0.15">
      <c r="A42" s="10" t="s">
        <v>73</v>
      </c>
      <c r="F42" s="158"/>
      <c r="G42" s="158"/>
      <c r="H42" s="158"/>
      <c r="I42" s="158"/>
      <c r="J42" s="158"/>
      <c r="K42" s="158"/>
      <c r="L42" s="2"/>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9"/>
    </row>
    <row r="43" spans="1:209" x14ac:dyDescent="0.15">
      <c r="A43" s="12" t="s">
        <v>122</v>
      </c>
      <c r="B43" s="143">
        <v>-12680</v>
      </c>
      <c r="C43" s="143">
        <v>-6616</v>
      </c>
      <c r="D43" s="143">
        <v>-10774</v>
      </c>
      <c r="E43" s="143">
        <f t="shared" ref="E43:E49" si="23">+F43-SUM(B43:D43)</f>
        <v>-10719</v>
      </c>
      <c r="F43" s="158">
        <f>'[2]Statements of Cash Flow'!$G$32</f>
        <v>-40789</v>
      </c>
      <c r="G43" s="158">
        <v>-10878</v>
      </c>
      <c r="H43" s="158">
        <v>-11409</v>
      </c>
      <c r="I43" s="158">
        <f>-10021</f>
        <v>-10021</v>
      </c>
      <c r="J43" s="158">
        <f t="shared" ref="J43:J48" si="24">+K43-SUM(G43:I43)</f>
        <v>-8237</v>
      </c>
      <c r="K43" s="158">
        <f>'[2]Statements of Cash Flow'!$E$32</f>
        <v>-40545</v>
      </c>
      <c r="L43" s="179">
        <f t="shared" ref="L43:L49" si="25">SUM(G43:J43)-K43</f>
        <v>0</v>
      </c>
      <c r="M43" s="178">
        <v>-12347</v>
      </c>
      <c r="N43" s="178">
        <v>-10004</v>
      </c>
      <c r="O43" s="178">
        <v>-12263</v>
      </c>
      <c r="P43" s="178">
        <f t="shared" ref="P43:P48" si="26">+Q43-SUM(M43:O43)</f>
        <v>-7610</v>
      </c>
      <c r="Q43" s="178">
        <f>'[2]Statements of Cash Flow'!$C$32</f>
        <v>-42224</v>
      </c>
      <c r="R43" s="178">
        <v>-12680</v>
      </c>
      <c r="S43" s="178">
        <v>-7223</v>
      </c>
      <c r="T43" s="178">
        <v>-9123</v>
      </c>
      <c r="U43" s="178">
        <f t="shared" ref="U43:U49" si="27">+V43-SUM(R43:T43)</f>
        <v>-8222</v>
      </c>
      <c r="V43" s="178">
        <f>'[3]Statements of Cash Flow'!$C$33</f>
        <v>-37248</v>
      </c>
      <c r="W43" s="178">
        <v>-16101</v>
      </c>
      <c r="X43" s="178">
        <v>-8953</v>
      </c>
      <c r="Y43" s="178">
        <v>-7045</v>
      </c>
      <c r="Z43" s="178">
        <f t="shared" ref="Z43:Z49" si="28">+AA43-SUM(W43:Y43)</f>
        <v>-12737</v>
      </c>
      <c r="AA43" s="178">
        <f>'[4]Statements of Cash Flow'!$C$34</f>
        <v>-44836</v>
      </c>
      <c r="AB43" s="178">
        <f>'[5]Statements of Cash Flow'!$C$34</f>
        <v>-12479</v>
      </c>
      <c r="AC43" s="178">
        <f>'[6]Statements of Cash Flow'!$C$34-AB43</f>
        <v>-13634</v>
      </c>
      <c r="AD43" s="178">
        <f>'[7]Statements of Cash Flow'!$C$34-SUM(AB43:AC43)</f>
        <v>-14993</v>
      </c>
      <c r="AE43" s="178">
        <f t="shared" ref="AE43:AE49" si="29">+AF43-SUM(AB43:AD43)</f>
        <v>-11697</v>
      </c>
      <c r="AF43" s="178">
        <f>'[8]Statements of Cash Flow'!$C$34</f>
        <v>-52803</v>
      </c>
      <c r="AG43" s="178">
        <f>'[9]Statements of Cash Flow'!$C$35</f>
        <v>-11266</v>
      </c>
      <c r="AH43" s="178">
        <f>'[10]Statements of Cash Flow'!$C$34-AG43</f>
        <v>-12063</v>
      </c>
      <c r="AI43" s="179">
        <f>SUM([11]Cashflow!B43:AG43)-SUM(B43:AG43)</f>
        <v>0</v>
      </c>
    </row>
    <row r="44" spans="1:209" x14ac:dyDescent="0.15">
      <c r="A44" s="12" t="s">
        <v>154</v>
      </c>
      <c r="B44" s="143"/>
      <c r="C44" s="143"/>
      <c r="D44" s="143"/>
      <c r="E44" s="143">
        <f>F44</f>
        <v>352</v>
      </c>
      <c r="F44" s="158">
        <f>'[2]Statements of Cash Flow'!$G$33</f>
        <v>352</v>
      </c>
      <c r="G44" s="158">
        <v>0</v>
      </c>
      <c r="H44" s="158">
        <v>0</v>
      </c>
      <c r="I44" s="158">
        <v>0</v>
      </c>
      <c r="J44" s="158">
        <f>K44</f>
        <v>407</v>
      </c>
      <c r="K44" s="158">
        <f>'[2]Statements of Cash Flow'!$E$33</f>
        <v>407</v>
      </c>
      <c r="L44" s="179"/>
      <c r="M44" s="178">
        <v>73</v>
      </c>
      <c r="N44" s="178">
        <v>227</v>
      </c>
      <c r="O44" s="178">
        <v>324</v>
      </c>
      <c r="P44" s="178">
        <f t="shared" si="26"/>
        <v>292</v>
      </c>
      <c r="Q44" s="178">
        <f>'[2]Statements of Cash Flow'!$C$33</f>
        <v>916</v>
      </c>
      <c r="R44" s="178">
        <v>129</v>
      </c>
      <c r="S44" s="178">
        <v>398</v>
      </c>
      <c r="T44" s="178">
        <v>298</v>
      </c>
      <c r="U44" s="178">
        <f t="shared" si="27"/>
        <v>475</v>
      </c>
      <c r="V44" s="178">
        <f>'[3]Statements of Cash Flow'!$C$34</f>
        <v>1300</v>
      </c>
      <c r="W44" s="178">
        <v>63</v>
      </c>
      <c r="X44" s="178">
        <v>91</v>
      </c>
      <c r="Y44" s="178">
        <v>43</v>
      </c>
      <c r="Z44" s="178">
        <f t="shared" si="28"/>
        <v>69</v>
      </c>
      <c r="AA44" s="178">
        <f>'[4]Statements of Cash Flow'!$C$35</f>
        <v>266</v>
      </c>
      <c r="AB44" s="178">
        <f>'[5]Statements of Cash Flow'!$C$35</f>
        <v>565</v>
      </c>
      <c r="AC44" s="178">
        <f>'[6]Statements of Cash Flow'!$C$35-AB44</f>
        <v>-18</v>
      </c>
      <c r="AD44" s="178">
        <f>'[7]Statements of Cash Flow'!$C$35-SUM(AB44:AC44)</f>
        <v>93</v>
      </c>
      <c r="AE44" s="178">
        <f t="shared" si="29"/>
        <v>99</v>
      </c>
      <c r="AF44" s="178">
        <f>'[8]Statements of Cash Flow'!$C$35</f>
        <v>739</v>
      </c>
      <c r="AG44" s="178">
        <f>'[9]Statements of Cash Flow'!$C$36</f>
        <v>62</v>
      </c>
      <c r="AH44" s="178">
        <f>'[10]Statements of Cash Flow'!$C$35-AG44</f>
        <v>28</v>
      </c>
      <c r="AI44" s="179">
        <f>SUM([11]Cashflow!B44:AG44)-SUM(B44:AG44)</f>
        <v>0</v>
      </c>
      <c r="AJ44" s="179"/>
    </row>
    <row r="45" spans="1:209" x14ac:dyDescent="0.15">
      <c r="A45" s="12" t="s">
        <v>118</v>
      </c>
      <c r="B45" s="140">
        <v>0</v>
      </c>
      <c r="C45" s="140">
        <v>0</v>
      </c>
      <c r="D45" s="140">
        <v>0</v>
      </c>
      <c r="E45" s="140">
        <f t="shared" si="23"/>
        <v>0</v>
      </c>
      <c r="F45" s="158">
        <v>0</v>
      </c>
      <c r="G45" s="158">
        <v>0</v>
      </c>
      <c r="H45" s="158">
        <v>0</v>
      </c>
      <c r="I45" s="158">
        <v>0</v>
      </c>
      <c r="J45" s="158">
        <f t="shared" si="24"/>
        <v>0</v>
      </c>
      <c r="K45" s="158">
        <v>0</v>
      </c>
      <c r="L45" s="179">
        <f t="shared" si="25"/>
        <v>0</v>
      </c>
      <c r="M45" s="178">
        <v>-700</v>
      </c>
      <c r="N45" s="178">
        <v>0</v>
      </c>
      <c r="O45" s="178">
        <v>0</v>
      </c>
      <c r="P45" s="178">
        <f t="shared" si="26"/>
        <v>0</v>
      </c>
      <c r="Q45" s="178">
        <f>'[2]Statements of Cash Flow'!$C$34</f>
        <v>-700</v>
      </c>
      <c r="R45" s="178">
        <v>0</v>
      </c>
      <c r="S45" s="178">
        <v>0</v>
      </c>
      <c r="T45" s="178">
        <v>0</v>
      </c>
      <c r="U45" s="178">
        <f t="shared" si="27"/>
        <v>0</v>
      </c>
      <c r="V45" s="178">
        <f>'[3]Statements of Cash Flow'!$C$35</f>
        <v>0</v>
      </c>
      <c r="W45" s="178">
        <v>0</v>
      </c>
      <c r="X45" s="178">
        <v>0</v>
      </c>
      <c r="Y45" s="178">
        <v>0</v>
      </c>
      <c r="Z45" s="178">
        <f t="shared" si="28"/>
        <v>0</v>
      </c>
      <c r="AA45" s="178">
        <f>'[4]Statements of Cash Flow'!$C$36</f>
        <v>0</v>
      </c>
      <c r="AB45" s="178">
        <f>'[5]Statements of Cash Flow'!$C$36</f>
        <v>0</v>
      </c>
      <c r="AC45" s="178">
        <f>'[6]Statements of Cash Flow'!$C$36-AB45</f>
        <v>0</v>
      </c>
      <c r="AD45" s="178">
        <f>'[7]Statements of Cash Flow'!$C$36-SUM(AB45:AC45)</f>
        <v>-600</v>
      </c>
      <c r="AE45" s="178">
        <f t="shared" si="29"/>
        <v>0</v>
      </c>
      <c r="AF45" s="178">
        <f>'[8]Statements of Cash Flow'!$C$36</f>
        <v>-600</v>
      </c>
      <c r="AG45" s="178"/>
      <c r="AH45" s="178"/>
      <c r="AI45" s="179">
        <f>SUM([11]Cashflow!B45:AG45)-SUM(B45:AG45)</f>
        <v>0</v>
      </c>
      <c r="AJ45" s="179"/>
    </row>
    <row r="46" spans="1:209" x14ac:dyDescent="0.15">
      <c r="A46" s="12" t="s">
        <v>193</v>
      </c>
      <c r="B46" s="141">
        <v>-380</v>
      </c>
      <c r="C46" s="141">
        <v>-115</v>
      </c>
      <c r="D46" s="141">
        <v>-231423</v>
      </c>
      <c r="E46" s="141">
        <f t="shared" si="23"/>
        <v>89</v>
      </c>
      <c r="F46" s="158">
        <v>-231829</v>
      </c>
      <c r="G46" s="158">
        <v>0</v>
      </c>
      <c r="H46" s="158">
        <v>0</v>
      </c>
      <c r="I46" s="158">
        <v>0</v>
      </c>
      <c r="J46" s="158">
        <f t="shared" si="24"/>
        <v>0</v>
      </c>
      <c r="K46" s="158">
        <f>'[1]Statements of Cash Flow'!$C$35</f>
        <v>0</v>
      </c>
      <c r="L46" s="179">
        <f t="shared" si="25"/>
        <v>0</v>
      </c>
      <c r="M46" s="178">
        <v>0</v>
      </c>
      <c r="N46" s="178">
        <v>0</v>
      </c>
      <c r="O46" s="178">
        <v>0</v>
      </c>
      <c r="P46" s="178">
        <f t="shared" si="26"/>
        <v>0</v>
      </c>
      <c r="Q46" s="178">
        <f>'[2]Statements of Cash Flow'!$C$36</f>
        <v>0</v>
      </c>
      <c r="R46" s="178">
        <v>0</v>
      </c>
      <c r="S46" s="178">
        <v>0</v>
      </c>
      <c r="T46" s="178">
        <v>0</v>
      </c>
      <c r="U46" s="178">
        <f t="shared" si="27"/>
        <v>-76831</v>
      </c>
      <c r="V46" s="178">
        <f>'[3]Statements of Cash Flow'!$C$37</f>
        <v>-76831</v>
      </c>
      <c r="W46" s="178">
        <v>-1367</v>
      </c>
      <c r="X46" s="178">
        <v>-1205</v>
      </c>
      <c r="Y46" s="178">
        <v>-750</v>
      </c>
      <c r="Z46" s="178">
        <f t="shared" si="28"/>
        <v>-550</v>
      </c>
      <c r="AA46" s="178">
        <f>'[4]Statements of Cash Flow'!$C$38</f>
        <v>-3872</v>
      </c>
      <c r="AB46" s="178">
        <f>'[5]Statements of Cash Flow'!$C$38</f>
        <v>0</v>
      </c>
      <c r="AC46" s="178">
        <f>'[6]Statements of Cash Flow'!$C$38-AB46</f>
        <v>0</v>
      </c>
      <c r="AD46" s="178">
        <f>'[7]Statements of Cash Flow'!$C$38-SUM(AB46:AC46)</f>
        <v>0</v>
      </c>
      <c r="AE46" s="178">
        <f t="shared" si="29"/>
        <v>0</v>
      </c>
      <c r="AF46" s="178">
        <f>'[8]Statements of Cash Flow'!$C$38</f>
        <v>0</v>
      </c>
      <c r="AG46" s="178"/>
      <c r="AH46" s="178"/>
      <c r="AI46" s="179">
        <f>SUM([11]Cashflow!B46:AG46)-SUM(B46:AG46)</f>
        <v>0</v>
      </c>
      <c r="AJ46" s="179"/>
    </row>
    <row r="47" spans="1:209" x14ac:dyDescent="0.15">
      <c r="A47" s="12" t="s">
        <v>138</v>
      </c>
      <c r="B47" s="27">
        <v>0</v>
      </c>
      <c r="C47" s="27">
        <v>0</v>
      </c>
      <c r="D47" s="27">
        <v>0</v>
      </c>
      <c r="E47" s="27">
        <v>0</v>
      </c>
      <c r="F47" s="27">
        <v>0</v>
      </c>
      <c r="G47" s="27">
        <v>0</v>
      </c>
      <c r="H47" s="158">
        <v>-241</v>
      </c>
      <c r="I47" s="158">
        <v>0</v>
      </c>
      <c r="J47" s="158">
        <f t="shared" si="24"/>
        <v>0</v>
      </c>
      <c r="K47" s="158">
        <f>'[1]Statements of Cash Flow'!$C$34</f>
        <v>-241</v>
      </c>
      <c r="L47" s="179">
        <f t="shared" si="25"/>
        <v>0</v>
      </c>
      <c r="M47" s="178">
        <v>0</v>
      </c>
      <c r="N47" s="178">
        <v>0</v>
      </c>
      <c r="O47" s="178">
        <v>0</v>
      </c>
      <c r="P47" s="178">
        <f t="shared" si="26"/>
        <v>0</v>
      </c>
      <c r="Q47" s="178">
        <f>'[2]Statements of Cash Flow'!$C$35</f>
        <v>0</v>
      </c>
      <c r="R47" s="178">
        <v>0</v>
      </c>
      <c r="S47" s="178">
        <v>0</v>
      </c>
      <c r="T47" s="178">
        <v>0</v>
      </c>
      <c r="U47" s="178">
        <f t="shared" si="27"/>
        <v>0</v>
      </c>
      <c r="V47" s="178">
        <f>'[3]Statements of Cash Flow'!$C$36</f>
        <v>0</v>
      </c>
      <c r="W47" s="178">
        <v>0</v>
      </c>
      <c r="X47" s="178">
        <v>0</v>
      </c>
      <c r="Y47" s="178">
        <v>0</v>
      </c>
      <c r="Z47" s="178">
        <f t="shared" si="28"/>
        <v>0</v>
      </c>
      <c r="AA47" s="178">
        <f>'[4]Statements of Cash Flow'!$C$37</f>
        <v>0</v>
      </c>
      <c r="AB47" s="178">
        <f>'[5]Statements of Cash Flow'!$C$37</f>
        <v>0</v>
      </c>
      <c r="AC47" s="178">
        <f>'[6]Statements of Cash Flow'!$C$37-AB47</f>
        <v>0</v>
      </c>
      <c r="AD47" s="178">
        <f>'[7]Statements of Cash Flow'!$C$37-SUM(AB47:AC47)</f>
        <v>0</v>
      </c>
      <c r="AE47" s="178">
        <f t="shared" si="29"/>
        <v>0</v>
      </c>
      <c r="AF47" s="178">
        <f>'[8]Statements of Cash Flow'!$C$37</f>
        <v>0</v>
      </c>
      <c r="AG47" s="178"/>
      <c r="AH47" s="178"/>
      <c r="AI47" s="179">
        <f>SUM([11]Cashflow!B47:AG47)-SUM(B47:AG47)</f>
        <v>0</v>
      </c>
    </row>
    <row r="48" spans="1:209" x14ac:dyDescent="0.15">
      <c r="A48" s="12" t="s">
        <v>179</v>
      </c>
      <c r="B48" s="141">
        <f>-20310+[53]CFS_Factsheet!$C$5</f>
        <v>-20358</v>
      </c>
      <c r="C48" s="141">
        <f>-20353+[53]CFS_Factsheet!$D$5</f>
        <v>-20397</v>
      </c>
      <c r="D48" s="141">
        <f>-17294+[53]CFS_Factsheet!$E$5</f>
        <v>-17346</v>
      </c>
      <c r="E48" s="141">
        <f t="shared" si="23"/>
        <v>-74488</v>
      </c>
      <c r="F48" s="158">
        <f>-133434+[53]CFS_Factsheet!$G$5</f>
        <v>-132589</v>
      </c>
      <c r="G48" s="158">
        <f>-47683+[53]CFS_Factsheet!$H$5</f>
        <v>-47614</v>
      </c>
      <c r="H48" s="158">
        <f>-20505+[53]CFS_Factsheet!$I$5</f>
        <v>-20430</v>
      </c>
      <c r="I48" s="158">
        <f>-49746+[53]CFS_Factsheet!$J$5</f>
        <v>-49752</v>
      </c>
      <c r="J48" s="158">
        <f t="shared" si="24"/>
        <v>-70042</v>
      </c>
      <c r="K48" s="158">
        <f>'[1]Statements of Cash Flow'!C36+[53]CFS_Factsheet!$L$5</f>
        <v>-187838</v>
      </c>
      <c r="L48" s="179">
        <f t="shared" si="25"/>
        <v>0</v>
      </c>
      <c r="M48" s="178">
        <f>-23830+[53]CFS_Factsheet!$M$5</f>
        <v>-23847</v>
      </c>
      <c r="N48" s="178">
        <f>-25197+[53]CFS_Factsheet!$N$5</f>
        <v>-25198</v>
      </c>
      <c r="O48" s="178">
        <f>-8938+[53]CFS_Factsheet!$O$5</f>
        <v>-8856</v>
      </c>
      <c r="P48" s="178">
        <f t="shared" si="26"/>
        <v>-44492</v>
      </c>
      <c r="Q48" s="178">
        <f>'[2]Statements of Cash Flow'!$C$37+[53]CFS_Factsheet!$Q$5</f>
        <v>-102393</v>
      </c>
      <c r="R48" s="178">
        <f>-18835+[53]CFS_Factsheet!$R$5</f>
        <v>-18836</v>
      </c>
      <c r="S48" s="178">
        <f>-14152+[53]CFS_Factsheet!$S$5</f>
        <v>-14153</v>
      </c>
      <c r="T48" s="178">
        <f>-43513+[53]CFS_Factsheet!$T$5</f>
        <v>-43551</v>
      </c>
      <c r="U48" s="178">
        <f t="shared" si="27"/>
        <v>-19508</v>
      </c>
      <c r="V48" s="178">
        <f>'[3]Statements of Cash Flow'!$C$38+[53]CFS_Factsheet!$V$5</f>
        <v>-96048</v>
      </c>
      <c r="W48" s="178">
        <f>-36804+[53]CFS_Factsheet!$W$5</f>
        <v>-36812</v>
      </c>
      <c r="X48" s="178">
        <f>-59278+[53]CFS_Factsheet!$X$5</f>
        <v>-59187</v>
      </c>
      <c r="Y48" s="178">
        <f>-68231+[53]CFS_Factsheet!$Y$5</f>
        <v>-68246</v>
      </c>
      <c r="Z48" s="178">
        <f t="shared" si="28"/>
        <v>-48386</v>
      </c>
      <c r="AA48" s="178">
        <f>'[4]Statements of Cash Flow'!$C$39+[53]CFS_Factsheet!$AA$5</f>
        <v>-212631</v>
      </c>
      <c r="AB48" s="178">
        <f>'[5]Statements of Cash Flow'!$C$39+[53]CFS_Factsheet!$AB$5</f>
        <v>-51497</v>
      </c>
      <c r="AC48" s="178">
        <f>'[6]Statements of Cash Flow'!$C$40+SUM([53]CFS_Factsheet!$AB$5:$AC$5)-AB48</f>
        <v>-62329</v>
      </c>
      <c r="AD48" s="178">
        <f>'[7]Statements of Cash Flow'!$C$40+SUM([53]CFS_Factsheet!$AB$5:$AD$5)-SUM(AB48:AC48)</f>
        <v>-51204</v>
      </c>
      <c r="AE48" s="178">
        <f>+AF48-SUM(AB48:AD48)</f>
        <v>-72686</v>
      </c>
      <c r="AF48" s="178">
        <f>'[8]Statements of Cash Flow'!$C$39+[53]CFS_Factsheet!$AF$5</f>
        <v>-237716</v>
      </c>
      <c r="AG48" s="178">
        <f>'[9]Statements of Cash Flow'!$C$40+[53]CFS_Factsheet!$AG$5</f>
        <v>-64935</v>
      </c>
      <c r="AH48" s="178">
        <f>'[10]Statements of Cash Flow'!$C$40-AG48</f>
        <v>-94919</v>
      </c>
      <c r="AI48" s="179"/>
      <c r="AJ48" s="179"/>
      <c r="AK48" s="179"/>
    </row>
    <row r="49" spans="1:209" x14ac:dyDescent="0.15">
      <c r="A49" s="12" t="s">
        <v>180</v>
      </c>
      <c r="B49" s="141">
        <v>30358</v>
      </c>
      <c r="C49" s="141">
        <v>30453</v>
      </c>
      <c r="D49" s="141">
        <v>18725</v>
      </c>
      <c r="E49" s="141">
        <f t="shared" si="23"/>
        <v>48672</v>
      </c>
      <c r="F49" s="158">
        <v>128208</v>
      </c>
      <c r="G49" s="158">
        <v>21361</v>
      </c>
      <c r="H49" s="158">
        <v>70308</v>
      </c>
      <c r="I49" s="158">
        <v>37474</v>
      </c>
      <c r="J49" s="158">
        <f>+K49-SUM(G49:I49)</f>
        <v>47825</v>
      </c>
      <c r="K49" s="158">
        <f>'[1]Statements of Cash Flow'!C37</f>
        <v>176968</v>
      </c>
      <c r="L49" s="179">
        <f t="shared" si="25"/>
        <v>0</v>
      </c>
      <c r="M49" s="178">
        <v>72844</v>
      </c>
      <c r="N49" s="178">
        <v>0</v>
      </c>
      <c r="O49" s="178">
        <v>30874</v>
      </c>
      <c r="P49" s="178">
        <f>+Q49-SUM(M49:O49)</f>
        <v>22436</v>
      </c>
      <c r="Q49" s="178">
        <f>'[2]Statements of Cash Flow'!$C$38</f>
        <v>126154</v>
      </c>
      <c r="R49" s="178">
        <v>5357</v>
      </c>
      <c r="S49" s="178">
        <v>58674</v>
      </c>
      <c r="T49" s="178">
        <v>19152</v>
      </c>
      <c r="U49" s="178">
        <f t="shared" si="27"/>
        <v>11337</v>
      </c>
      <c r="V49" s="178">
        <f>'[3]Statements of Cash Flow'!$C$39</f>
        <v>94520</v>
      </c>
      <c r="W49" s="178">
        <v>49515</v>
      </c>
      <c r="X49" s="178">
        <v>33052</v>
      </c>
      <c r="Y49" s="178">
        <v>41788</v>
      </c>
      <c r="Z49" s="178">
        <f t="shared" si="28"/>
        <v>40148</v>
      </c>
      <c r="AA49" s="178">
        <f>'[4]Statements of Cash Flow'!$C$40</f>
        <v>164503</v>
      </c>
      <c r="AB49" s="178">
        <f>'[5]Statements of Cash Flow'!$C$40</f>
        <v>106750</v>
      </c>
      <c r="AC49" s="178">
        <f>'[6]Statements of Cash Flow'!$C$41-AB49</f>
        <v>44428</v>
      </c>
      <c r="AD49" s="178">
        <f>'[7]Statements of Cash Flow'!$C$41-SUM(AB49:AC49)</f>
        <v>66347</v>
      </c>
      <c r="AE49" s="178">
        <f t="shared" si="29"/>
        <v>58511</v>
      </c>
      <c r="AF49" s="178">
        <f>'[8]Statements of Cash Flow'!$C$40</f>
        <v>276036</v>
      </c>
      <c r="AG49" s="178">
        <f>'[9]Statements of Cash Flow'!$C$41</f>
        <v>80825</v>
      </c>
      <c r="AH49" s="178">
        <f>'[10]Statements of Cash Flow'!$C$41-AG49</f>
        <v>59019</v>
      </c>
      <c r="AI49" s="179">
        <f>SUM([11]Cashflow!B49:AG49)-SUM(B49:AG49)</f>
        <v>0</v>
      </c>
      <c r="AJ49" s="179"/>
      <c r="AK49" s="179"/>
    </row>
    <row r="50" spans="1:209" x14ac:dyDescent="0.15">
      <c r="A50" s="42" t="s">
        <v>133</v>
      </c>
      <c r="B50" s="133">
        <f t="shared" ref="B50:AG50" si="30">SUM(B43:B49)</f>
        <v>-3060</v>
      </c>
      <c r="C50" s="133">
        <f t="shared" si="30"/>
        <v>3325</v>
      </c>
      <c r="D50" s="133">
        <f t="shared" si="30"/>
        <v>-240818</v>
      </c>
      <c r="E50" s="133">
        <f t="shared" si="30"/>
        <v>-36094</v>
      </c>
      <c r="F50" s="133">
        <f t="shared" si="30"/>
        <v>-276647</v>
      </c>
      <c r="G50" s="133">
        <f t="shared" si="30"/>
        <v>-37131</v>
      </c>
      <c r="H50" s="133">
        <f t="shared" si="30"/>
        <v>38228</v>
      </c>
      <c r="I50" s="133">
        <f t="shared" si="30"/>
        <v>-22299</v>
      </c>
      <c r="J50" s="133">
        <f t="shared" si="30"/>
        <v>-30047</v>
      </c>
      <c r="K50" s="133">
        <f t="shared" si="30"/>
        <v>-51249</v>
      </c>
      <c r="L50" s="133">
        <f t="shared" si="30"/>
        <v>0</v>
      </c>
      <c r="M50" s="133">
        <f t="shared" si="30"/>
        <v>36023</v>
      </c>
      <c r="N50" s="133">
        <f t="shared" si="30"/>
        <v>-34975</v>
      </c>
      <c r="O50" s="133">
        <f t="shared" si="30"/>
        <v>10079</v>
      </c>
      <c r="P50" s="133">
        <f t="shared" si="30"/>
        <v>-29374</v>
      </c>
      <c r="Q50" s="133">
        <f t="shared" si="30"/>
        <v>-18247</v>
      </c>
      <c r="R50" s="133">
        <f t="shared" si="30"/>
        <v>-26030</v>
      </c>
      <c r="S50" s="133">
        <f t="shared" si="30"/>
        <v>37696</v>
      </c>
      <c r="T50" s="133">
        <f t="shared" si="30"/>
        <v>-33224</v>
      </c>
      <c r="U50" s="133">
        <f t="shared" si="30"/>
        <v>-92749</v>
      </c>
      <c r="V50" s="133">
        <f t="shared" si="30"/>
        <v>-114307</v>
      </c>
      <c r="W50" s="133">
        <f t="shared" si="30"/>
        <v>-4702</v>
      </c>
      <c r="X50" s="133">
        <f t="shared" si="30"/>
        <v>-36202</v>
      </c>
      <c r="Y50" s="133">
        <f t="shared" si="30"/>
        <v>-34210</v>
      </c>
      <c r="Z50" s="133">
        <f t="shared" si="30"/>
        <v>-21456</v>
      </c>
      <c r="AA50" s="133">
        <f t="shared" si="30"/>
        <v>-96570</v>
      </c>
      <c r="AB50" s="133">
        <f t="shared" si="30"/>
        <v>43339</v>
      </c>
      <c r="AC50" s="133">
        <f t="shared" si="30"/>
        <v>-31553</v>
      </c>
      <c r="AD50" s="133">
        <f t="shared" si="30"/>
        <v>-357</v>
      </c>
      <c r="AE50" s="133">
        <f t="shared" ref="AE50" si="31">SUM(AE43:AE49)</f>
        <v>-25773</v>
      </c>
      <c r="AF50" s="133">
        <f t="shared" si="30"/>
        <v>-14344</v>
      </c>
      <c r="AG50" s="133">
        <f t="shared" si="30"/>
        <v>4686</v>
      </c>
      <c r="AH50" s="133">
        <f t="shared" ref="AH50" si="32">SUM(AH43:AH49)</f>
        <v>-47935</v>
      </c>
      <c r="AI50" s="179"/>
      <c r="AJ50" s="179"/>
      <c r="AK50" s="89"/>
      <c r="AL50" s="89"/>
      <c r="AM50" s="89"/>
      <c r="AN50" s="89"/>
      <c r="AO50" s="89"/>
      <c r="AP50" s="89"/>
      <c r="AQ50" s="89"/>
      <c r="AR50" s="89"/>
      <c r="AS50" s="89"/>
      <c r="BO50" s="89"/>
      <c r="BP50" s="89"/>
      <c r="BQ50" s="89"/>
      <c r="BR50" s="89"/>
      <c r="BS50" s="89"/>
      <c r="BT50" s="89"/>
      <c r="BU50" s="89"/>
      <c r="BV50" s="89"/>
      <c r="BW50" s="89"/>
      <c r="BX50" s="89"/>
      <c r="BY50" s="89"/>
      <c r="BZ50" s="89"/>
      <c r="CA50" s="89"/>
      <c r="CB50" s="89"/>
      <c r="CC50" s="89"/>
      <c r="CD50" s="89"/>
      <c r="CE50" s="89"/>
      <c r="CF50" s="89"/>
      <c r="CG50" s="89"/>
      <c r="CH50" s="89"/>
      <c r="CI50" s="89"/>
      <c r="CJ50" s="89"/>
      <c r="CK50" s="89"/>
      <c r="CL50" s="89"/>
      <c r="CM50" s="89"/>
      <c r="CN50" s="89"/>
      <c r="CO50" s="89"/>
      <c r="CP50" s="89"/>
      <c r="CQ50" s="89"/>
      <c r="CR50" s="89"/>
      <c r="CS50" s="89"/>
      <c r="CT50" s="89"/>
      <c r="CU50" s="89"/>
      <c r="CV50" s="89"/>
      <c r="CW50" s="89"/>
      <c r="CX50" s="89"/>
      <c r="CY50" s="89"/>
      <c r="CZ50" s="89"/>
      <c r="DA50" s="89"/>
      <c r="DB50" s="89"/>
      <c r="DC50" s="89"/>
      <c r="DD50" s="89"/>
      <c r="DE50" s="89"/>
      <c r="DF50" s="89"/>
      <c r="DG50" s="89"/>
      <c r="DH50" s="89"/>
      <c r="DI50" s="89"/>
      <c r="DJ50" s="89"/>
      <c r="DK50" s="89"/>
      <c r="DL50" s="89"/>
      <c r="DM50" s="89"/>
      <c r="DN50" s="89"/>
      <c r="DO50" s="89"/>
      <c r="DP50" s="89"/>
      <c r="DQ50" s="89"/>
      <c r="DR50" s="89"/>
      <c r="DS50" s="89"/>
      <c r="DT50" s="89"/>
      <c r="DU50" s="89"/>
      <c r="DV50" s="89"/>
      <c r="DW50" s="89"/>
      <c r="DX50" s="89"/>
      <c r="DY50" s="89"/>
      <c r="DZ50" s="89"/>
      <c r="EA50" s="89"/>
      <c r="EB50" s="89"/>
      <c r="EC50" s="89"/>
      <c r="ED50" s="89"/>
      <c r="EE50" s="89"/>
      <c r="EF50" s="89"/>
      <c r="EG50" s="89"/>
      <c r="EH50" s="89"/>
      <c r="EI50" s="89"/>
      <c r="EJ50" s="89"/>
      <c r="EK50" s="89"/>
      <c r="EL50" s="89"/>
      <c r="EM50" s="89"/>
      <c r="EN50" s="89"/>
      <c r="EO50" s="89"/>
      <c r="EP50" s="89"/>
      <c r="EQ50" s="89"/>
      <c r="ER50" s="89"/>
      <c r="ES50" s="89"/>
      <c r="ET50" s="89"/>
      <c r="EU50" s="89"/>
      <c r="EV50" s="89"/>
      <c r="EW50" s="89"/>
      <c r="EX50" s="89"/>
      <c r="EY50" s="89"/>
      <c r="EZ50" s="89"/>
      <c r="FA50" s="89"/>
      <c r="FB50" s="89"/>
      <c r="FC50" s="89"/>
      <c r="FD50" s="89"/>
      <c r="FE50" s="89"/>
      <c r="FF50" s="89"/>
      <c r="FG50" s="89"/>
      <c r="FH50" s="89"/>
      <c r="FI50" s="89"/>
      <c r="FJ50" s="89"/>
      <c r="FK50" s="89"/>
      <c r="FL50" s="89"/>
      <c r="FM50" s="89"/>
      <c r="FN50" s="89"/>
      <c r="FO50" s="89"/>
      <c r="FP50" s="89"/>
      <c r="FQ50" s="89"/>
      <c r="FR50" s="89"/>
      <c r="FS50" s="89"/>
      <c r="FT50" s="89"/>
      <c r="FU50" s="89"/>
      <c r="FV50" s="89"/>
      <c r="FW50" s="89"/>
      <c r="FX50" s="89"/>
      <c r="FY50" s="89"/>
      <c r="FZ50" s="89"/>
      <c r="GA50" s="89"/>
      <c r="GB50" s="89"/>
      <c r="GC50" s="89"/>
      <c r="GD50" s="89"/>
      <c r="GE50" s="89"/>
      <c r="GF50" s="89"/>
      <c r="GG50" s="89"/>
      <c r="GH50" s="89"/>
      <c r="GI50" s="89"/>
      <c r="GJ50" s="89"/>
      <c r="GK50" s="89"/>
      <c r="GL50" s="89"/>
      <c r="GM50" s="89"/>
      <c r="GN50" s="89"/>
      <c r="GO50" s="89"/>
      <c r="GP50" s="89"/>
      <c r="GQ50" s="89"/>
      <c r="GR50" s="89"/>
      <c r="GS50" s="89"/>
      <c r="GT50" s="89"/>
      <c r="GU50" s="89"/>
      <c r="GV50" s="89"/>
      <c r="GW50" s="89"/>
      <c r="GX50" s="89"/>
      <c r="GY50" s="89"/>
      <c r="GZ50" s="89"/>
      <c r="HA50" s="89"/>
    </row>
    <row r="51" spans="1:209" x14ac:dyDescent="0.15">
      <c r="A51" s="14" t="s">
        <v>18</v>
      </c>
      <c r="F51" s="158"/>
      <c r="G51" s="158"/>
      <c r="H51" s="158"/>
      <c r="I51" s="158"/>
      <c r="J51" s="158"/>
      <c r="K51" s="158"/>
      <c r="L51" s="2"/>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73"/>
    </row>
    <row r="52" spans="1:209" x14ac:dyDescent="0.15">
      <c r="A52" s="10" t="s">
        <v>74</v>
      </c>
      <c r="F52" s="158"/>
      <c r="G52" s="158"/>
      <c r="H52" s="158"/>
      <c r="I52" s="158"/>
      <c r="J52" s="158"/>
      <c r="K52" s="158"/>
      <c r="L52" s="2"/>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9"/>
    </row>
    <row r="53" spans="1:209" x14ac:dyDescent="0.15">
      <c r="A53" s="12" t="s">
        <v>123</v>
      </c>
      <c r="B53" s="144">
        <v>12000</v>
      </c>
      <c r="C53" s="144">
        <v>0</v>
      </c>
      <c r="D53" s="144">
        <v>233000</v>
      </c>
      <c r="E53" s="144">
        <f t="shared" ref="E53:E61" si="33">+F53-SUM(B53:D53)</f>
        <v>1614</v>
      </c>
      <c r="F53" s="158">
        <v>246614</v>
      </c>
      <c r="G53" s="158">
        <v>46000</v>
      </c>
      <c r="H53" s="158">
        <v>0</v>
      </c>
      <c r="I53" s="158">
        <v>0</v>
      </c>
      <c r="J53" s="158">
        <f t="shared" ref="J53:J61" si="34">+K53-SUM(G53:I53)</f>
        <v>0</v>
      </c>
      <c r="K53" s="158">
        <f>'[1]Statements of Cash Flow'!$C$41</f>
        <v>46000</v>
      </c>
      <c r="L53" s="179">
        <f t="shared" ref="L53:L61" si="35">SUM(G53:J53)-K53</f>
        <v>0</v>
      </c>
      <c r="M53" s="178">
        <v>110000</v>
      </c>
      <c r="N53" s="178">
        <v>0</v>
      </c>
      <c r="O53" s="178">
        <v>0</v>
      </c>
      <c r="P53" s="178">
        <f t="shared" ref="P53:P59" si="36">+Q53-SUM(M53:O53)</f>
        <v>0</v>
      </c>
      <c r="Q53" s="178">
        <f>'[2]Statements of Cash Flow'!$C$42</f>
        <v>110000</v>
      </c>
      <c r="R53" s="178">
        <v>25000</v>
      </c>
      <c r="S53" s="178">
        <v>0</v>
      </c>
      <c r="T53" s="178">
        <v>200000</v>
      </c>
      <c r="U53" s="178">
        <f t="shared" ref="U53:U61" si="37">+V53-SUM(R53:T53)</f>
        <v>75000</v>
      </c>
      <c r="V53" s="178">
        <f>'[3]Statements of Cash Flow'!$C$43</f>
        <v>300000</v>
      </c>
      <c r="W53" s="178">
        <v>35000</v>
      </c>
      <c r="X53" s="178">
        <v>0</v>
      </c>
      <c r="Y53" s="178">
        <v>0</v>
      </c>
      <c r="Z53" s="178">
        <f t="shared" ref="Z53:Z61" si="38">+AA53-SUM(W53:Y53)</f>
        <v>0</v>
      </c>
      <c r="AA53" s="178">
        <f>'[4]Statements of Cash Flow'!$C$44</f>
        <v>35000</v>
      </c>
      <c r="AB53" s="178">
        <f>'[5]Statements of Cash Flow'!$C$44</f>
        <v>50000</v>
      </c>
      <c r="AC53" s="178">
        <f>'[6]Statements of Cash Flow'!$C$45-AB53</f>
        <v>20000</v>
      </c>
      <c r="AD53" s="178">
        <f>'[7]Statements of Cash Flow'!$C$45-SUM(AB53:AC53)</f>
        <v>0</v>
      </c>
      <c r="AE53" s="178">
        <f t="shared" ref="AE53:AE61" si="39">+AF53-SUM(AB53:AD53)</f>
        <v>10000</v>
      </c>
      <c r="AF53" s="178">
        <f>'[8]Statements of Cash Flow'!$C$44</f>
        <v>80000</v>
      </c>
      <c r="AG53" s="178">
        <f>'[9]Statements of Cash Flow'!$C$45</f>
        <v>180000</v>
      </c>
      <c r="AH53" s="178">
        <f>'[10]Statements of Cash Flow'!$C$45-AG53</f>
        <v>0</v>
      </c>
      <c r="AI53" s="179">
        <f>SUM([11]Cashflow!B53:AG53)-SUM(B53:AG53)</f>
        <v>0</v>
      </c>
      <c r="AJ53" s="179"/>
    </row>
    <row r="54" spans="1:209" x14ac:dyDescent="0.15">
      <c r="A54" s="12" t="s">
        <v>124</v>
      </c>
      <c r="B54" s="144">
        <v>-5036</v>
      </c>
      <c r="C54" s="144">
        <v>-29</v>
      </c>
      <c r="D54" s="144">
        <v>-18</v>
      </c>
      <c r="E54" s="144">
        <f t="shared" si="33"/>
        <v>-150126</v>
      </c>
      <c r="F54" s="158">
        <v>-155209</v>
      </c>
      <c r="G54" s="158">
        <v>-10572</v>
      </c>
      <c r="H54" s="158">
        <v>-69018</v>
      </c>
      <c r="I54" s="158">
        <v>-8173</v>
      </c>
      <c r="J54" s="158">
        <f t="shared" si="34"/>
        <v>-10484</v>
      </c>
      <c r="K54" s="158">
        <f>'[1]Statements of Cash Flow'!$C$42</f>
        <v>-98247</v>
      </c>
      <c r="L54" s="179">
        <f t="shared" si="35"/>
        <v>0</v>
      </c>
      <c r="M54" s="178">
        <v>-10201</v>
      </c>
      <c r="N54" s="178">
        <v>-100009</v>
      </c>
      <c r="O54" s="178">
        <v>-10183</v>
      </c>
      <c r="P54" s="178">
        <f t="shared" si="36"/>
        <v>-474</v>
      </c>
      <c r="Q54" s="178">
        <f>'[2]Statements of Cash Flow'!$C$43</f>
        <v>-120867</v>
      </c>
      <c r="R54" s="178">
        <v>-25000</v>
      </c>
      <c r="S54" s="178">
        <v>-74000</v>
      </c>
      <c r="T54" s="178">
        <v>-230000</v>
      </c>
      <c r="U54" s="178">
        <f t="shared" si="37"/>
        <v>-31</v>
      </c>
      <c r="V54" s="178">
        <f>'[3]Statements of Cash Flow'!$C$44</f>
        <v>-329031</v>
      </c>
      <c r="W54" s="178">
        <v>0</v>
      </c>
      <c r="X54" s="178">
        <v>-10000</v>
      </c>
      <c r="Y54" s="178">
        <v>-15000</v>
      </c>
      <c r="Z54" s="178">
        <f t="shared" si="38"/>
        <v>-20000</v>
      </c>
      <c r="AA54" s="178">
        <f>'[4]Statements of Cash Flow'!$C$45</f>
        <v>-45000</v>
      </c>
      <c r="AB54" s="178">
        <f>'[5]Statements of Cash Flow'!$C$45</f>
        <v>-100000</v>
      </c>
      <c r="AC54" s="178">
        <f>'[6]Statements of Cash Flow'!$C$46-AB54</f>
        <v>0</v>
      </c>
      <c r="AD54" s="178">
        <f>'[7]Statements of Cash Flow'!$C$46-SUM(AB54:AC54)</f>
        <v>-10000</v>
      </c>
      <c r="AE54" s="178">
        <f t="shared" si="39"/>
        <v>-20000</v>
      </c>
      <c r="AF54" s="178">
        <f>'[8]Statements of Cash Flow'!$C$45</f>
        <v>-130000</v>
      </c>
      <c r="AG54" s="178">
        <f>'[9]Statements of Cash Flow'!$C$46</f>
        <v>-35000</v>
      </c>
      <c r="AH54" s="178">
        <f>'[10]Statements of Cash Flow'!$C$46-AG54</f>
        <v>-10000</v>
      </c>
      <c r="AI54" s="179">
        <f>SUM([11]Cashflow!B54:AG54)-SUM(B54:AG54)</f>
        <v>0</v>
      </c>
      <c r="AJ54" s="179"/>
    </row>
    <row r="55" spans="1:209" x14ac:dyDescent="0.15">
      <c r="A55" s="12" t="s">
        <v>201</v>
      </c>
      <c r="B55" s="144">
        <v>0</v>
      </c>
      <c r="C55" s="144">
        <v>0</v>
      </c>
      <c r="D55" s="144">
        <v>0</v>
      </c>
      <c r="E55" s="144">
        <v>0</v>
      </c>
      <c r="F55" s="158">
        <v>0</v>
      </c>
      <c r="G55" s="158">
        <v>0</v>
      </c>
      <c r="H55" s="158">
        <v>0</v>
      </c>
      <c r="I55" s="158">
        <v>0</v>
      </c>
      <c r="J55" s="158">
        <v>0</v>
      </c>
      <c r="K55" s="158">
        <v>0</v>
      </c>
      <c r="L55" s="179">
        <v>0</v>
      </c>
      <c r="M55" s="178">
        <v>0</v>
      </c>
      <c r="N55" s="178">
        <v>0</v>
      </c>
      <c r="O55" s="178">
        <v>0</v>
      </c>
      <c r="P55" s="178">
        <v>0</v>
      </c>
      <c r="Q55" s="178">
        <v>0</v>
      </c>
      <c r="R55" s="178">
        <v>0</v>
      </c>
      <c r="S55" s="178">
        <v>0</v>
      </c>
      <c r="T55" s="178">
        <v>0</v>
      </c>
      <c r="U55" s="178">
        <v>0</v>
      </c>
      <c r="V55" s="178">
        <v>0</v>
      </c>
      <c r="W55" s="178">
        <v>0</v>
      </c>
      <c r="X55" s="178">
        <v>0</v>
      </c>
      <c r="Y55" s="178">
        <v>0</v>
      </c>
      <c r="Z55" s="178">
        <v>0</v>
      </c>
      <c r="AA55" s="178">
        <v>0</v>
      </c>
      <c r="AB55" s="178">
        <v>0</v>
      </c>
      <c r="AC55" s="178">
        <f>'[6]Statements of Cash Flow'!$C$47-AB55</f>
        <v>-5000</v>
      </c>
      <c r="AD55" s="178">
        <f>'[7]Statements of Cash Flow'!$C$47-SUM(AB55:AC55)</f>
        <v>0</v>
      </c>
      <c r="AE55" s="178">
        <v>0</v>
      </c>
      <c r="AF55" s="178">
        <f>'[8]Statements of Cash Flow'!$C$48</f>
        <v>-5000</v>
      </c>
      <c r="AG55" s="178">
        <f>'[9]Statements of Cash Flow'!$C$50</f>
        <v>-4000</v>
      </c>
      <c r="AH55" s="178">
        <f>'[10]Statements of Cash Flow'!$C$47-AG55</f>
        <v>0</v>
      </c>
      <c r="AI55" s="179">
        <f>SUM([11]Cashflow!B55:AG55)-SUM(B55:AG55)</f>
        <v>0</v>
      </c>
      <c r="AJ55" s="179"/>
    </row>
    <row r="56" spans="1:209" x14ac:dyDescent="0.15">
      <c r="A56" s="12" t="s">
        <v>130</v>
      </c>
      <c r="B56" s="144"/>
      <c r="C56" s="144"/>
      <c r="D56" s="144"/>
      <c r="E56" s="144">
        <f t="shared" si="33"/>
        <v>149000</v>
      </c>
      <c r="F56" s="158">
        <v>149000</v>
      </c>
      <c r="G56" s="158">
        <v>0</v>
      </c>
      <c r="H56" s="158">
        <v>0</v>
      </c>
      <c r="I56" s="158">
        <v>0</v>
      </c>
      <c r="J56" s="158">
        <f t="shared" si="34"/>
        <v>0</v>
      </c>
      <c r="K56" s="158">
        <v>0</v>
      </c>
      <c r="L56" s="179">
        <f t="shared" si="35"/>
        <v>0</v>
      </c>
      <c r="M56" s="178">
        <v>0</v>
      </c>
      <c r="N56" s="178">
        <v>0</v>
      </c>
      <c r="O56" s="178">
        <v>0</v>
      </c>
      <c r="P56" s="178">
        <f t="shared" si="36"/>
        <v>0</v>
      </c>
      <c r="Q56" s="178">
        <f>'[2]Statements of Cash Flow'!$C$44</f>
        <v>0</v>
      </c>
      <c r="R56" s="178">
        <v>0</v>
      </c>
      <c r="S56" s="178">
        <v>0</v>
      </c>
      <c r="T56" s="178">
        <v>0</v>
      </c>
      <c r="U56" s="178">
        <f t="shared" si="37"/>
        <v>0</v>
      </c>
      <c r="V56" s="178">
        <f>'[3]Statements of Cash Flow'!$C$45</f>
        <v>0</v>
      </c>
      <c r="W56" s="178">
        <v>0</v>
      </c>
      <c r="X56" s="178">
        <v>0</v>
      </c>
      <c r="Y56" s="178">
        <v>0</v>
      </c>
      <c r="Z56" s="178">
        <f t="shared" si="38"/>
        <v>0</v>
      </c>
      <c r="AA56" s="178">
        <f>'[4]Statements of Cash Flow'!$C$46</f>
        <v>0</v>
      </c>
      <c r="AB56" s="178">
        <f>'[5]Statements of Cash Flow'!$C$46</f>
        <v>0</v>
      </c>
      <c r="AC56" s="178">
        <f>'[6]Statements of Cash Flow'!$C$48-AB56</f>
        <v>0</v>
      </c>
      <c r="AD56" s="178">
        <f>'[7]Statements of Cash Flow'!$C$48-SUM(AB56:AC56)</f>
        <v>0</v>
      </c>
      <c r="AE56" s="178">
        <f t="shared" si="39"/>
        <v>0</v>
      </c>
      <c r="AF56" s="178">
        <f>'[8]Statements of Cash Flow'!$C$46</f>
        <v>0</v>
      </c>
      <c r="AG56" s="178"/>
      <c r="AH56" s="178"/>
      <c r="AI56" s="179">
        <f>SUM([11]Cashflow!B56:AG56)-SUM(B56:AG56)</f>
        <v>0</v>
      </c>
    </row>
    <row r="57" spans="1:209" hidden="1" x14ac:dyDescent="0.15">
      <c r="A57" s="12" t="s">
        <v>90</v>
      </c>
      <c r="B57" s="140">
        <v>0</v>
      </c>
      <c r="C57" s="140">
        <v>0</v>
      </c>
      <c r="D57" s="140">
        <v>0</v>
      </c>
      <c r="E57" s="140">
        <f t="shared" si="33"/>
        <v>-762</v>
      </c>
      <c r="F57" s="158">
        <v>-762</v>
      </c>
      <c r="G57" s="158">
        <v>-97</v>
      </c>
      <c r="H57" s="158">
        <v>-20</v>
      </c>
      <c r="I57" s="158">
        <v>0</v>
      </c>
      <c r="J57" s="158">
        <f>+K57-SUM(G57:I57)</f>
        <v>0</v>
      </c>
      <c r="K57" s="158">
        <f>'[1]Statements of Cash Flow'!$C$47</f>
        <v>-117</v>
      </c>
      <c r="L57" s="179">
        <f t="shared" si="35"/>
        <v>0</v>
      </c>
      <c r="M57" s="178">
        <v>0</v>
      </c>
      <c r="N57" s="178">
        <v>0</v>
      </c>
      <c r="O57" s="178">
        <v>0</v>
      </c>
      <c r="P57" s="178">
        <f t="shared" si="36"/>
        <v>0</v>
      </c>
      <c r="Q57" s="178">
        <f>'[2]Statements of Cash Flow'!$C$48</f>
        <v>0</v>
      </c>
      <c r="R57" s="178">
        <v>0</v>
      </c>
      <c r="S57" s="178">
        <v>0</v>
      </c>
      <c r="T57" s="178">
        <v>0</v>
      </c>
      <c r="U57" s="178">
        <f t="shared" si="37"/>
        <v>0</v>
      </c>
      <c r="V57" s="178">
        <f>'[3]Statements of Cash Flow'!$C$49</f>
        <v>0</v>
      </c>
      <c r="W57" s="178">
        <v>0</v>
      </c>
      <c r="X57" s="178">
        <v>0</v>
      </c>
      <c r="Y57" s="178">
        <v>0</v>
      </c>
      <c r="Z57" s="178">
        <f t="shared" si="38"/>
        <v>0</v>
      </c>
      <c r="AA57" s="178">
        <v>0</v>
      </c>
      <c r="AB57" s="178">
        <v>0</v>
      </c>
      <c r="AC57" s="178">
        <v>0</v>
      </c>
      <c r="AD57" s="178">
        <v>0</v>
      </c>
      <c r="AE57" s="178">
        <f t="shared" si="39"/>
        <v>0</v>
      </c>
      <c r="AF57" s="178"/>
      <c r="AG57" s="178"/>
      <c r="AH57" s="178"/>
      <c r="AI57" s="179">
        <f>SUM([11]Cashflow!B57:AG57)-SUM(B57:AG57)</f>
        <v>0</v>
      </c>
    </row>
    <row r="58" spans="1:209" x14ac:dyDescent="0.15">
      <c r="A58" s="12" t="s">
        <v>159</v>
      </c>
      <c r="B58" s="144">
        <v>-42</v>
      </c>
      <c r="C58" s="144">
        <v>-41</v>
      </c>
      <c r="D58" s="144">
        <v>-22</v>
      </c>
      <c r="E58" s="144">
        <f t="shared" si="33"/>
        <v>-47</v>
      </c>
      <c r="F58" s="158">
        <v>-152</v>
      </c>
      <c r="G58" s="158">
        <v>-137</v>
      </c>
      <c r="H58" s="158">
        <v>-70</v>
      </c>
      <c r="I58" s="158">
        <v>-67</v>
      </c>
      <c r="J58" s="158">
        <f t="shared" si="34"/>
        <v>-62</v>
      </c>
      <c r="K58" s="158">
        <f>'[1]Statements of Cash Flow'!$C$40</f>
        <v>-336</v>
      </c>
      <c r="L58" s="179">
        <f t="shared" si="35"/>
        <v>0</v>
      </c>
      <c r="M58" s="178">
        <v>-67</v>
      </c>
      <c r="N58" s="178">
        <v>-57</v>
      </c>
      <c r="O58" s="178">
        <v>-56</v>
      </c>
      <c r="P58" s="178">
        <f t="shared" si="36"/>
        <v>-69</v>
      </c>
      <c r="Q58" s="178">
        <f>'[2]Statements of Cash Flow'!$C$41</f>
        <v>-249</v>
      </c>
      <c r="R58" s="178">
        <v>-57</v>
      </c>
      <c r="S58" s="178">
        <v>-50</v>
      </c>
      <c r="T58" s="178">
        <v>-50</v>
      </c>
      <c r="U58" s="178">
        <f t="shared" si="37"/>
        <v>-44</v>
      </c>
      <c r="V58" s="178">
        <f>'[3]Statements of Cash Flow'!$C$42</f>
        <v>-201</v>
      </c>
      <c r="W58" s="178">
        <v>-39</v>
      </c>
      <c r="X58" s="178">
        <v>-36</v>
      </c>
      <c r="Y58" s="178">
        <v>-33</v>
      </c>
      <c r="Z58" s="178">
        <f t="shared" si="38"/>
        <v>-34</v>
      </c>
      <c r="AA58" s="178">
        <f>'[4]Statements of Cash Flow'!$C$43</f>
        <v>-142</v>
      </c>
      <c r="AB58" s="178">
        <f>'[5]Statements of Cash Flow'!$C$43</f>
        <v>-43</v>
      </c>
      <c r="AC58" s="178">
        <f>'[6]Statements of Cash Flow'!$C$44-AB58</f>
        <v>-37</v>
      </c>
      <c r="AD58" s="178">
        <f>'[7]Statements of Cash Flow'!$C$44-SUM(AB58:AC58)</f>
        <v>-40</v>
      </c>
      <c r="AE58" s="178">
        <f t="shared" si="39"/>
        <v>-49</v>
      </c>
      <c r="AF58" s="178">
        <f>'[8]Statements of Cash Flow'!$C$43</f>
        <v>-169</v>
      </c>
      <c r="AG58" s="178">
        <f>'[9]Statements of Cash Flow'!$C$44</f>
        <v>-60</v>
      </c>
      <c r="AH58" s="178">
        <f>'[10]Statements of Cash Flow'!$C$44-AG58</f>
        <v>-72</v>
      </c>
      <c r="AI58" s="179">
        <f>SUM([11]Cashflow!B58:AG58)-SUM(B58:AG58)</f>
        <v>0</v>
      </c>
      <c r="AJ58" s="179"/>
    </row>
    <row r="59" spans="1:209" x14ac:dyDescent="0.15">
      <c r="A59" s="12" t="s">
        <v>32</v>
      </c>
      <c r="B59" s="144">
        <v>431</v>
      </c>
      <c r="C59" s="144">
        <v>0</v>
      </c>
      <c r="D59" s="144">
        <v>653</v>
      </c>
      <c r="E59" s="144">
        <f t="shared" si="33"/>
        <v>313</v>
      </c>
      <c r="F59" s="158">
        <v>1397</v>
      </c>
      <c r="G59" s="158">
        <v>22</v>
      </c>
      <c r="H59" s="158">
        <v>316</v>
      </c>
      <c r="I59" s="158">
        <v>0</v>
      </c>
      <c r="J59" s="158">
        <f t="shared" si="34"/>
        <v>649</v>
      </c>
      <c r="K59" s="158">
        <f>'[1]Statements of Cash Flow'!$C$49</f>
        <v>987</v>
      </c>
      <c r="L59" s="179">
        <f t="shared" si="35"/>
        <v>0</v>
      </c>
      <c r="M59" s="178">
        <v>921</v>
      </c>
      <c r="N59" s="178">
        <v>39</v>
      </c>
      <c r="O59" s="178">
        <v>85</v>
      </c>
      <c r="P59" s="178">
        <f t="shared" si="36"/>
        <v>456</v>
      </c>
      <c r="Q59" s="178">
        <f>'[2]Statements of Cash Flow'!$C$50</f>
        <v>1501</v>
      </c>
      <c r="R59" s="178">
        <v>75</v>
      </c>
      <c r="S59" s="178">
        <v>99</v>
      </c>
      <c r="T59" s="178">
        <v>536</v>
      </c>
      <c r="U59" s="178">
        <f t="shared" si="37"/>
        <v>0</v>
      </c>
      <c r="V59" s="178">
        <f>'[3]Statements of Cash Flow'!$C$51</f>
        <v>710</v>
      </c>
      <c r="W59" s="178">
        <v>0</v>
      </c>
      <c r="X59" s="178">
        <v>0</v>
      </c>
      <c r="Y59" s="178">
        <v>0</v>
      </c>
      <c r="Z59" s="178">
        <f t="shared" si="38"/>
        <v>0</v>
      </c>
      <c r="AA59" s="178">
        <f>'[4]Statements of Cash Flow'!$C$52</f>
        <v>0</v>
      </c>
      <c r="AB59" s="178">
        <f>'[5]Statements of Cash Flow'!$C$52</f>
        <v>0</v>
      </c>
      <c r="AC59" s="178">
        <f>'[6]Statements of Cash Flow'!$C$54-AB59</f>
        <v>85</v>
      </c>
      <c r="AD59" s="178">
        <f>'[7]Statements of Cash Flow'!$C$54-SUM(AB59:AC59)</f>
        <v>0</v>
      </c>
      <c r="AE59" s="178">
        <f t="shared" si="39"/>
        <v>0</v>
      </c>
      <c r="AF59" s="178">
        <f>'[8]Statements of Cash Flow'!$C$52</f>
        <v>85</v>
      </c>
      <c r="AG59" s="178"/>
      <c r="AH59" s="178">
        <f>'[10]Statements of Cash Flow'!$C$55-AG59</f>
        <v>2474</v>
      </c>
      <c r="AI59" s="179">
        <f>SUM([11]Cashflow!B59:AG59)-SUM(B59:AG59)</f>
        <v>0</v>
      </c>
      <c r="AJ59" s="179"/>
    </row>
    <row r="60" spans="1:209" x14ac:dyDescent="0.15">
      <c r="A60" s="12" t="s">
        <v>182</v>
      </c>
      <c r="B60" s="140">
        <v>0</v>
      </c>
      <c r="C60" s="140">
        <v>0</v>
      </c>
      <c r="D60" s="140">
        <v>0</v>
      </c>
      <c r="E60" s="140">
        <v>0</v>
      </c>
      <c r="F60" s="140">
        <v>0</v>
      </c>
      <c r="G60" s="140">
        <v>0</v>
      </c>
      <c r="H60" s="140">
        <v>0</v>
      </c>
      <c r="I60" s="140">
        <v>0</v>
      </c>
      <c r="J60" s="140">
        <v>0</v>
      </c>
      <c r="K60" s="140">
        <v>0</v>
      </c>
      <c r="L60" s="140">
        <v>0</v>
      </c>
      <c r="M60" s="140">
        <v>0</v>
      </c>
      <c r="N60" s="140">
        <v>0</v>
      </c>
      <c r="O60" s="140">
        <v>0</v>
      </c>
      <c r="P60" s="140">
        <v>0</v>
      </c>
      <c r="Q60" s="140">
        <v>0</v>
      </c>
      <c r="R60" s="140">
        <v>0</v>
      </c>
      <c r="S60" s="140">
        <v>0</v>
      </c>
      <c r="T60" s="140">
        <v>0</v>
      </c>
      <c r="U60" s="140">
        <v>0</v>
      </c>
      <c r="V60" s="140">
        <v>0</v>
      </c>
      <c r="W60" s="140">
        <v>0</v>
      </c>
      <c r="X60" s="140">
        <v>0</v>
      </c>
      <c r="Y60" s="140">
        <v>0</v>
      </c>
      <c r="Z60" s="178">
        <f t="shared" si="38"/>
        <v>1060</v>
      </c>
      <c r="AA60" s="178">
        <f>'[4]Statements of Cash Flow'!$C$53</f>
        <v>1060</v>
      </c>
      <c r="AB60" s="178">
        <f>'[5]Statements of Cash Flow'!$C$53</f>
        <v>1102</v>
      </c>
      <c r="AC60" s="178">
        <f>'[6]Statements of Cash Flow'!$C$55-AB60</f>
        <v>2698</v>
      </c>
      <c r="AD60" s="178">
        <f>'[7]Statements of Cash Flow'!$C$55-SUM(AB60:AC60)</f>
        <v>805</v>
      </c>
      <c r="AE60" s="178">
        <f t="shared" si="39"/>
        <v>876</v>
      </c>
      <c r="AF60" s="178">
        <f>'[8]Statements of Cash Flow'!$C$53</f>
        <v>5481</v>
      </c>
      <c r="AG60" s="178">
        <f>'[9]Statements of Cash Flow'!$C$54</f>
        <v>1514</v>
      </c>
      <c r="AH60" s="178">
        <f>'[10]Statements of Cash Flow'!$C$54-AG60</f>
        <v>-1514</v>
      </c>
      <c r="AI60" s="179">
        <f>SUM([11]Cashflow!B60:AG60)-SUM(B60:AG60)</f>
        <v>0</v>
      </c>
    </row>
    <row r="61" spans="1:209" x14ac:dyDescent="0.15">
      <c r="A61" s="12" t="s">
        <v>33</v>
      </c>
      <c r="B61" s="144">
        <v>-13504</v>
      </c>
      <c r="C61" s="144">
        <v>-9632</v>
      </c>
      <c r="D61" s="144">
        <v>-9657</v>
      </c>
      <c r="E61" s="144">
        <f t="shared" si="33"/>
        <v>-10316</v>
      </c>
      <c r="F61" s="158">
        <v>-43109</v>
      </c>
      <c r="G61" s="158">
        <v>-15408</v>
      </c>
      <c r="H61" s="158">
        <v>-12130</v>
      </c>
      <c r="I61" s="158">
        <v>-8346</v>
      </c>
      <c r="J61" s="158">
        <f t="shared" si="34"/>
        <v>-5480</v>
      </c>
      <c r="K61" s="158">
        <f>'[1]Statements of Cash Flow'!$C$48</f>
        <v>-41364</v>
      </c>
      <c r="L61" s="179">
        <f t="shared" si="35"/>
        <v>0</v>
      </c>
      <c r="M61" s="178">
        <v>-13995</v>
      </c>
      <c r="N61" s="178">
        <v>0</v>
      </c>
      <c r="O61" s="178">
        <v>-24906</v>
      </c>
      <c r="P61" s="178">
        <f>+Q61-SUM(M61:O61)</f>
        <v>-41048</v>
      </c>
      <c r="Q61" s="178">
        <f>'[2]Statements of Cash Flow'!$C$49</f>
        <v>-79949</v>
      </c>
      <c r="R61" s="178">
        <v>-29015</v>
      </c>
      <c r="S61" s="178">
        <v>-28409</v>
      </c>
      <c r="T61" s="178">
        <v>-28196</v>
      </c>
      <c r="U61" s="178">
        <f t="shared" si="37"/>
        <v>-32737</v>
      </c>
      <c r="V61" s="178">
        <f>'[3]Statements of Cash Flow'!$C$50</f>
        <v>-118357</v>
      </c>
      <c r="W61" s="178">
        <v>-31385</v>
      </c>
      <c r="X61" s="178">
        <v>-28806</v>
      </c>
      <c r="Y61" s="178">
        <v>-11521</v>
      </c>
      <c r="Z61" s="178">
        <f t="shared" si="38"/>
        <v>-930</v>
      </c>
      <c r="AA61" s="178">
        <f>'[4]Statements of Cash Flow'!$C$51</f>
        <v>-72642</v>
      </c>
      <c r="AB61" s="178">
        <f>'[5]Statements of Cash Flow'!$C$51</f>
        <v>-42363</v>
      </c>
      <c r="AC61" s="178">
        <f>'[6]Statements of Cash Flow'!$C$53-AB61</f>
        <v>-28275</v>
      </c>
      <c r="AD61" s="178">
        <f>'[7]Statements of Cash Flow'!$C$53-SUM(AB61:AC61)</f>
        <v>-29904</v>
      </c>
      <c r="AE61" s="178">
        <f t="shared" si="39"/>
        <v>-31305</v>
      </c>
      <c r="AF61" s="178">
        <f>'[8]Statements of Cash Flow'!$C$51</f>
        <v>-131847</v>
      </c>
      <c r="AG61" s="178">
        <f>'[9]Statements of Cash Flow'!$C$52</f>
        <v>-152227</v>
      </c>
      <c r="AH61" s="178">
        <f>'[10]Statements of Cash Flow'!$C$53-AG61</f>
        <v>-8420</v>
      </c>
      <c r="AI61" s="179">
        <f>SUM([11]Cashflow!B61:AG61)-SUM(B61:AG61)</f>
        <v>0</v>
      </c>
      <c r="AJ61" s="179"/>
    </row>
    <row r="62" spans="1:209" x14ac:dyDescent="0.15">
      <c r="A62" s="43" t="s">
        <v>210</v>
      </c>
      <c r="B62" s="133">
        <f t="shared" ref="B62:AG62" si="40">SUM(B53:B61)</f>
        <v>-6151</v>
      </c>
      <c r="C62" s="133">
        <f t="shared" si="40"/>
        <v>-9702</v>
      </c>
      <c r="D62" s="133">
        <f t="shared" si="40"/>
        <v>223956</v>
      </c>
      <c r="E62" s="133">
        <f t="shared" si="40"/>
        <v>-10324</v>
      </c>
      <c r="F62" s="133">
        <f t="shared" si="40"/>
        <v>197779</v>
      </c>
      <c r="G62" s="133">
        <f t="shared" si="40"/>
        <v>19808</v>
      </c>
      <c r="H62" s="133">
        <f t="shared" si="40"/>
        <v>-80922</v>
      </c>
      <c r="I62" s="133">
        <f t="shared" si="40"/>
        <v>-16586</v>
      </c>
      <c r="J62" s="133">
        <f t="shared" si="40"/>
        <v>-15377</v>
      </c>
      <c r="K62" s="133">
        <f t="shared" si="40"/>
        <v>-93077</v>
      </c>
      <c r="L62" s="133">
        <f t="shared" si="40"/>
        <v>0</v>
      </c>
      <c r="M62" s="133">
        <f t="shared" si="40"/>
        <v>86658</v>
      </c>
      <c r="N62" s="133">
        <f t="shared" si="40"/>
        <v>-100027</v>
      </c>
      <c r="O62" s="133">
        <f t="shared" si="40"/>
        <v>-35060</v>
      </c>
      <c r="P62" s="133">
        <f t="shared" si="40"/>
        <v>-41135</v>
      </c>
      <c r="Q62" s="133">
        <f t="shared" si="40"/>
        <v>-89564</v>
      </c>
      <c r="R62" s="133">
        <f t="shared" si="40"/>
        <v>-28997</v>
      </c>
      <c r="S62" s="133">
        <f t="shared" si="40"/>
        <v>-102360</v>
      </c>
      <c r="T62" s="133">
        <f t="shared" si="40"/>
        <v>-57710</v>
      </c>
      <c r="U62" s="133">
        <f t="shared" si="40"/>
        <v>42188</v>
      </c>
      <c r="V62" s="133">
        <f t="shared" si="40"/>
        <v>-146879</v>
      </c>
      <c r="W62" s="133">
        <f t="shared" si="40"/>
        <v>3576</v>
      </c>
      <c r="X62" s="133">
        <f t="shared" si="40"/>
        <v>-38842</v>
      </c>
      <c r="Y62" s="133">
        <f t="shared" si="40"/>
        <v>-26554</v>
      </c>
      <c r="Z62" s="133">
        <f t="shared" si="40"/>
        <v>-19904</v>
      </c>
      <c r="AA62" s="133">
        <f t="shared" si="40"/>
        <v>-81724</v>
      </c>
      <c r="AB62" s="133">
        <f t="shared" si="40"/>
        <v>-91304</v>
      </c>
      <c r="AC62" s="133">
        <f t="shared" si="40"/>
        <v>-10529</v>
      </c>
      <c r="AD62" s="133">
        <f t="shared" si="40"/>
        <v>-39139</v>
      </c>
      <c r="AE62" s="133">
        <f t="shared" ref="AE62" si="41">SUM(AE53:AE61)</f>
        <v>-40478</v>
      </c>
      <c r="AF62" s="133">
        <f t="shared" si="40"/>
        <v>-181450</v>
      </c>
      <c r="AG62" s="133">
        <f t="shared" si="40"/>
        <v>-9773</v>
      </c>
      <c r="AH62" s="133">
        <f t="shared" ref="AH62" si="42">SUM(AH53:AH61)</f>
        <v>-17532</v>
      </c>
      <c r="AI62" s="179">
        <f>SUM([11]Cashflow!B62:AG62)-SUM(B62:AG62)</f>
        <v>0</v>
      </c>
      <c r="AJ62" s="179"/>
    </row>
    <row r="63" spans="1:209" x14ac:dyDescent="0.15">
      <c r="A63" s="13"/>
      <c r="F63" s="158"/>
      <c r="G63" s="158"/>
      <c r="H63" s="158"/>
      <c r="I63" s="158"/>
      <c r="J63" s="158"/>
      <c r="K63" s="158"/>
      <c r="L63" s="2"/>
      <c r="M63" s="178"/>
      <c r="N63" s="178"/>
      <c r="O63" s="178"/>
      <c r="P63" s="178"/>
      <c r="Q63" s="178"/>
      <c r="R63" s="178"/>
      <c r="S63" s="178"/>
      <c r="T63" s="178"/>
      <c r="U63" s="178"/>
      <c r="V63" s="178"/>
      <c r="W63" s="178"/>
      <c r="X63" s="178"/>
      <c r="Y63" s="178"/>
      <c r="Z63" s="178"/>
      <c r="AA63" s="178"/>
      <c r="AB63" s="178"/>
      <c r="AC63" s="178"/>
      <c r="AD63" s="178"/>
      <c r="AE63" s="178"/>
      <c r="AF63" s="178"/>
      <c r="AG63" s="178"/>
      <c r="AH63" s="178"/>
      <c r="AI63" s="73"/>
    </row>
    <row r="64" spans="1:209" x14ac:dyDescent="0.15">
      <c r="A64" s="13" t="s">
        <v>194</v>
      </c>
      <c r="B64" s="134">
        <f>-644-[53]CFS_Factsheet!$C$4</f>
        <v>-571</v>
      </c>
      <c r="C64" s="134">
        <f>-1938-[53]CFS_Factsheet!$D$4</f>
        <v>-1756</v>
      </c>
      <c r="D64" s="134">
        <f>-426-[53]CFS_Factsheet!$E$4</f>
        <v>-228</v>
      </c>
      <c r="E64" s="140">
        <f>+F64-SUM(B64:D64)</f>
        <v>8</v>
      </c>
      <c r="F64" s="158">
        <f>-2868-[53]CFS_Factsheet!$G$4</f>
        <v>-2547</v>
      </c>
      <c r="G64" s="158">
        <f>-455-[53]CFS_Factsheet!$H$4</f>
        <v>-457</v>
      </c>
      <c r="H64" s="158">
        <f>215-[53]CFS_Factsheet!$I$4</f>
        <v>208</v>
      </c>
      <c r="I64" s="158">
        <f>-1521-[53]CFS_Factsheet!$J$4</f>
        <v>-1449</v>
      </c>
      <c r="J64" s="140">
        <f>+K64-SUM(G64:I64)</f>
        <v>733</v>
      </c>
      <c r="K64" s="158">
        <f>'[1]Statements of Cash Flow'!$C$51-[53]CFS_Factsheet!$L$4</f>
        <v>-965</v>
      </c>
      <c r="L64" s="179">
        <f>SUM(G64:J64)-K64</f>
        <v>0</v>
      </c>
      <c r="M64" s="178">
        <f>-2653-[53]CFS_Factsheet!$M$4</f>
        <v>-2501</v>
      </c>
      <c r="N64" s="178">
        <f>-220-[53]CFS_Factsheet!$N$4</f>
        <v>-226</v>
      </c>
      <c r="O64" s="178">
        <f>2893-[53]CFS_Factsheet!$O$4</f>
        <v>2832</v>
      </c>
      <c r="P64" s="178">
        <f>+Q64-SUM(M64:O64)</f>
        <v>3335</v>
      </c>
      <c r="Q64" s="178">
        <f>'[2]Statements of Cash Flow'!$C$52-[53]CFS_Factsheet!$Q$4</f>
        <v>3440</v>
      </c>
      <c r="R64" s="178">
        <f>-984-[53]CFS_Factsheet!$R$4</f>
        <v>-982</v>
      </c>
      <c r="S64" s="178">
        <f>-1253-[53]CFS_Factsheet!$S$4</f>
        <v>-1214</v>
      </c>
      <c r="T64" s="178">
        <f>-2766-[53]CFS_Factsheet!$T$4</f>
        <v>-2770</v>
      </c>
      <c r="U64" s="178">
        <f>+V64-SUM(R64:T64)</f>
        <v>56</v>
      </c>
      <c r="V64" s="178">
        <f>'[3]Statements of Cash Flow'!$C$53-[53]CFS_Factsheet!$V$4</f>
        <v>-4910</v>
      </c>
      <c r="W64" s="178">
        <f>-753-[53]CFS_Factsheet!$W$4</f>
        <v>-701</v>
      </c>
      <c r="X64" s="178">
        <f>-4612-[53]CFS_Factsheet!$X$4</f>
        <v>-4504</v>
      </c>
      <c r="Y64" s="178">
        <f>-4261-[53]CFS_Factsheet!$Y$4</f>
        <v>-4186</v>
      </c>
      <c r="Z64" s="178">
        <f>+AA64-SUM(W64:Y64)</f>
        <v>3599</v>
      </c>
      <c r="AA64" s="178">
        <f>'[4]Statements of Cash Flow'!$C$55-[53]CFS_Factsheet!$AA$4</f>
        <v>-5792</v>
      </c>
      <c r="AB64" s="178">
        <f>'[5]Statements of Cash Flow'!$C$55-[53]CFS_Factsheet!$AB$4</f>
        <v>1270</v>
      </c>
      <c r="AC64" s="178">
        <f>'[6]Statements of Cash Flow'!$C$57-SUM([53]CFS_Factsheet!$AB$4:$AC$4)-AB64</f>
        <v>240</v>
      </c>
      <c r="AD64" s="178">
        <f>'[7]Statements of Cash Flow'!$C$57-SUM([53]CFS_Factsheet!$AB$4:$AD$4)-SUM(AB64:AC64)</f>
        <v>-1781</v>
      </c>
      <c r="AE64" s="178">
        <f>+AF64-SUM(AB64:AD64)</f>
        <v>2316</v>
      </c>
      <c r="AF64" s="178">
        <f>'[8]Statements of Cash Flow'!$C$55-[53]CFS_Factsheet!$AF$4</f>
        <v>2045</v>
      </c>
      <c r="AG64" s="178">
        <f>'[9]Statements of Cash Flow'!$C$56-[53]CFS_Factsheet!$AG$4</f>
        <v>-1199</v>
      </c>
      <c r="AH64" s="178">
        <f>'[10]Statements of Cash Flow'!$C$57-AG64</f>
        <v>-645</v>
      </c>
      <c r="AI64" s="179"/>
      <c r="AJ64" s="179"/>
    </row>
    <row r="65" spans="1:36" x14ac:dyDescent="0.15">
      <c r="A65" s="14" t="s">
        <v>18</v>
      </c>
      <c r="F65" s="158"/>
      <c r="G65" s="158"/>
      <c r="H65" s="158"/>
      <c r="I65" s="158"/>
      <c r="J65" s="158"/>
      <c r="K65" s="158"/>
      <c r="L65" s="2"/>
      <c r="M65" s="178"/>
      <c r="N65" s="178"/>
      <c r="O65" s="178"/>
      <c r="P65" s="178"/>
      <c r="Q65" s="178"/>
      <c r="R65" s="178"/>
      <c r="S65" s="178"/>
      <c r="T65" s="178"/>
      <c r="U65" s="178"/>
      <c r="V65" s="178"/>
      <c r="W65" s="178"/>
      <c r="X65" s="178"/>
      <c r="Y65" s="178"/>
      <c r="Z65" s="178"/>
      <c r="AA65" s="178"/>
      <c r="AB65" s="178"/>
      <c r="AC65" s="178"/>
      <c r="AD65" s="178"/>
      <c r="AE65" s="178"/>
      <c r="AF65" s="178"/>
      <c r="AG65" s="178"/>
      <c r="AH65" s="178"/>
      <c r="AI65" s="179">
        <f>SUM([11]Cashflow!B65:AG65)-SUM(B65:AG65)</f>
        <v>0</v>
      </c>
    </row>
    <row r="66" spans="1:36" x14ac:dyDescent="0.15">
      <c r="A66" s="10" t="s">
        <v>197</v>
      </c>
      <c r="B66" s="135">
        <f t="shared" ref="B66:K66" si="43">B62+B50+B40+B64</f>
        <v>-17787</v>
      </c>
      <c r="C66" s="135">
        <f t="shared" si="43"/>
        <v>13665</v>
      </c>
      <c r="D66" s="135">
        <f t="shared" si="43"/>
        <v>15968</v>
      </c>
      <c r="E66" s="135">
        <f t="shared" si="43"/>
        <v>-825.5240648213221</v>
      </c>
      <c r="F66" s="135">
        <f t="shared" si="43"/>
        <v>11020.475935178692</v>
      </c>
      <c r="G66" s="135">
        <f t="shared" si="43"/>
        <v>-9437.5240648213221</v>
      </c>
      <c r="H66" s="135">
        <f t="shared" si="43"/>
        <v>-3111.9016086385891</v>
      </c>
      <c r="I66" s="135">
        <f t="shared" si="43"/>
        <v>17903.828320000001</v>
      </c>
      <c r="J66" s="135">
        <f t="shared" si="43"/>
        <v>17774.597353459918</v>
      </c>
      <c r="K66" s="135">
        <f t="shared" si="43"/>
        <v>23129</v>
      </c>
      <c r="L66" s="2"/>
      <c r="M66" s="185">
        <f t="shared" ref="M66:AH66" si="44">M62+M50+M40+M64</f>
        <v>106625</v>
      </c>
      <c r="N66" s="185">
        <f t="shared" si="44"/>
        <v>-62766</v>
      </c>
      <c r="O66" s="185">
        <f t="shared" si="44"/>
        <v>45258</v>
      </c>
      <c r="P66" s="185">
        <f t="shared" si="44"/>
        <v>9485</v>
      </c>
      <c r="Q66" s="185">
        <f t="shared" si="44"/>
        <v>98602</v>
      </c>
      <c r="R66" s="185">
        <f t="shared" si="44"/>
        <v>-40804</v>
      </c>
      <c r="S66" s="185">
        <f t="shared" si="44"/>
        <v>-27140</v>
      </c>
      <c r="T66" s="185">
        <f t="shared" si="44"/>
        <v>-33885</v>
      </c>
      <c r="U66" s="185">
        <f t="shared" si="44"/>
        <v>20120</v>
      </c>
      <c r="V66" s="185">
        <f t="shared" si="44"/>
        <v>-81709</v>
      </c>
      <c r="W66" s="185">
        <f t="shared" si="44"/>
        <v>-28697</v>
      </c>
      <c r="X66" s="185">
        <f t="shared" si="44"/>
        <v>330</v>
      </c>
      <c r="Y66" s="185">
        <f t="shared" si="44"/>
        <v>-16869</v>
      </c>
      <c r="Z66" s="185">
        <f t="shared" si="44"/>
        <v>27291</v>
      </c>
      <c r="AA66" s="185">
        <f t="shared" si="44"/>
        <v>-17945</v>
      </c>
      <c r="AB66" s="185">
        <f t="shared" si="44"/>
        <v>-30670</v>
      </c>
      <c r="AC66" s="185">
        <f t="shared" si="44"/>
        <v>5692</v>
      </c>
      <c r="AD66" s="185">
        <f t="shared" si="44"/>
        <v>27324</v>
      </c>
      <c r="AE66" s="185">
        <f t="shared" si="44"/>
        <v>15103</v>
      </c>
      <c r="AF66" s="185">
        <f t="shared" si="44"/>
        <v>17449</v>
      </c>
      <c r="AG66" s="185">
        <f t="shared" si="44"/>
        <v>-28159</v>
      </c>
      <c r="AH66" s="185">
        <f t="shared" si="44"/>
        <v>8798</v>
      </c>
      <c r="AI66" s="179"/>
      <c r="AJ66" s="179"/>
    </row>
    <row r="67" spans="1:36" x14ac:dyDescent="0.15">
      <c r="A67" s="21" t="s">
        <v>196</v>
      </c>
      <c r="B67" s="136">
        <f>94277-[53]CFS_Factsheet!C3</f>
        <v>90469</v>
      </c>
      <c r="C67" s="136">
        <f>B68</f>
        <v>72682</v>
      </c>
      <c r="D67" s="136">
        <f>C68</f>
        <v>86347</v>
      </c>
      <c r="E67" s="136">
        <f>D68</f>
        <v>102315</v>
      </c>
      <c r="F67" s="136">
        <f>B67</f>
        <v>90469</v>
      </c>
      <c r="G67" s="136">
        <f>E68</f>
        <v>101489.47593517868</v>
      </c>
      <c r="H67" s="136">
        <f>G68</f>
        <v>92051.951870357356</v>
      </c>
      <c r="I67" s="136">
        <f t="shared" ref="I67:AG67" si="45">H68</f>
        <v>88940.050261718774</v>
      </c>
      <c r="J67" s="136">
        <f t="shared" si="45"/>
        <v>106843.87858171877</v>
      </c>
      <c r="K67" s="136">
        <f>F68</f>
        <v>101489.47593517869</v>
      </c>
      <c r="L67" s="136">
        <f t="shared" si="45"/>
        <v>124618.47593517869</v>
      </c>
      <c r="M67" s="136">
        <f t="shared" si="45"/>
        <v>124618.47593517869</v>
      </c>
      <c r="N67" s="136">
        <f t="shared" si="45"/>
        <v>231243.47593517869</v>
      </c>
      <c r="O67" s="136">
        <f t="shared" si="45"/>
        <v>168477.47593517869</v>
      </c>
      <c r="P67" s="136">
        <f t="shared" si="45"/>
        <v>213735.47593517869</v>
      </c>
      <c r="Q67" s="136">
        <f>K68</f>
        <v>124618.47593517869</v>
      </c>
      <c r="R67" s="136">
        <f t="shared" si="45"/>
        <v>223220.47593517869</v>
      </c>
      <c r="S67" s="136">
        <f t="shared" si="45"/>
        <v>182416.47593517869</v>
      </c>
      <c r="T67" s="136">
        <f t="shared" si="45"/>
        <v>155276.47593517869</v>
      </c>
      <c r="U67" s="136">
        <f t="shared" si="45"/>
        <v>121391.47593517869</v>
      </c>
      <c r="V67" s="136">
        <f>Q68</f>
        <v>223220.47593517869</v>
      </c>
      <c r="W67" s="136">
        <f t="shared" si="45"/>
        <v>141511.47593517869</v>
      </c>
      <c r="X67" s="136">
        <f t="shared" si="45"/>
        <v>112814.47593517869</v>
      </c>
      <c r="Y67" s="136">
        <f t="shared" si="45"/>
        <v>113144.47593517869</v>
      </c>
      <c r="Z67" s="136">
        <f t="shared" si="45"/>
        <v>96275.475935178692</v>
      </c>
      <c r="AA67" s="136">
        <f>V68</f>
        <v>141511.47593517869</v>
      </c>
      <c r="AB67" s="136">
        <f t="shared" si="45"/>
        <v>123566.47593517869</v>
      </c>
      <c r="AC67" s="136">
        <f>AB68</f>
        <v>92896.475935178692</v>
      </c>
      <c r="AD67" s="136">
        <f t="shared" si="45"/>
        <v>98588.475935178692</v>
      </c>
      <c r="AE67" s="136">
        <f t="shared" si="45"/>
        <v>125912.47593517869</v>
      </c>
      <c r="AF67" s="136">
        <f>AA68</f>
        <v>123566.47593517869</v>
      </c>
      <c r="AG67" s="136">
        <f t="shared" si="45"/>
        <v>141015.47593517869</v>
      </c>
      <c r="AH67" s="136">
        <f>AG68</f>
        <v>112856.47593517869</v>
      </c>
      <c r="AI67" s="179"/>
      <c r="AJ67" s="179"/>
    </row>
    <row r="68" spans="1:36" x14ac:dyDescent="0.15">
      <c r="A68" s="43" t="s">
        <v>195</v>
      </c>
      <c r="B68" s="133">
        <f>SUM(B66:B67)</f>
        <v>72682</v>
      </c>
      <c r="C68" s="133">
        <f t="shared" ref="C68:AH68" si="46">SUM(C66:C67)</f>
        <v>86347</v>
      </c>
      <c r="D68" s="133">
        <f t="shared" si="46"/>
        <v>102315</v>
      </c>
      <c r="E68" s="133">
        <f t="shared" si="46"/>
        <v>101489.47593517868</v>
      </c>
      <c r="F68" s="133">
        <f t="shared" si="46"/>
        <v>101489.47593517869</v>
      </c>
      <c r="G68" s="133">
        <f t="shared" si="46"/>
        <v>92051.951870357356</v>
      </c>
      <c r="H68" s="133">
        <f t="shared" si="46"/>
        <v>88940.050261718774</v>
      </c>
      <c r="I68" s="133">
        <f t="shared" si="46"/>
        <v>106843.87858171877</v>
      </c>
      <c r="J68" s="133">
        <f t="shared" si="46"/>
        <v>124618.47593517869</v>
      </c>
      <c r="K68" s="133">
        <f t="shared" si="46"/>
        <v>124618.47593517869</v>
      </c>
      <c r="L68" s="133">
        <f t="shared" si="46"/>
        <v>124618.47593517869</v>
      </c>
      <c r="M68" s="133">
        <f t="shared" si="46"/>
        <v>231243.47593517869</v>
      </c>
      <c r="N68" s="133">
        <f t="shared" si="46"/>
        <v>168477.47593517869</v>
      </c>
      <c r="O68" s="133">
        <f t="shared" si="46"/>
        <v>213735.47593517869</v>
      </c>
      <c r="P68" s="133">
        <f t="shared" si="46"/>
        <v>223220.47593517869</v>
      </c>
      <c r="Q68" s="133">
        <f t="shared" si="46"/>
        <v>223220.47593517869</v>
      </c>
      <c r="R68" s="133">
        <f t="shared" si="46"/>
        <v>182416.47593517869</v>
      </c>
      <c r="S68" s="133">
        <f t="shared" si="46"/>
        <v>155276.47593517869</v>
      </c>
      <c r="T68" s="133">
        <f t="shared" si="46"/>
        <v>121391.47593517869</v>
      </c>
      <c r="U68" s="133">
        <f t="shared" si="46"/>
        <v>141511.47593517869</v>
      </c>
      <c r="V68" s="133">
        <f t="shared" si="46"/>
        <v>141511.47593517869</v>
      </c>
      <c r="W68" s="133">
        <f t="shared" si="46"/>
        <v>112814.47593517869</v>
      </c>
      <c r="X68" s="133">
        <f t="shared" si="46"/>
        <v>113144.47593517869</v>
      </c>
      <c r="Y68" s="133">
        <f t="shared" si="46"/>
        <v>96275.475935178692</v>
      </c>
      <c r="Z68" s="133">
        <f t="shared" si="46"/>
        <v>123566.47593517869</v>
      </c>
      <c r="AA68" s="133">
        <f t="shared" si="46"/>
        <v>123566.47593517869</v>
      </c>
      <c r="AB68" s="133">
        <f t="shared" si="46"/>
        <v>92896.475935178692</v>
      </c>
      <c r="AC68" s="133">
        <f t="shared" si="46"/>
        <v>98588.475935178692</v>
      </c>
      <c r="AD68" s="133">
        <f t="shared" si="46"/>
        <v>125912.47593517869</v>
      </c>
      <c r="AE68" s="133">
        <f t="shared" si="46"/>
        <v>141015.47593517869</v>
      </c>
      <c r="AF68" s="133">
        <f t="shared" si="46"/>
        <v>141015.47593517869</v>
      </c>
      <c r="AG68" s="133">
        <f t="shared" si="46"/>
        <v>112856.47593517869</v>
      </c>
      <c r="AH68" s="133">
        <f t="shared" si="46"/>
        <v>121654.47593517869</v>
      </c>
      <c r="AI68" s="179"/>
      <c r="AJ68" s="235"/>
    </row>
    <row r="69" spans="1:36" x14ac:dyDescent="0.15">
      <c r="A69" s="13"/>
      <c r="F69" s="131"/>
      <c r="G69" s="131"/>
      <c r="H69" s="131"/>
      <c r="I69" s="174"/>
      <c r="J69" s="174"/>
      <c r="K69" s="174"/>
      <c r="L69" s="2"/>
      <c r="M69" s="174"/>
      <c r="N69" s="174"/>
      <c r="O69" s="174"/>
      <c r="P69" s="174"/>
      <c r="Q69" s="174"/>
      <c r="R69" s="174"/>
      <c r="S69" s="174"/>
      <c r="T69" s="174"/>
      <c r="U69" s="174"/>
      <c r="V69" s="174"/>
      <c r="W69" s="174"/>
      <c r="X69" s="174"/>
      <c r="Y69" s="174"/>
      <c r="Z69" s="174"/>
      <c r="AA69" s="174"/>
      <c r="AB69" s="174"/>
      <c r="AC69" s="174"/>
      <c r="AD69" s="174"/>
      <c r="AE69" s="174"/>
      <c r="AF69" s="174"/>
      <c r="AG69" s="174"/>
      <c r="AH69" s="174"/>
    </row>
    <row r="70" spans="1:36" x14ac:dyDescent="0.15">
      <c r="F70" s="131"/>
      <c r="G70" s="131"/>
      <c r="H70" s="131"/>
      <c r="I70" s="174"/>
      <c r="J70" s="174"/>
      <c r="K70" s="174"/>
      <c r="L70" s="2"/>
      <c r="M70" s="174"/>
      <c r="N70" s="174"/>
      <c r="O70" s="174"/>
      <c r="P70" s="174"/>
      <c r="Q70" s="174"/>
      <c r="R70" s="174"/>
      <c r="S70" s="174"/>
      <c r="T70" s="174"/>
      <c r="U70" s="174"/>
      <c r="V70" s="174"/>
      <c r="W70" s="174"/>
      <c r="X70" s="174"/>
      <c r="Y70" s="174"/>
      <c r="Z70" s="174"/>
      <c r="AA70" s="174"/>
      <c r="AB70" s="174"/>
      <c r="AC70" s="174"/>
      <c r="AD70" s="174"/>
      <c r="AE70" s="174"/>
      <c r="AF70" s="174"/>
      <c r="AG70" s="174"/>
      <c r="AH70" s="174"/>
    </row>
    <row r="71" spans="1:36" hidden="1" x14ac:dyDescent="0.15">
      <c r="A71" s="2" t="s">
        <v>152</v>
      </c>
      <c r="F71" s="131"/>
      <c r="G71" s="131"/>
      <c r="H71" s="131"/>
      <c r="I71" s="174"/>
      <c r="J71" s="174"/>
      <c r="K71" s="174"/>
      <c r="L71" s="2"/>
      <c r="M71" s="174"/>
      <c r="N71" s="174"/>
      <c r="O71" s="174"/>
      <c r="P71" s="174"/>
      <c r="Q71" s="174"/>
      <c r="R71" s="174"/>
      <c r="S71" s="174"/>
      <c r="T71" s="174"/>
      <c r="U71" s="174"/>
      <c r="V71" s="174"/>
      <c r="W71" s="174"/>
      <c r="X71" s="174"/>
      <c r="Y71" s="174"/>
      <c r="Z71" s="174"/>
      <c r="AA71" s="174"/>
      <c r="AB71" s="174"/>
      <c r="AC71" s="174"/>
      <c r="AD71" s="174"/>
      <c r="AE71" s="174"/>
      <c r="AF71" s="174"/>
      <c r="AG71" s="174"/>
      <c r="AH71" s="174"/>
    </row>
    <row r="72" spans="1:36" x14ac:dyDescent="0.15">
      <c r="B72" s="144">
        <f>SUM('Balance Sheet'!C8,'Balance Sheet'!C10,'Balance Sheet'!C17)</f>
        <v>72682</v>
      </c>
      <c r="C72" s="144">
        <f>SUM('Balance Sheet'!D8,'Balance Sheet'!D10,'Balance Sheet'!D17)</f>
        <v>86347</v>
      </c>
      <c r="D72" s="144">
        <f>SUM('Balance Sheet'!E8,'Balance Sheet'!E10,'Balance Sheet'!E17)</f>
        <v>102315</v>
      </c>
      <c r="E72" s="144">
        <f>SUM('Balance Sheet'!F8,'Balance Sheet'!F10,'Balance Sheet'!F17)</f>
        <v>101489</v>
      </c>
      <c r="F72" s="144">
        <f>SUM('Balance Sheet'!F8,'Balance Sheet'!F10,'Balance Sheet'!F17)</f>
        <v>101489</v>
      </c>
      <c r="G72" s="144">
        <f>SUM('Balance Sheet'!G8,'Balance Sheet'!G10,'Balance Sheet'!G17)</f>
        <v>92052</v>
      </c>
      <c r="H72" s="144">
        <f>SUM('Balance Sheet'!H8,'Balance Sheet'!H10,'Balance Sheet'!H17)</f>
        <v>88940</v>
      </c>
      <c r="I72" s="175">
        <f>SUM('Balance Sheet'!I8,'Balance Sheet'!I10,'Balance Sheet'!I17)</f>
        <v>106844</v>
      </c>
      <c r="J72" s="175">
        <f>SUM('Balance Sheet'!J8,'Balance Sheet'!J10,'Balance Sheet'!J17)</f>
        <v>124618</v>
      </c>
      <c r="K72" s="175">
        <f>SUM('Balance Sheet'!J8,'Balance Sheet'!J10,'Balance Sheet'!J17)</f>
        <v>124618</v>
      </c>
      <c r="M72" s="140">
        <f>SUM('Balance Sheet'!K8,'Balance Sheet'!K10,'Balance Sheet'!K17)</f>
        <v>231243</v>
      </c>
      <c r="N72" s="140">
        <f>SUM('Balance Sheet'!L8,'Balance Sheet'!L10,'Balance Sheet'!L17)</f>
        <v>168477</v>
      </c>
      <c r="O72" s="140">
        <f>SUM('Balance Sheet'!M8,'Balance Sheet'!M10,'Balance Sheet'!M17)</f>
        <v>213735</v>
      </c>
      <c r="P72" s="140">
        <f>SUM('Balance Sheet'!N8,'Balance Sheet'!N10,'Balance Sheet'!N17)</f>
        <v>223220</v>
      </c>
      <c r="Q72" s="140">
        <f>SUM('Balance Sheet'!N8,'Balance Sheet'!N10,'Balance Sheet'!N17)</f>
        <v>223220</v>
      </c>
      <c r="R72" s="140">
        <f>SUM('Balance Sheet'!O8,'Balance Sheet'!O10,'Balance Sheet'!O17)</f>
        <v>182416</v>
      </c>
      <c r="S72" s="140">
        <f>SUM('Balance Sheet'!P8,'Balance Sheet'!P10,'Balance Sheet'!P17)</f>
        <v>155276</v>
      </c>
      <c r="T72" s="140">
        <f>SUM('Balance Sheet'!Q8,'Balance Sheet'!Q10,'Balance Sheet'!Q17)</f>
        <v>121391</v>
      </c>
      <c r="U72" s="140">
        <f>SUM('Balance Sheet'!R8,'Balance Sheet'!R10,'Balance Sheet'!R17)</f>
        <v>141511</v>
      </c>
      <c r="V72" s="140">
        <f>SUM('Balance Sheet'!R8,'Balance Sheet'!R10,'Balance Sheet'!R17)</f>
        <v>141511</v>
      </c>
      <c r="W72" s="140">
        <f>SUM('Balance Sheet'!S8,'Balance Sheet'!S10,'Balance Sheet'!S17)</f>
        <v>112814</v>
      </c>
      <c r="X72" s="140">
        <f>SUM('Balance Sheet'!T8,'Balance Sheet'!T10,'Balance Sheet'!T17)</f>
        <v>113144</v>
      </c>
      <c r="Y72" s="140">
        <f>SUM('Balance Sheet'!U8,'Balance Sheet'!U10,'Balance Sheet'!U17)</f>
        <v>96275</v>
      </c>
      <c r="Z72" s="140">
        <f>SUM('Balance Sheet'!V8,'Balance Sheet'!V10,'Balance Sheet'!V17)</f>
        <v>123566</v>
      </c>
      <c r="AA72" s="140">
        <f>SUM('Balance Sheet'!V8,'Balance Sheet'!V10,'Balance Sheet'!V17)</f>
        <v>123566</v>
      </c>
      <c r="AB72" s="140">
        <f>SUM('Balance Sheet'!W8,'Balance Sheet'!W10,'Balance Sheet'!W17)</f>
        <v>92896</v>
      </c>
      <c r="AC72" s="140">
        <f>SUM('Balance Sheet'!X8,'Balance Sheet'!X10,'Balance Sheet'!X17)</f>
        <v>98588</v>
      </c>
      <c r="AD72" s="140">
        <f>SUM('Balance Sheet'!Y8,'Balance Sheet'!Y10,'Balance Sheet'!Y17)</f>
        <v>125912</v>
      </c>
      <c r="AE72" s="140">
        <f>SUM('Balance Sheet'!Z8,'Balance Sheet'!Z10,'Balance Sheet'!Z17)</f>
        <v>141015</v>
      </c>
      <c r="AF72" s="140">
        <f>SUM('Balance Sheet'!Z8,'Balance Sheet'!Z10,'Balance Sheet'!Z17)</f>
        <v>141015</v>
      </c>
      <c r="AG72" s="140">
        <f>SUM('Balance Sheet'!AA8,'Balance Sheet'!AA10,'Balance Sheet'!AA17)</f>
        <v>112856</v>
      </c>
      <c r="AH72" s="140">
        <f>SUM('Balance Sheet'!AB8,'Balance Sheet'!AB10,'Balance Sheet'!AB17)</f>
        <v>121654</v>
      </c>
    </row>
    <row r="73" spans="1:36" x14ac:dyDescent="0.15">
      <c r="B73" s="141">
        <f t="shared" ref="B73:K73" si="47">B68-B72</f>
        <v>0</v>
      </c>
      <c r="C73" s="141">
        <f t="shared" si="47"/>
        <v>0</v>
      </c>
      <c r="D73" s="141">
        <f t="shared" si="47"/>
        <v>0</v>
      </c>
      <c r="E73" s="141">
        <f t="shared" si="47"/>
        <v>0.47593517867790069</v>
      </c>
      <c r="F73" s="141">
        <f t="shared" si="47"/>
        <v>0.47593517869245261</v>
      </c>
      <c r="G73" s="141">
        <f t="shared" si="47"/>
        <v>-4.8129642644198611E-2</v>
      </c>
      <c r="H73" s="141">
        <f t="shared" si="47"/>
        <v>5.0261718773981556E-2</v>
      </c>
      <c r="I73" s="76">
        <f t="shared" si="47"/>
        <v>-0.12141828122548759</v>
      </c>
      <c r="J73" s="76">
        <f t="shared" si="47"/>
        <v>0.47593517869245261</v>
      </c>
      <c r="K73" s="76">
        <f t="shared" si="47"/>
        <v>0.47593517869245261</v>
      </c>
      <c r="L73" s="24"/>
      <c r="M73" s="154">
        <f t="shared" ref="M73:AH73" si="48">M68-M72</f>
        <v>0.47593517869245261</v>
      </c>
      <c r="N73" s="154">
        <f t="shared" si="48"/>
        <v>0.47593517869245261</v>
      </c>
      <c r="O73" s="154">
        <f t="shared" si="48"/>
        <v>0.47593517869245261</v>
      </c>
      <c r="P73" s="154">
        <f t="shared" si="48"/>
        <v>0.47593517869245261</v>
      </c>
      <c r="Q73" s="154">
        <f t="shared" si="48"/>
        <v>0.47593517869245261</v>
      </c>
      <c r="R73" s="154">
        <f t="shared" si="48"/>
        <v>0.47593517869245261</v>
      </c>
      <c r="S73" s="154">
        <f t="shared" si="48"/>
        <v>0.47593517869245261</v>
      </c>
      <c r="T73" s="154">
        <f t="shared" si="48"/>
        <v>0.47593517869245261</v>
      </c>
      <c r="U73" s="154">
        <f t="shared" si="48"/>
        <v>0.47593517869245261</v>
      </c>
      <c r="V73" s="154">
        <f t="shared" si="48"/>
        <v>0.47593517869245261</v>
      </c>
      <c r="W73" s="154">
        <f t="shared" si="48"/>
        <v>0.47593517869245261</v>
      </c>
      <c r="X73" s="154">
        <f t="shared" si="48"/>
        <v>0.47593517869245261</v>
      </c>
      <c r="Y73" s="154">
        <f t="shared" si="48"/>
        <v>0.47593517869245261</v>
      </c>
      <c r="Z73" s="154">
        <f t="shared" si="48"/>
        <v>0.47593517869245261</v>
      </c>
      <c r="AA73" s="154">
        <f t="shared" si="48"/>
        <v>0.47593517869245261</v>
      </c>
      <c r="AB73" s="154">
        <f t="shared" si="48"/>
        <v>0.47593517869245261</v>
      </c>
      <c r="AC73" s="154">
        <f t="shared" si="48"/>
        <v>0.47593517869245261</v>
      </c>
      <c r="AD73" s="154">
        <f t="shared" si="48"/>
        <v>0.47593517869245261</v>
      </c>
      <c r="AE73" s="154">
        <f t="shared" si="48"/>
        <v>0.47593517869245261</v>
      </c>
      <c r="AF73" s="154">
        <f t="shared" si="48"/>
        <v>0.47593517869245261</v>
      </c>
      <c r="AG73" s="154">
        <f t="shared" si="48"/>
        <v>0.47593517869245261</v>
      </c>
      <c r="AH73" s="154">
        <f t="shared" si="48"/>
        <v>0.47593517869245261</v>
      </c>
    </row>
  </sheetData>
  <pageMargins left="0.25" right="0.25" top="0.75" bottom="0.75" header="0.3" footer="0.3"/>
  <pageSetup paperSize="9" scale="64" orientation="landscape" r:id="rId1"/>
  <rowBreaks count="2" manualBreakCount="2">
    <brk id="50" max="33" man="1"/>
    <brk id="70" max="3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AM109"/>
  <sheetViews>
    <sheetView showGridLines="0" view="pageBreakPreview" zoomScale="60" zoomScaleNormal="50" workbookViewId="0">
      <pane xSplit="2" ySplit="4" topLeftCell="X5" activePane="bottomRight" state="frozen"/>
      <selection activeCell="AE38" sqref="AE38"/>
      <selection pane="topRight" activeCell="AE38" sqref="AE38"/>
      <selection pane="bottomLeft" activeCell="AE38" sqref="AE38"/>
      <selection pane="bottomRight" activeCell="AH2" sqref="AH2"/>
    </sheetView>
  </sheetViews>
  <sheetFormatPr baseColWidth="10" defaultColWidth="9.1640625" defaultRowHeight="21" outlineLevelCol="2" x14ac:dyDescent="0.25"/>
  <cols>
    <col min="1" max="1" width="2.5" style="111" customWidth="1"/>
    <col min="2" max="2" width="62.5" style="113" customWidth="1"/>
    <col min="3" max="6" width="18.5" style="150" hidden="1" customWidth="1" outlineLevel="1"/>
    <col min="7" max="7" width="18.5" style="150" customWidth="1" collapsed="1"/>
    <col min="8" max="8" width="16.33203125" style="150" hidden="1" customWidth="1" outlineLevel="1"/>
    <col min="9" max="11" width="17.5" style="113" hidden="1" customWidth="1" outlineLevel="1"/>
    <col min="12" max="12" width="20.83203125" style="113" customWidth="1" collapsed="1"/>
    <col min="13" max="16" width="17.5" style="113" hidden="1" customWidth="1" outlineLevel="1"/>
    <col min="17" max="17" width="17.5" style="113" customWidth="1" collapsed="1"/>
    <col min="18" max="20" width="17.5" style="113" hidden="1" customWidth="1" outlineLevel="1"/>
    <col min="21" max="21" width="17.33203125" style="113" hidden="1" customWidth="1" outlineLevel="1"/>
    <col min="22" max="22" width="19" style="113" bestFit="1" customWidth="1" collapsed="1"/>
    <col min="23" max="24" width="17.6640625" style="113" customWidth="1"/>
    <col min="25" max="25" width="16.1640625" style="113" bestFit="1" customWidth="1"/>
    <col min="26" max="26" width="18.33203125" style="113" bestFit="1" customWidth="1"/>
    <col min="27" max="30" width="19" style="113" bestFit="1" customWidth="1"/>
    <col min="31" max="31" width="20.6640625" style="113" bestFit="1" customWidth="1"/>
    <col min="32" max="32" width="19" style="113" bestFit="1" customWidth="1"/>
    <col min="33" max="34" width="19" style="113" customWidth="1"/>
    <col min="35" max="35" width="16.1640625" style="113" hidden="1" customWidth="1" outlineLevel="1"/>
    <col min="36" max="36" width="17" style="113" hidden="1" customWidth="1" outlineLevel="2"/>
    <col min="37" max="37" width="9.1640625" style="113" customWidth="1" collapsed="1"/>
    <col min="38" max="38" width="20.1640625" style="113" customWidth="1"/>
    <col min="39" max="39" width="9.1640625" style="113" customWidth="1"/>
    <col min="40" max="16384" width="9.1640625" style="113"/>
  </cols>
  <sheetData>
    <row r="1" spans="1:37" ht="22" thickBot="1" x14ac:dyDescent="0.3">
      <c r="A1" s="111" t="s">
        <v>115</v>
      </c>
      <c r="B1" s="112"/>
      <c r="Z1" s="225"/>
      <c r="AA1" s="225"/>
      <c r="AB1" s="225"/>
      <c r="AC1" s="225"/>
      <c r="AD1" s="225"/>
      <c r="AE1" s="225"/>
      <c r="AF1" s="225"/>
      <c r="AG1" s="225"/>
      <c r="AH1" s="225"/>
      <c r="AK1" s="225" t="s">
        <v>184</v>
      </c>
    </row>
    <row r="2" spans="1:37" ht="22" thickBot="1" x14ac:dyDescent="0.3">
      <c r="B2" s="112"/>
      <c r="C2" s="286">
        <v>2018</v>
      </c>
      <c r="D2" s="287"/>
      <c r="E2" s="287"/>
      <c r="F2" s="287"/>
      <c r="G2" s="288"/>
      <c r="H2" s="286">
        <v>2019</v>
      </c>
      <c r="I2" s="287"/>
      <c r="J2" s="287"/>
      <c r="K2" s="287"/>
      <c r="L2" s="288"/>
      <c r="M2" s="286">
        <v>2020</v>
      </c>
      <c r="N2" s="287"/>
      <c r="O2" s="287"/>
      <c r="P2" s="287"/>
      <c r="Q2" s="288"/>
      <c r="R2" s="286">
        <v>2021</v>
      </c>
      <c r="S2" s="287"/>
      <c r="T2" s="287"/>
      <c r="U2" s="287"/>
      <c r="V2" s="287"/>
      <c r="W2" s="286">
        <v>2022</v>
      </c>
      <c r="X2" s="287"/>
      <c r="Y2" s="287"/>
      <c r="Z2" s="287"/>
      <c r="AA2" s="288"/>
      <c r="AB2" s="286">
        <v>2023</v>
      </c>
      <c r="AC2" s="287"/>
      <c r="AD2" s="287"/>
      <c r="AE2" s="287"/>
      <c r="AF2" s="288"/>
      <c r="AG2" s="271">
        <v>2024</v>
      </c>
      <c r="AH2" s="271">
        <v>2024</v>
      </c>
    </row>
    <row r="3" spans="1:37" s="165" customFormat="1" ht="25" thickBot="1" x14ac:dyDescent="0.25">
      <c r="A3" s="163"/>
      <c r="B3" s="164"/>
      <c r="C3" s="246" t="s">
        <v>149</v>
      </c>
      <c r="D3" s="246" t="s">
        <v>149</v>
      </c>
      <c r="E3" s="246" t="s">
        <v>149</v>
      </c>
      <c r="F3" s="246" t="s">
        <v>149</v>
      </c>
      <c r="G3" s="246" t="s">
        <v>149</v>
      </c>
      <c r="H3" s="246" t="s">
        <v>149</v>
      </c>
      <c r="I3" s="246" t="s">
        <v>149</v>
      </c>
      <c r="J3" s="246" t="s">
        <v>149</v>
      </c>
      <c r="K3" s="246" t="s">
        <v>149</v>
      </c>
      <c r="L3" s="246" t="s">
        <v>149</v>
      </c>
      <c r="M3" s="183" t="s">
        <v>168</v>
      </c>
      <c r="N3" s="183" t="s">
        <v>168</v>
      </c>
      <c r="O3" s="183" t="s">
        <v>168</v>
      </c>
      <c r="P3" s="183" t="s">
        <v>168</v>
      </c>
      <c r="Q3" s="183" t="s">
        <v>168</v>
      </c>
      <c r="R3" s="183">
        <v>2021</v>
      </c>
      <c r="S3" s="183">
        <v>2021</v>
      </c>
      <c r="T3" s="183">
        <v>2021</v>
      </c>
      <c r="U3" s="183">
        <v>2021</v>
      </c>
      <c r="V3" s="183">
        <v>2021</v>
      </c>
      <c r="W3" s="238">
        <v>2022</v>
      </c>
      <c r="X3" s="238">
        <v>2022</v>
      </c>
      <c r="Y3" s="238">
        <v>2022</v>
      </c>
      <c r="Z3" s="238">
        <v>2022</v>
      </c>
      <c r="AA3" s="238">
        <v>2022</v>
      </c>
      <c r="AB3" s="183">
        <v>2023</v>
      </c>
      <c r="AC3" s="183">
        <v>2023</v>
      </c>
      <c r="AD3" s="183">
        <v>2023</v>
      </c>
      <c r="AE3" s="183">
        <v>2023</v>
      </c>
      <c r="AF3" s="183">
        <v>2023</v>
      </c>
      <c r="AG3" s="238">
        <v>2024</v>
      </c>
      <c r="AH3" s="238">
        <v>2024</v>
      </c>
    </row>
    <row r="4" spans="1:37" x14ac:dyDescent="0.25">
      <c r="B4" s="112"/>
      <c r="C4" s="114" t="s">
        <v>6</v>
      </c>
      <c r="D4" s="114" t="s">
        <v>7</v>
      </c>
      <c r="E4" s="114" t="s">
        <v>8</v>
      </c>
      <c r="F4" s="114" t="s">
        <v>9</v>
      </c>
      <c r="G4" s="114" t="s">
        <v>146</v>
      </c>
      <c r="H4" s="114" t="s">
        <v>6</v>
      </c>
      <c r="I4" s="114" t="s">
        <v>7</v>
      </c>
      <c r="J4" s="114" t="s">
        <v>8</v>
      </c>
      <c r="K4" s="114" t="s">
        <v>9</v>
      </c>
      <c r="L4" s="114" t="s">
        <v>144</v>
      </c>
      <c r="M4" s="114" t="s">
        <v>6</v>
      </c>
      <c r="N4" s="114" t="s">
        <v>7</v>
      </c>
      <c r="O4" s="114" t="s">
        <v>8</v>
      </c>
      <c r="P4" s="114" t="s">
        <v>9</v>
      </c>
      <c r="Q4" s="114" t="s">
        <v>155</v>
      </c>
      <c r="R4" s="114" t="s">
        <v>6</v>
      </c>
      <c r="S4" s="114" t="s">
        <v>7</v>
      </c>
      <c r="T4" s="114" t="s">
        <v>8</v>
      </c>
      <c r="U4" s="114" t="s">
        <v>9</v>
      </c>
      <c r="V4" s="114" t="s">
        <v>164</v>
      </c>
      <c r="W4" s="114" t="s">
        <v>6</v>
      </c>
      <c r="X4" s="114" t="s">
        <v>7</v>
      </c>
      <c r="Y4" s="114" t="s">
        <v>8</v>
      </c>
      <c r="Z4" s="114" t="s">
        <v>9</v>
      </c>
      <c r="AA4" s="114" t="s">
        <v>181</v>
      </c>
      <c r="AB4" s="114" t="s">
        <v>6</v>
      </c>
      <c r="AC4" s="114" t="s">
        <v>7</v>
      </c>
      <c r="AD4" s="114" t="s">
        <v>8</v>
      </c>
      <c r="AE4" s="114" t="s">
        <v>9</v>
      </c>
      <c r="AF4" s="114" t="s">
        <v>218</v>
      </c>
      <c r="AG4" s="114" t="s">
        <v>6</v>
      </c>
      <c r="AH4" s="114" t="s">
        <v>7</v>
      </c>
      <c r="AI4" s="224" t="s">
        <v>170</v>
      </c>
    </row>
    <row r="5" spans="1:37" x14ac:dyDescent="0.25">
      <c r="A5" s="289" t="s">
        <v>1</v>
      </c>
      <c r="B5" s="289"/>
      <c r="C5" s="189"/>
      <c r="D5" s="113"/>
      <c r="E5" s="113"/>
      <c r="F5" s="113"/>
      <c r="G5" s="113"/>
      <c r="H5" s="189"/>
      <c r="M5" s="150"/>
      <c r="N5" s="150"/>
      <c r="O5" s="150"/>
      <c r="P5" s="150"/>
      <c r="Q5" s="150"/>
      <c r="R5" s="150"/>
      <c r="S5" s="150"/>
      <c r="T5" s="150"/>
    </row>
    <row r="6" spans="1:37" ht="21" customHeight="1" x14ac:dyDescent="0.25">
      <c r="A6" s="289" t="s">
        <v>47</v>
      </c>
      <c r="B6" s="289"/>
      <c r="C6" s="248"/>
      <c r="D6" s="248"/>
      <c r="E6" s="248"/>
      <c r="F6" s="248"/>
      <c r="G6" s="248"/>
      <c r="H6" s="247"/>
      <c r="I6" s="247"/>
      <c r="J6" s="248"/>
      <c r="K6" s="248"/>
      <c r="L6" s="248"/>
      <c r="M6" s="150"/>
      <c r="N6" s="150"/>
      <c r="O6" s="150"/>
      <c r="P6" s="150"/>
      <c r="Q6" s="150"/>
      <c r="R6" s="150"/>
      <c r="S6" s="150"/>
      <c r="T6" s="150"/>
    </row>
    <row r="7" spans="1:37" ht="21" hidden="1" customHeight="1" x14ac:dyDescent="0.25">
      <c r="B7" s="119"/>
      <c r="C7" s="126"/>
      <c r="D7" s="113"/>
      <c r="E7" s="113"/>
      <c r="F7" s="113"/>
      <c r="G7" s="113"/>
      <c r="H7" s="126"/>
      <c r="M7" s="150"/>
      <c r="N7" s="150"/>
      <c r="O7" s="150"/>
      <c r="P7" s="150"/>
      <c r="Q7" s="150"/>
      <c r="R7" s="150"/>
      <c r="S7" s="150"/>
      <c r="T7" s="150"/>
    </row>
    <row r="8" spans="1:37" ht="21" hidden="1" customHeight="1" x14ac:dyDescent="0.25">
      <c r="B8" s="119"/>
      <c r="C8" s="127"/>
      <c r="D8" s="206"/>
      <c r="E8" s="113"/>
      <c r="F8" s="113"/>
      <c r="G8" s="113"/>
      <c r="H8" s="127"/>
      <c r="I8" s="206"/>
      <c r="M8" s="150"/>
      <c r="N8" s="150"/>
      <c r="O8" s="150"/>
      <c r="P8" s="150"/>
      <c r="Q8" s="150"/>
      <c r="R8" s="150"/>
      <c r="S8" s="150"/>
      <c r="T8" s="150"/>
    </row>
    <row r="9" spans="1:37" ht="21" hidden="1" customHeight="1" x14ac:dyDescent="0.25">
      <c r="B9" s="119"/>
      <c r="C9" s="187"/>
      <c r="D9" s="113"/>
      <c r="E9" s="113"/>
      <c r="F9" s="113"/>
      <c r="G9" s="113"/>
      <c r="H9" s="187"/>
      <c r="M9" s="150"/>
      <c r="N9" s="150"/>
      <c r="O9" s="150"/>
      <c r="P9" s="150"/>
      <c r="Q9" s="150"/>
      <c r="R9" s="150"/>
      <c r="S9" s="150"/>
      <c r="T9" s="150"/>
    </row>
    <row r="10" spans="1:37" ht="21" hidden="1" customHeight="1" x14ac:dyDescent="0.25">
      <c r="B10" s="119"/>
      <c r="C10" s="127"/>
      <c r="D10" s="113"/>
      <c r="E10" s="113"/>
      <c r="F10" s="113"/>
      <c r="G10" s="113"/>
      <c r="H10" s="127"/>
      <c r="M10" s="150"/>
      <c r="N10" s="150"/>
      <c r="O10" s="150"/>
      <c r="P10" s="150"/>
      <c r="Q10" s="150"/>
      <c r="R10" s="150"/>
      <c r="S10" s="150"/>
      <c r="T10" s="150"/>
    </row>
    <row r="11" spans="1:37" ht="21" hidden="1" customHeight="1" x14ac:dyDescent="0.25">
      <c r="B11" s="112"/>
      <c r="C11" s="189"/>
      <c r="D11" s="113"/>
      <c r="E11" s="113"/>
      <c r="F11" s="113"/>
      <c r="G11" s="113"/>
      <c r="H11" s="189"/>
      <c r="M11" s="150"/>
      <c r="N11" s="150"/>
      <c r="O11" s="150"/>
      <c r="P11" s="150"/>
      <c r="Q11" s="150"/>
      <c r="R11" s="150"/>
      <c r="S11" s="150"/>
      <c r="T11" s="150"/>
    </row>
    <row r="12" spans="1:37" ht="21" hidden="1" customHeight="1" x14ac:dyDescent="0.25">
      <c r="B12" s="115"/>
      <c r="C12" s="247"/>
      <c r="D12" s="247"/>
      <c r="E12" s="248"/>
      <c r="F12" s="248"/>
      <c r="G12" s="248"/>
      <c r="H12" s="247"/>
      <c r="I12" s="247"/>
      <c r="J12" s="248"/>
      <c r="K12" s="248"/>
      <c r="L12" s="248"/>
      <c r="M12" s="150"/>
      <c r="N12" s="150"/>
      <c r="O12" s="150"/>
      <c r="P12" s="150"/>
      <c r="Q12" s="150"/>
      <c r="R12" s="150"/>
      <c r="S12" s="150"/>
      <c r="T12" s="150"/>
    </row>
    <row r="13" spans="1:37" ht="21" hidden="1" customHeight="1" x14ac:dyDescent="0.25">
      <c r="B13" s="119"/>
      <c r="C13" s="126"/>
      <c r="D13" s="113"/>
      <c r="E13" s="113"/>
      <c r="F13" s="113"/>
      <c r="G13" s="113"/>
      <c r="H13" s="126"/>
      <c r="M13" s="150"/>
      <c r="N13" s="150"/>
      <c r="O13" s="150"/>
      <c r="P13" s="150"/>
      <c r="Q13" s="150"/>
      <c r="R13" s="150"/>
      <c r="S13" s="150"/>
      <c r="T13" s="150"/>
    </row>
    <row r="14" spans="1:37" ht="21" hidden="1" customHeight="1" x14ac:dyDescent="0.25">
      <c r="B14" s="119"/>
      <c r="C14" s="187"/>
      <c r="D14" s="113"/>
      <c r="E14" s="113"/>
      <c r="F14" s="113"/>
      <c r="G14" s="113"/>
      <c r="H14" s="187"/>
      <c r="M14" s="150"/>
      <c r="N14" s="150"/>
      <c r="O14" s="150"/>
      <c r="P14" s="150"/>
      <c r="Q14" s="150"/>
      <c r="R14" s="150"/>
      <c r="S14" s="150"/>
      <c r="T14" s="150"/>
    </row>
    <row r="15" spans="1:37" ht="21" hidden="1" customHeight="1" x14ac:dyDescent="0.25">
      <c r="B15" s="119"/>
      <c r="C15" s="127"/>
      <c r="D15" s="113"/>
      <c r="E15" s="113"/>
      <c r="F15" s="113"/>
      <c r="G15" s="113"/>
      <c r="H15" s="127"/>
      <c r="M15" s="150"/>
      <c r="N15" s="150"/>
      <c r="O15" s="150"/>
      <c r="P15" s="150"/>
      <c r="Q15" s="150"/>
      <c r="R15" s="150"/>
      <c r="S15" s="150"/>
      <c r="T15" s="150"/>
    </row>
    <row r="16" spans="1:37" x14ac:dyDescent="0.25">
      <c r="A16" s="115"/>
      <c r="B16" s="112"/>
      <c r="C16" s="189"/>
      <c r="D16" s="113"/>
      <c r="E16" s="113"/>
      <c r="F16" s="113"/>
      <c r="G16" s="113"/>
      <c r="H16" s="189"/>
      <c r="M16" s="150"/>
      <c r="N16" s="150"/>
      <c r="O16" s="150"/>
      <c r="P16" s="150"/>
      <c r="Q16" s="150"/>
      <c r="R16" s="150"/>
      <c r="S16" s="150"/>
      <c r="T16" s="150"/>
      <c r="AE16" s="196"/>
    </row>
    <row r="17" spans="1:36" ht="25" x14ac:dyDescent="0.25">
      <c r="A17" s="116"/>
      <c r="B17" s="117" t="s">
        <v>206</v>
      </c>
      <c r="C17" s="177">
        <f t="shared" ref="C17:H17" si="0">C23+C30+C36</f>
        <v>149870.96685598622</v>
      </c>
      <c r="D17" s="177">
        <f t="shared" si="0"/>
        <v>150494.46117321268</v>
      </c>
      <c r="E17" s="177">
        <f t="shared" si="0"/>
        <v>148416.88236976153</v>
      </c>
      <c r="F17" s="177">
        <f t="shared" si="0"/>
        <v>149040.3301324464</v>
      </c>
      <c r="G17" s="177">
        <f t="shared" si="0"/>
        <v>597821.64053140674</v>
      </c>
      <c r="H17" s="177">
        <f t="shared" si="0"/>
        <v>152612</v>
      </c>
      <c r="I17" s="177">
        <f t="shared" ref="I17:Q17" si="1">I23+I30+I36</f>
        <v>155638</v>
      </c>
      <c r="J17" s="177">
        <f t="shared" si="1"/>
        <v>162639</v>
      </c>
      <c r="K17" s="177">
        <f t="shared" si="1"/>
        <v>163128</v>
      </c>
      <c r="L17" s="177">
        <f t="shared" si="1"/>
        <v>634017</v>
      </c>
      <c r="M17" s="177">
        <f t="shared" si="1"/>
        <v>153559</v>
      </c>
      <c r="N17" s="177">
        <f t="shared" si="1"/>
        <v>140794</v>
      </c>
      <c r="O17" s="177">
        <f t="shared" si="1"/>
        <v>150519.13785266777</v>
      </c>
      <c r="P17" s="177">
        <f t="shared" si="1"/>
        <v>150882.86214733223</v>
      </c>
      <c r="Q17" s="177">
        <f t="shared" si="1"/>
        <v>595755</v>
      </c>
      <c r="R17" s="177">
        <f t="shared" ref="R17:S17" si="2">R23+R30+R36</f>
        <v>159093</v>
      </c>
      <c r="S17" s="177">
        <f t="shared" si="2"/>
        <v>163659</v>
      </c>
      <c r="T17" s="177">
        <f t="shared" ref="T17:W17" si="3">T23+T30+T36</f>
        <v>169862</v>
      </c>
      <c r="U17" s="177">
        <f t="shared" si="3"/>
        <v>169007</v>
      </c>
      <c r="V17" s="177">
        <f t="shared" si="3"/>
        <v>661621</v>
      </c>
      <c r="W17" s="177">
        <f t="shared" si="3"/>
        <v>180169</v>
      </c>
      <c r="X17" s="177">
        <f t="shared" ref="X17:AG17" si="4">X23+X30+X36</f>
        <v>185481</v>
      </c>
      <c r="Y17" s="177">
        <f t="shared" si="4"/>
        <v>195053</v>
      </c>
      <c r="Z17" s="177">
        <f t="shared" si="4"/>
        <v>203990</v>
      </c>
      <c r="AA17" s="177">
        <f t="shared" si="4"/>
        <v>764693</v>
      </c>
      <c r="AB17" s="177">
        <f t="shared" si="4"/>
        <v>218801</v>
      </c>
      <c r="AC17" s="177">
        <f t="shared" si="4"/>
        <v>222813</v>
      </c>
      <c r="AD17" s="177">
        <f t="shared" si="4"/>
        <v>227862</v>
      </c>
      <c r="AE17" s="177">
        <f t="shared" si="4"/>
        <v>232065</v>
      </c>
      <c r="AF17" s="177">
        <f t="shared" si="4"/>
        <v>901541</v>
      </c>
      <c r="AG17" s="177">
        <f t="shared" si="4"/>
        <v>245781</v>
      </c>
      <c r="AH17" s="177">
        <f t="shared" ref="AH17" si="5">AH23+AH30+AH36</f>
        <v>254580</v>
      </c>
      <c r="AI17" s="233">
        <f>SUM('[11]Revenues and Margins'!C17:AG17)-SUM(C17:AG17)</f>
        <v>0</v>
      </c>
    </row>
    <row r="18" spans="1:36" x14ac:dyDescent="0.25">
      <c r="B18" s="119" t="s">
        <v>99</v>
      </c>
      <c r="C18" s="126">
        <f>[54]Summary!X$19</f>
        <v>0.11822412187019271</v>
      </c>
      <c r="D18" s="126">
        <f>[54]Summary!Y$19</f>
        <v>9.4516632636036713E-2</v>
      </c>
      <c r="E18" s="126">
        <f>[54]Summary!Z$19</f>
        <v>7.0822240426617E-2</v>
      </c>
      <c r="F18" s="126">
        <f>[54]Summary!AA$19</f>
        <v>4.7790611168654351E-2</v>
      </c>
      <c r="G18" s="126">
        <f>[54]Summary!AB$19</f>
        <v>8.2287332816930681E-2</v>
      </c>
      <c r="H18" s="126">
        <f>[54]Summary!X$9</f>
        <v>1.8289287121552311E-2</v>
      </c>
      <c r="I18" s="126">
        <f>[54]Summary!Y$9</f>
        <v>3.4177595551954099E-2</v>
      </c>
      <c r="J18" s="126">
        <f>[54]Summary!Z$9</f>
        <v>9.5825470816762515E-2</v>
      </c>
      <c r="K18" s="126">
        <f>[54]Summary!AA$9</f>
        <v>9.4522535309969014E-2</v>
      </c>
      <c r="L18" s="126">
        <f>[54]Summary!AB$9</f>
        <v>6.0547189264690049E-2</v>
      </c>
      <c r="M18" s="120">
        <f t="shared" ref="M18:T18" si="6">M17/H17-1</f>
        <v>6.2052787461013281E-3</v>
      </c>
      <c r="N18" s="120">
        <f t="shared" si="6"/>
        <v>-9.5375165448026822E-2</v>
      </c>
      <c r="O18" s="120">
        <f t="shared" si="6"/>
        <v>-7.4520023778627653E-2</v>
      </c>
      <c r="P18" s="120">
        <f t="shared" si="6"/>
        <v>-7.5064598675075866E-2</v>
      </c>
      <c r="Q18" s="120">
        <f t="shared" si="6"/>
        <v>-6.0348539550201363E-2</v>
      </c>
      <c r="R18" s="120">
        <f t="shared" si="6"/>
        <v>3.6038265422410953E-2</v>
      </c>
      <c r="S18" s="120">
        <f t="shared" si="6"/>
        <v>0.16240038638010135</v>
      </c>
      <c r="T18" s="120">
        <f t="shared" si="6"/>
        <v>0.12850765971211953</v>
      </c>
      <c r="U18" s="120">
        <f t="shared" ref="U18" si="7">U17/P17-1</f>
        <v>0.12012058622648691</v>
      </c>
      <c r="V18" s="120">
        <f t="shared" ref="V18:Y18" si="8">V17/Q17-1</f>
        <v>0.11055887067670445</v>
      </c>
      <c r="W18" s="120">
        <f t="shared" si="8"/>
        <v>0.13247597317292392</v>
      </c>
      <c r="X18" s="120">
        <f t="shared" si="8"/>
        <v>0.13333822154601949</v>
      </c>
      <c r="Y18" s="120">
        <f t="shared" si="8"/>
        <v>0.14830273987118958</v>
      </c>
      <c r="Z18" s="120">
        <f t="shared" ref="Z18" si="9">Z17/U17-1</f>
        <v>0.20699142639062296</v>
      </c>
      <c r="AA18" s="120">
        <f t="shared" ref="AA18" si="10">AA17/V17-1</f>
        <v>0.15578707447314999</v>
      </c>
      <c r="AB18" s="120">
        <f>AB17/W17-1</f>
        <v>0.21442090481714393</v>
      </c>
      <c r="AC18" s="120">
        <f>AC17/X17-1</f>
        <v>0.20127128924256388</v>
      </c>
      <c r="AD18" s="126">
        <f>AD17/Y17-1</f>
        <v>0.16820556464140513</v>
      </c>
      <c r="AE18" s="120">
        <f t="shared" ref="AE18" si="11">AE17/Z17-1</f>
        <v>0.13762929555370351</v>
      </c>
      <c r="AF18" s="120">
        <f t="shared" ref="AF18" si="12">AF17/AA17-1</f>
        <v>0.17895809167862131</v>
      </c>
      <c r="AG18" s="120">
        <f>AG17/AB17-1</f>
        <v>0.12330839438576602</v>
      </c>
      <c r="AH18" s="120">
        <f>AH17/AC17-1</f>
        <v>0.14257247108561888</v>
      </c>
      <c r="AI18" s="232">
        <f>SUM('[11]Revenues and Margins'!C18:AG18)-SUM(C18:AG18)</f>
        <v>0</v>
      </c>
    </row>
    <row r="19" spans="1:36" x14ac:dyDescent="0.25">
      <c r="B19" s="119" t="s">
        <v>104</v>
      </c>
      <c r="C19" s="147">
        <v>0.104152477303735</v>
      </c>
      <c r="D19" s="147">
        <v>9.7943653485765836E-2</v>
      </c>
      <c r="E19" s="147">
        <v>8.7427961273436328E-2</v>
      </c>
      <c r="F19" s="147">
        <v>6.7816377226745272E-2</v>
      </c>
      <c r="G19" s="147">
        <v>8.905334615962901E-2</v>
      </c>
      <c r="H19" s="147">
        <v>3.9E-2</v>
      </c>
      <c r="I19" s="147">
        <v>4.3999999999999997E-2</v>
      </c>
      <c r="J19" s="147">
        <v>0.10100000000000001</v>
      </c>
      <c r="K19" s="147">
        <v>9.5000000000000001E-2</v>
      </c>
      <c r="L19" s="147">
        <v>7.0000000000000007E-2</v>
      </c>
      <c r="M19" s="126">
        <f>'[55]Slide 6b'!$N$6</f>
        <v>1.5189806188657951E-2</v>
      </c>
      <c r="N19" s="126">
        <f>'[56]Slide 7b'!$N$6</f>
        <v>-8.5113869530994424E-2</v>
      </c>
      <c r="O19" s="126">
        <f>'[57]7b'!$N$6</f>
        <v>-7.3818017746927533E-2</v>
      </c>
      <c r="P19" s="126">
        <f>'[58]Slide 6 Q Ops Seg. Rev&amp;GM wi HI'!$N$6</f>
        <v>-7.4335344491529121E-2</v>
      </c>
      <c r="Q19" s="126">
        <f>'[58]Slide 16 FY Op seg Rev&amp;GM wi HI'!$H$7</f>
        <v>-5.5299191968245509E-2</v>
      </c>
      <c r="R19" s="126">
        <f>'[59]Segment View'!$O$9</f>
        <v>2.7551097699270555E-2</v>
      </c>
      <c r="S19" s="126">
        <f>'[60]Segment View'!$O$9</f>
        <v>0.14889159851110234</v>
      </c>
      <c r="T19" s="126">
        <f>'[61]Segment View'!$O$9</f>
        <v>0.12610127163995721</v>
      </c>
      <c r="U19" s="126">
        <f>'[62]Segment View'!$P$9</f>
        <v>0.12222951818446059</v>
      </c>
      <c r="V19" s="126">
        <f>'[62]Segment View'!$V$9</f>
        <v>0.10510489414269042</v>
      </c>
      <c r="W19" s="126">
        <f>'[63]Op Segment Rev&amp;GM'!$P$8</f>
        <v>0.13961567030821898</v>
      </c>
      <c r="X19" s="126">
        <f>'[64]Op Segment Rev&amp;GM'!$P$8</f>
        <v>0.15033269885470735</v>
      </c>
      <c r="Y19" s="126">
        <f>'[65]Op Segment Rev&amp;GM'!$P$8</f>
        <v>0.17187436580971149</v>
      </c>
      <c r="Z19" s="126">
        <f>'[66]Op Segment Rev&amp;GM'!$P$8</f>
        <v>0.22975035140904332</v>
      </c>
      <c r="AA19" s="126">
        <f>'[66]Op Segment Rev&amp;GM'!$V$8</f>
        <v>0.17357299666141079</v>
      </c>
      <c r="AB19" s="126">
        <f>'[67]Op Segment Rev&amp;GM'!$P$8</f>
        <v>0.2324777889138252</v>
      </c>
      <c r="AC19" s="126">
        <f>'[68]Op Segment Rev&amp;GM'!$P$8</f>
        <v>0.20843819543719944</v>
      </c>
      <c r="AD19" s="126">
        <f>'[69]Op Segment Rev&amp;GM'!$P$8</f>
        <v>0.16420739184312994</v>
      </c>
      <c r="AE19" s="126">
        <f>'[70]Op Segment Rev&amp;GM'!$P$8</f>
        <v>0.13404308666251508</v>
      </c>
      <c r="AF19" s="126">
        <f>'[70]Op Segment Rev&amp;GM'!$V$8</f>
        <v>0.18297434587289607</v>
      </c>
      <c r="AG19" s="126">
        <f>'[71]Op Segment Rev&amp;GM'!$P$8</f>
        <v>0.12345030546140801</v>
      </c>
      <c r="AH19" s="126">
        <f>'[72]Op Segment Rev&amp;GM'!$P$8</f>
        <v>0.1432362749567746</v>
      </c>
      <c r="AI19" s="232">
        <f>SUM('[11]Revenues and Margins'!C19:AG19)-SUM(C19:AG19)</f>
        <v>0</v>
      </c>
      <c r="AJ19" s="196"/>
    </row>
    <row r="20" spans="1:36" x14ac:dyDescent="0.25">
      <c r="B20" s="119" t="s">
        <v>41</v>
      </c>
      <c r="C20" s="187">
        <f>ROUND(C26+C33+C39,0)</f>
        <v>49845</v>
      </c>
      <c r="D20" s="187">
        <f>ROUND(D26+D33+D39,0)-1</f>
        <v>49501</v>
      </c>
      <c r="E20" s="187">
        <f>ROUND(E26+E33+E39,0)</f>
        <v>49898</v>
      </c>
      <c r="F20" s="187">
        <f>ROUND(F26+F33+F39,0)</f>
        <v>48327</v>
      </c>
      <c r="G20" s="187">
        <f>ROUND(G26+G33+G39,0)</f>
        <v>197571</v>
      </c>
      <c r="H20" s="187">
        <f>ROUND(H26+H33+H39,0)</f>
        <v>52274</v>
      </c>
      <c r="I20" s="187">
        <f t="shared" ref="I20:Q20" si="13">ROUND(I26+I33+I39,0)</f>
        <v>50623</v>
      </c>
      <c r="J20" s="187">
        <f t="shared" si="13"/>
        <v>52930</v>
      </c>
      <c r="K20" s="187">
        <f t="shared" si="13"/>
        <v>53945</v>
      </c>
      <c r="L20" s="187">
        <f t="shared" si="13"/>
        <v>209772</v>
      </c>
      <c r="M20" s="122">
        <f t="shared" si="13"/>
        <v>49519</v>
      </c>
      <c r="N20" s="122">
        <f t="shared" si="13"/>
        <v>39625</v>
      </c>
      <c r="O20" s="122">
        <f t="shared" si="13"/>
        <v>54903</v>
      </c>
      <c r="P20" s="122">
        <f t="shared" si="13"/>
        <v>57222</v>
      </c>
      <c r="Q20" s="122">
        <f t="shared" si="13"/>
        <v>201269</v>
      </c>
      <c r="R20" s="122">
        <f t="shared" ref="R20:S20" si="14">ROUND(R26+R33+R39,0)</f>
        <v>64765</v>
      </c>
      <c r="S20" s="122">
        <f t="shared" si="14"/>
        <v>64269</v>
      </c>
      <c r="T20" s="122">
        <f t="shared" ref="T20:AC20" si="15">ROUND(T26+T33+T39,0)</f>
        <v>67655</v>
      </c>
      <c r="U20" s="122">
        <f t="shared" si="15"/>
        <v>63906</v>
      </c>
      <c r="V20" s="122">
        <f t="shared" si="15"/>
        <v>260595</v>
      </c>
      <c r="W20" s="122">
        <f t="shared" si="15"/>
        <v>68223</v>
      </c>
      <c r="X20" s="122">
        <f t="shared" si="15"/>
        <v>65928</v>
      </c>
      <c r="Y20" s="122">
        <f t="shared" ref="Y20" si="16">ROUND(Y26+Y33+Y39,0)</f>
        <v>70530</v>
      </c>
      <c r="Z20" s="122">
        <f t="shared" si="15"/>
        <v>73310</v>
      </c>
      <c r="AA20" s="122">
        <f t="shared" si="15"/>
        <v>277991</v>
      </c>
      <c r="AB20" s="122">
        <f t="shared" si="15"/>
        <v>81698</v>
      </c>
      <c r="AC20" s="187">
        <f t="shared" si="15"/>
        <v>83106</v>
      </c>
      <c r="AD20" s="187">
        <f t="shared" ref="AD20:AG20" si="17">ROUND(AD26+AD33+AD39,0)</f>
        <v>87295</v>
      </c>
      <c r="AE20" s="122">
        <f t="shared" si="17"/>
        <v>87441</v>
      </c>
      <c r="AF20" s="122">
        <f t="shared" si="17"/>
        <v>339540</v>
      </c>
      <c r="AG20" s="122">
        <f t="shared" si="17"/>
        <v>95193</v>
      </c>
      <c r="AH20" s="122">
        <f t="shared" ref="AH20" si="18">ROUND(AH26+AH33+AH39,0)</f>
        <v>95185</v>
      </c>
      <c r="AI20" s="233">
        <f>SUM('[11]Revenues and Margins'!C20:AG20)-SUM(C20:AG20)</f>
        <v>0</v>
      </c>
      <c r="AJ20" s="196"/>
    </row>
    <row r="21" spans="1:36" x14ac:dyDescent="0.25">
      <c r="B21" s="119" t="s">
        <v>43</v>
      </c>
      <c r="C21" s="127">
        <f t="shared" ref="C21:L21" si="19">C20/C17</f>
        <v>0.33258609753213231</v>
      </c>
      <c r="D21" s="127">
        <f t="shared" si="19"/>
        <v>0.32892240428055669</v>
      </c>
      <c r="E21" s="127">
        <f t="shared" si="19"/>
        <v>0.33620164501020555</v>
      </c>
      <c r="F21" s="127">
        <f t="shared" si="19"/>
        <v>0.32425451525136623</v>
      </c>
      <c r="G21" s="127">
        <f t="shared" si="19"/>
        <v>0.33048485803287103</v>
      </c>
      <c r="H21" s="127">
        <f t="shared" si="19"/>
        <v>0.34252876575891805</v>
      </c>
      <c r="I21" s="127">
        <f t="shared" si="19"/>
        <v>0.32526118300158058</v>
      </c>
      <c r="J21" s="127">
        <f t="shared" si="19"/>
        <v>0.3254446965365011</v>
      </c>
      <c r="K21" s="127">
        <f t="shared" si="19"/>
        <v>0.33069123632975334</v>
      </c>
      <c r="L21" s="127">
        <f t="shared" si="19"/>
        <v>0.3308617907721717</v>
      </c>
      <c r="M21" s="121">
        <f t="shared" ref="M21:S21" si="20">M20/M17</f>
        <v>0.32247540033472477</v>
      </c>
      <c r="N21" s="121">
        <f t="shared" si="20"/>
        <v>0.28143954998082304</v>
      </c>
      <c r="O21" s="121">
        <f t="shared" si="20"/>
        <v>0.36475760347325764</v>
      </c>
      <c r="P21" s="121">
        <f t="shared" si="20"/>
        <v>0.37924784290030611</v>
      </c>
      <c r="Q21" s="121">
        <f t="shared" si="20"/>
        <v>0.33783854101098604</v>
      </c>
      <c r="R21" s="121">
        <f t="shared" si="20"/>
        <v>0.4070889354025633</v>
      </c>
      <c r="S21" s="121">
        <f t="shared" si="20"/>
        <v>0.39270067640643047</v>
      </c>
      <c r="T21" s="121">
        <f t="shared" ref="T21:AC21" si="21">T20/T17</f>
        <v>0.39829390917332896</v>
      </c>
      <c r="U21" s="121">
        <f t="shared" si="21"/>
        <v>0.37812634979616228</v>
      </c>
      <c r="V21" s="121">
        <f t="shared" si="21"/>
        <v>0.39387353182562224</v>
      </c>
      <c r="W21" s="121">
        <f t="shared" si="21"/>
        <v>0.3786611459241046</v>
      </c>
      <c r="X21" s="121">
        <f t="shared" si="21"/>
        <v>0.35544341468937518</v>
      </c>
      <c r="Y21" s="121">
        <f t="shared" ref="Y21" si="22">Y20/Y17</f>
        <v>0.3615940282897469</v>
      </c>
      <c r="Z21" s="121">
        <f t="shared" si="21"/>
        <v>0.35938036178244032</v>
      </c>
      <c r="AA21" s="121">
        <f t="shared" si="21"/>
        <v>0.36353281643744612</v>
      </c>
      <c r="AB21" s="121">
        <f t="shared" si="21"/>
        <v>0.37338951832944089</v>
      </c>
      <c r="AC21" s="121">
        <f t="shared" si="21"/>
        <v>0.37298541826554105</v>
      </c>
      <c r="AD21" s="121">
        <f t="shared" ref="AD21:AG21" si="23">AD20/AD17</f>
        <v>0.38310468616969923</v>
      </c>
      <c r="AE21" s="121">
        <f t="shared" si="23"/>
        <v>0.37679529442182147</v>
      </c>
      <c r="AF21" s="121">
        <f t="shared" si="23"/>
        <v>0.37662180644030607</v>
      </c>
      <c r="AG21" s="121">
        <f t="shared" si="23"/>
        <v>0.38730821340949872</v>
      </c>
      <c r="AH21" s="121">
        <f t="shared" ref="AH21" si="24">AH20/AH17</f>
        <v>0.37389032916961268</v>
      </c>
      <c r="AI21" s="232">
        <f>SUM('[11]Revenues and Margins'!C21:AG21)-SUM(C21:AG21)</f>
        <v>0</v>
      </c>
      <c r="AJ21" s="196"/>
    </row>
    <row r="22" spans="1:36" x14ac:dyDescent="0.25">
      <c r="B22" s="119"/>
      <c r="C22" s="127"/>
      <c r="D22" s="113"/>
      <c r="E22" s="113"/>
      <c r="F22" s="113"/>
      <c r="G22" s="113"/>
      <c r="H22" s="127"/>
      <c r="AI22" s="153"/>
      <c r="AJ22" s="196"/>
    </row>
    <row r="23" spans="1:36" x14ac:dyDescent="0.25">
      <c r="A23" s="123"/>
      <c r="B23" s="123" t="s">
        <v>103</v>
      </c>
      <c r="C23" s="124">
        <f>[54]Summary!$B$13</f>
        <v>76148.167060416323</v>
      </c>
      <c r="D23" s="124">
        <f>[54]Summary!$F$13</f>
        <v>78614.312935322407</v>
      </c>
      <c r="E23" s="124">
        <f>[54]Summary!$J$13</f>
        <v>77757.039113754727</v>
      </c>
      <c r="F23" s="124">
        <f>[54]Summary!$N$13</f>
        <v>78632.585690686348</v>
      </c>
      <c r="G23" s="124">
        <f>[54]Summary!$R$13</f>
        <v>311152.10480017978</v>
      </c>
      <c r="H23" s="124">
        <f>ROUND([54]Summary!$B$4,0)</f>
        <v>81286</v>
      </c>
      <c r="I23" s="124">
        <f>[54]Summary!$F$4</f>
        <v>85581</v>
      </c>
      <c r="J23" s="124">
        <f>ROUND([54]Summary!$J$4,0)</f>
        <v>91096</v>
      </c>
      <c r="K23" s="124">
        <f>[54]Summary!$N$4</f>
        <v>88471</v>
      </c>
      <c r="L23" s="124">
        <f>[54]Summary!$R$4</f>
        <v>346434</v>
      </c>
      <c r="M23" s="124">
        <v>83739</v>
      </c>
      <c r="N23" s="124">
        <v>81281</v>
      </c>
      <c r="O23" s="124">
        <f>[73]Summary!$J$4</f>
        <v>87830.240012667782</v>
      </c>
      <c r="P23" s="124">
        <f>Q23-SUM(M23:O23)</f>
        <v>88919.759987332218</v>
      </c>
      <c r="Q23" s="124">
        <f>'[2]Segment Information '!$B$6</f>
        <v>341770</v>
      </c>
      <c r="R23" s="124">
        <v>91160</v>
      </c>
      <c r="S23" s="124">
        <v>94719</v>
      </c>
      <c r="T23" s="124">
        <v>98008</v>
      </c>
      <c r="U23" s="124">
        <f>V23-SUM(R23:T23)</f>
        <v>98112</v>
      </c>
      <c r="V23" s="124">
        <f>'[3]Segment Information '!$B$6</f>
        <v>381999</v>
      </c>
      <c r="W23" s="124">
        <v>103266</v>
      </c>
      <c r="X23" s="124">
        <v>108557</v>
      </c>
      <c r="Y23" s="124">
        <v>116198</v>
      </c>
      <c r="Z23" s="124">
        <f>AA23-SUM(W23:Y23)</f>
        <v>120683</v>
      </c>
      <c r="AA23" s="124">
        <f>'[4]Segment Information '!$B$6</f>
        <v>448704</v>
      </c>
      <c r="AB23" s="124">
        <f>'[5]Segment Information '!$B$6</f>
        <v>125937</v>
      </c>
      <c r="AC23" s="124">
        <f>'[6]Segment Information '!$B$6</f>
        <v>128457</v>
      </c>
      <c r="AD23" s="124">
        <f>'[7]Segment Information '!$B$6</f>
        <v>136369</v>
      </c>
      <c r="AE23" s="124">
        <f>AF23-SUM(AB23:AD23)</f>
        <v>139092</v>
      </c>
      <c r="AF23" s="124">
        <f>'[8]Segment Information '!$B$6</f>
        <v>529855</v>
      </c>
      <c r="AG23" s="124">
        <f>'[9]Segment Information '!$B$6</f>
        <v>145139</v>
      </c>
      <c r="AH23" s="124">
        <f>'[10]Segment Information '!$B$6</f>
        <v>149297</v>
      </c>
      <c r="AI23" s="233">
        <f>SUM('[11]Revenues and Margins'!C23:AG23)-SUM(C23:AG23)</f>
        <v>0</v>
      </c>
      <c r="AJ23" s="196"/>
    </row>
    <row r="24" spans="1:36" x14ac:dyDescent="0.25">
      <c r="B24" s="119" t="s">
        <v>99</v>
      </c>
      <c r="C24" s="126">
        <f>[54]Summary!X$14</f>
        <v>0.2121233488330192</v>
      </c>
      <c r="D24" s="126">
        <f>[54]Summary!Y$14</f>
        <v>0.18933606925635882</v>
      </c>
      <c r="E24" s="126">
        <f>[54]Summary!Z$14</f>
        <v>0.14559720208257043</v>
      </c>
      <c r="F24" s="126">
        <f>[54]Summary!AA$14</f>
        <v>9.3570729091322358E-2</v>
      </c>
      <c r="G24" s="126">
        <f>[54]Summary!AB$14</f>
        <v>0.15798827964705398</v>
      </c>
      <c r="H24" s="126">
        <f>[54]Summary!X$4</f>
        <v>6.7471524764441071E-2</v>
      </c>
      <c r="I24" s="126">
        <f>[54]Summary!Y$4</f>
        <v>8.8618558180483253E-2</v>
      </c>
      <c r="J24" s="126">
        <f>[54]Summary!Z$4</f>
        <v>0.17154666687772191</v>
      </c>
      <c r="K24" s="126">
        <f>[54]Summary!AA$4</f>
        <v>0.12511879423645822</v>
      </c>
      <c r="L24" s="126">
        <f>[54]Summary!AB$4</f>
        <v>0.11339115068007688</v>
      </c>
      <c r="M24" s="120">
        <f t="shared" ref="M24:T24" si="25">M23/H23-1</f>
        <v>3.0177398321974191E-2</v>
      </c>
      <c r="N24" s="120">
        <f t="shared" si="25"/>
        <v>-5.0244797326509438E-2</v>
      </c>
      <c r="O24" s="120">
        <f t="shared" si="25"/>
        <v>-3.5849652974139556E-2</v>
      </c>
      <c r="P24" s="120">
        <f t="shared" si="25"/>
        <v>5.0723964613512695E-3</v>
      </c>
      <c r="Q24" s="120">
        <f t="shared" si="25"/>
        <v>-1.3462881818759098E-2</v>
      </c>
      <c r="R24" s="120">
        <f t="shared" si="25"/>
        <v>8.8620594943813469E-2</v>
      </c>
      <c r="S24" s="120">
        <f t="shared" si="25"/>
        <v>0.16532769035814021</v>
      </c>
      <c r="T24" s="120">
        <f t="shared" si="25"/>
        <v>0.11587990634961587</v>
      </c>
      <c r="U24" s="120">
        <f t="shared" ref="U24" si="26">U23/P23-1</f>
        <v>0.10337679739550953</v>
      </c>
      <c r="V24" s="120">
        <f t="shared" ref="V24:Y24" si="27">V23/Q23-1</f>
        <v>0.11770781519735496</v>
      </c>
      <c r="W24" s="120">
        <f t="shared" si="27"/>
        <v>0.13279947345326892</v>
      </c>
      <c r="X24" s="120">
        <f t="shared" si="27"/>
        <v>0.14609529239117802</v>
      </c>
      <c r="Y24" s="120">
        <f t="shared" si="27"/>
        <v>0.18559709411476621</v>
      </c>
      <c r="Z24" s="120">
        <f t="shared" ref="Z24" si="28">Z23/U23-1</f>
        <v>0.23005340834964128</v>
      </c>
      <c r="AA24" s="120">
        <f t="shared" ref="AA24" si="29">AA23/V23-1</f>
        <v>0.17462087597087961</v>
      </c>
      <c r="AB24" s="120">
        <f>AB23/W23-1</f>
        <v>0.21953982917901338</v>
      </c>
      <c r="AC24" s="126">
        <f>AC23/X23-1</f>
        <v>0.18331383512808941</v>
      </c>
      <c r="AD24" s="126">
        <f>AD23/Y23-1</f>
        <v>0.17359162808309958</v>
      </c>
      <c r="AE24" s="120">
        <f t="shared" ref="AE24" si="30">AE23/Z23-1</f>
        <v>0.15254012578407905</v>
      </c>
      <c r="AF24" s="120">
        <f t="shared" ref="AF24" si="31">AF23/AA23-1</f>
        <v>0.18085642205106267</v>
      </c>
      <c r="AG24" s="120">
        <f>AG23/AB23-1</f>
        <v>0.1524730619277892</v>
      </c>
      <c r="AH24" s="120">
        <f>AH23/AC23-1</f>
        <v>0.16223327650497832</v>
      </c>
      <c r="AI24" s="232">
        <f>SUM('[11]Revenues and Margins'!C24:AG24)-SUM(C24:AG24)</f>
        <v>0</v>
      </c>
      <c r="AJ24" s="196"/>
    </row>
    <row r="25" spans="1:36" x14ac:dyDescent="0.25">
      <c r="B25" s="119" t="s">
        <v>104</v>
      </c>
      <c r="C25" s="127">
        <v>0.19238882504405108</v>
      </c>
      <c r="D25" s="127">
        <v>0.18952045791185457</v>
      </c>
      <c r="E25" s="127">
        <v>0.15739406888615903</v>
      </c>
      <c r="F25" s="127">
        <v>0.10894136492313544</v>
      </c>
      <c r="G25" s="127">
        <v>0.1605128318680098</v>
      </c>
      <c r="H25" s="127">
        <v>8.76506851370491E-2</v>
      </c>
      <c r="I25" s="127">
        <v>0.10010589674361836</v>
      </c>
      <c r="J25" s="127">
        <v>0.18068313647309786</v>
      </c>
      <c r="K25" s="127">
        <v>0.12654231897760515</v>
      </c>
      <c r="L25" s="127">
        <v>0.12386732726735761</v>
      </c>
      <c r="M25" s="126">
        <f>'[55]Slide 6b'!$N$7</f>
        <v>4.1131479135403604E-2</v>
      </c>
      <c r="N25" s="126">
        <f>'[56]Slide 7b'!$N$7</f>
        <v>-4.1522462219852341E-2</v>
      </c>
      <c r="O25" s="126">
        <f>'[57]7b'!$N$7</f>
        <v>-3.891677633948698E-2</v>
      </c>
      <c r="P25" s="126">
        <f>'[58]Slide 6 Q Ops Seg. Rev&amp;GM wi HI'!$N$7</f>
        <v>4.1265779604706676E-3</v>
      </c>
      <c r="Q25" s="126">
        <f>'[58]Slide 16 FY Op seg Rev&amp;GM wi HI'!$H$8</f>
        <v>-9.7858675320537936E-3</v>
      </c>
      <c r="R25" s="126">
        <f>'[59]Segment View'!$O$10</f>
        <v>7.5681343266865264E-2</v>
      </c>
      <c r="S25" s="126">
        <f>'[60]Segment View'!$O$10</f>
        <v>0.14878169746846748</v>
      </c>
      <c r="T25" s="126">
        <f>'[61]Segment View'!$O$10</f>
        <v>0.11282360503880762</v>
      </c>
      <c r="U25" s="126">
        <f>'[62]Segment View'!$P$10</f>
        <v>0.10481465490671593</v>
      </c>
      <c r="V25" s="126">
        <f>'[62]Segment View'!$V$10</f>
        <v>0.11019217286842697</v>
      </c>
      <c r="W25" s="126">
        <f>'[63]Op Segment Rev&amp;GM'!$P$9</f>
        <v>0.13914165971010073</v>
      </c>
      <c r="X25" s="126">
        <f>'[64]Op Segment Rev&amp;GM'!$P$9</f>
        <v>0.15940735033532616</v>
      </c>
      <c r="Y25" s="126">
        <f>'[65]Op Segment Rev&amp;GM'!$P$9</f>
        <v>0.20256649564599694</v>
      </c>
      <c r="Z25" s="126">
        <f>'[66]Op Segment Rev&amp;GM'!$P$9</f>
        <v>0.24575108489288588</v>
      </c>
      <c r="AA25" s="126">
        <f>'[66]Op Segment Rev&amp;GM'!$V$9</f>
        <v>0.18782068621210746</v>
      </c>
      <c r="AB25" s="126">
        <f>'[67]Op Segment Rev&amp;GM'!$P$9</f>
        <v>0.23277185001861889</v>
      </c>
      <c r="AC25" s="126">
        <f>'[68]Op Segment Rev&amp;GM'!$P$9</f>
        <v>0.19209484764736695</v>
      </c>
      <c r="AD25" s="126">
        <f>'[69]Op Segment Rev&amp;GM'!$P$9</f>
        <v>0.17591072034844712</v>
      </c>
      <c r="AE25" s="126">
        <f>'[70]Op Segment Rev&amp;GM'!$P$9</f>
        <v>0.15347102861842088</v>
      </c>
      <c r="AF25" s="126">
        <f>'[70]Op Segment Rev&amp;GM'!$V$9</f>
        <v>0.1868770373276698</v>
      </c>
      <c r="AG25" s="126">
        <f>'[71]Op Segment Rev&amp;GM'!$P$9</f>
        <v>0.15568992839069518</v>
      </c>
      <c r="AH25" s="126">
        <f>'[72]Op Segment Rev&amp;GM'!$P$9</f>
        <v>0.16232883162159317</v>
      </c>
      <c r="AI25" s="232">
        <f>SUM('[11]Revenues and Margins'!C25:AG25)-SUM(C25:AG25)</f>
        <v>0</v>
      </c>
      <c r="AJ25" s="196"/>
    </row>
    <row r="26" spans="1:36" x14ac:dyDescent="0.25">
      <c r="B26" s="119" t="s">
        <v>41</v>
      </c>
      <c r="C26" s="187">
        <f>[54]Summary!$D$13</f>
        <v>24247.168207756244</v>
      </c>
      <c r="D26" s="187">
        <f>[54]Summary!$H$13</f>
        <v>25806.112536955741</v>
      </c>
      <c r="E26" s="187">
        <f>[54]Summary!$L$13</f>
        <v>24717.498250572389</v>
      </c>
      <c r="F26" s="187">
        <f>[54]Summary!$P$13</f>
        <v>24563.072901162224</v>
      </c>
      <c r="G26" s="187">
        <f>[54]Summary!$T$13</f>
        <v>99333.851896446577</v>
      </c>
      <c r="H26" s="187">
        <f>[74]Summary!$D$4</f>
        <v>26043</v>
      </c>
      <c r="I26" s="187">
        <f>[74]Summary!$H$4</f>
        <v>26167</v>
      </c>
      <c r="J26" s="187">
        <f>[74]Summary!$L$4</f>
        <v>28863</v>
      </c>
      <c r="K26" s="187">
        <f>[74]Summary!$P$4</f>
        <v>26781</v>
      </c>
      <c r="L26" s="187">
        <f>[74]Summary!$T$4</f>
        <v>107854</v>
      </c>
      <c r="M26" s="122">
        <v>24774</v>
      </c>
      <c r="N26" s="122">
        <v>22168</v>
      </c>
      <c r="O26" s="122">
        <v>30999</v>
      </c>
      <c r="P26" s="122">
        <f>Q26-SUM(M26:O26)</f>
        <v>31945</v>
      </c>
      <c r="Q26" s="122">
        <f>'[2]Segment Information '!$B$8</f>
        <v>109886</v>
      </c>
      <c r="R26" s="122">
        <v>35067</v>
      </c>
      <c r="S26" s="122">
        <v>35360</v>
      </c>
      <c r="T26" s="122">
        <v>36518</v>
      </c>
      <c r="U26" s="122">
        <f>V26-SUM(R26:T26)</f>
        <v>35525</v>
      </c>
      <c r="V26" s="122">
        <f>'[3]Segment Information '!$B$8</f>
        <v>142470</v>
      </c>
      <c r="W26" s="122">
        <v>38184</v>
      </c>
      <c r="X26" s="122">
        <v>37912</v>
      </c>
      <c r="Y26" s="122">
        <v>41157</v>
      </c>
      <c r="Z26" s="122">
        <f>AA26-SUM(W26:Y26)</f>
        <v>43717</v>
      </c>
      <c r="AA26" s="122">
        <f>'[4]Segment Information '!$B$8</f>
        <v>160970</v>
      </c>
      <c r="AB26" s="122">
        <f>'[5]Segment Information '!$B$8</f>
        <v>43613</v>
      </c>
      <c r="AC26" s="122">
        <f>'[6]Segment Information '!$B$8</f>
        <v>44135</v>
      </c>
      <c r="AD26" s="187">
        <f>'[7]Segment Information '!$B$8</f>
        <v>49934</v>
      </c>
      <c r="AE26" s="122">
        <f>AF26-SUM(AB26:AD26)</f>
        <v>50388</v>
      </c>
      <c r="AF26" s="187">
        <f>'[8]Segment Information '!$B$8</f>
        <v>188070</v>
      </c>
      <c r="AG26" s="122">
        <f>'[9]Segment Information '!$B$8</f>
        <v>52847</v>
      </c>
      <c r="AH26" s="122">
        <f>'[10]Segment Information '!$B$8</f>
        <v>53773</v>
      </c>
      <c r="AI26" s="233">
        <f>SUM('[11]Revenues and Margins'!C26:AG26)-SUM(C26:AG26)</f>
        <v>0</v>
      </c>
      <c r="AJ26" s="196"/>
    </row>
    <row r="27" spans="1:36" x14ac:dyDescent="0.25">
      <c r="B27" s="119" t="s">
        <v>43</v>
      </c>
      <c r="C27" s="127">
        <f t="shared" ref="C27:Q27" si="32">C26/C23</f>
        <v>0.31842090418957064</v>
      </c>
      <c r="D27" s="127">
        <f t="shared" si="32"/>
        <v>0.32826226641689221</v>
      </c>
      <c r="E27" s="127">
        <f t="shared" si="32"/>
        <v>0.31788116590205939</v>
      </c>
      <c r="F27" s="127">
        <f t="shared" si="32"/>
        <v>0.31237778441859887</v>
      </c>
      <c r="G27" s="127">
        <f t="shared" si="32"/>
        <v>0.31924531559970726</v>
      </c>
      <c r="H27" s="127">
        <f t="shared" si="32"/>
        <v>0.32038727456142507</v>
      </c>
      <c r="I27" s="127">
        <f t="shared" si="32"/>
        <v>0.30575711898669095</v>
      </c>
      <c r="J27" s="127">
        <f t="shared" si="32"/>
        <v>0.31684157372442256</v>
      </c>
      <c r="K27" s="127">
        <f t="shared" si="32"/>
        <v>0.30270936238993568</v>
      </c>
      <c r="L27" s="127">
        <f t="shared" si="32"/>
        <v>0.31132625550609927</v>
      </c>
      <c r="M27" s="121">
        <f t="shared" si="32"/>
        <v>0.29584781284706052</v>
      </c>
      <c r="N27" s="121">
        <f t="shared" si="32"/>
        <v>0.2727328649992003</v>
      </c>
      <c r="O27" s="121">
        <f t="shared" si="32"/>
        <v>0.35294222121593888</v>
      </c>
      <c r="P27" s="121">
        <f t="shared" si="32"/>
        <v>0.35925648027559887</v>
      </c>
      <c r="Q27" s="121">
        <f t="shared" si="32"/>
        <v>0.32152032068350062</v>
      </c>
      <c r="R27" s="121">
        <f t="shared" ref="R27:S27" si="33">R26/R23</f>
        <v>0.38467529618253621</v>
      </c>
      <c r="S27" s="121">
        <f t="shared" si="33"/>
        <v>0.37331475205608167</v>
      </c>
      <c r="T27" s="121">
        <f t="shared" ref="T27:AC27" si="34">T26/T23</f>
        <v>0.37260223655211822</v>
      </c>
      <c r="U27" s="121">
        <f t="shared" si="34"/>
        <v>0.36208618721461189</v>
      </c>
      <c r="V27" s="121">
        <f t="shared" si="34"/>
        <v>0.37295909151594636</v>
      </c>
      <c r="W27" s="121">
        <f t="shared" si="34"/>
        <v>0.36976352332810414</v>
      </c>
      <c r="X27" s="121">
        <f t="shared" si="34"/>
        <v>0.34923588529528266</v>
      </c>
      <c r="Y27" s="121">
        <f t="shared" si="34"/>
        <v>0.35419714625036575</v>
      </c>
      <c r="Z27" s="121">
        <f t="shared" si="34"/>
        <v>0.36224654673814871</v>
      </c>
      <c r="AA27" s="121">
        <f t="shared" si="34"/>
        <v>0.35874429467978891</v>
      </c>
      <c r="AB27" s="121">
        <f t="shared" si="34"/>
        <v>0.34630807467225677</v>
      </c>
      <c r="AC27" s="121">
        <f t="shared" si="34"/>
        <v>0.34357800664813909</v>
      </c>
      <c r="AD27" s="121">
        <f t="shared" ref="AD27:AG27" si="35">AD26/AD23</f>
        <v>0.36616826404828079</v>
      </c>
      <c r="AE27" s="121">
        <f t="shared" si="35"/>
        <v>0.36226382538176172</v>
      </c>
      <c r="AF27" s="121">
        <f t="shared" si="35"/>
        <v>0.35494616451670741</v>
      </c>
      <c r="AG27" s="121">
        <f t="shared" si="35"/>
        <v>0.36411302268859508</v>
      </c>
      <c r="AH27" s="121">
        <f t="shared" ref="AH27" si="36">AH26/AH23</f>
        <v>0.3601746853587145</v>
      </c>
      <c r="AI27" s="232">
        <f>SUM('[11]Revenues and Margins'!C27:AG27)-SUM(C27:AG27)</f>
        <v>0</v>
      </c>
      <c r="AJ27" s="196"/>
    </row>
    <row r="28" spans="1:36" x14ac:dyDescent="0.25">
      <c r="B28" s="119"/>
      <c r="C28" s="127"/>
      <c r="D28" s="113"/>
      <c r="E28" s="113"/>
      <c r="F28" s="113"/>
      <c r="G28" s="113"/>
      <c r="H28" s="127"/>
      <c r="AI28" s="153"/>
      <c r="AJ28" s="196"/>
    </row>
    <row r="29" spans="1:36" hidden="1" x14ac:dyDescent="0.25">
      <c r="B29" s="119"/>
      <c r="C29" s="127"/>
      <c r="D29" s="113"/>
      <c r="E29" s="113"/>
      <c r="F29" s="113"/>
      <c r="G29" s="113"/>
      <c r="H29" s="127"/>
      <c r="AI29" s="153"/>
      <c r="AJ29" s="196"/>
    </row>
    <row r="30" spans="1:36" x14ac:dyDescent="0.25">
      <c r="A30" s="123"/>
      <c r="B30" s="123" t="s">
        <v>102</v>
      </c>
      <c r="C30" s="124">
        <f>[54]Summary!$B$14</f>
        <v>24140.716187444454</v>
      </c>
      <c r="D30" s="124">
        <f>[54]Summary!$F$14</f>
        <v>21172.537169999996</v>
      </c>
      <c r="E30" s="124">
        <f>[54]Summary!$J$14</f>
        <v>21666.227190000001</v>
      </c>
      <c r="F30" s="124">
        <f>[54]Summary!$N$14</f>
        <v>22865.514659999993</v>
      </c>
      <c r="G30" s="124">
        <f>[54]Summary!$R$14</f>
        <v>89844.995207444445</v>
      </c>
      <c r="H30" s="124">
        <f>[54]Summary!$B$5</f>
        <v>22248</v>
      </c>
      <c r="I30" s="124">
        <f>[54]Summary!$F$5</f>
        <v>21730</v>
      </c>
      <c r="J30" s="124">
        <f>ROUND([54]Summary!$J$5,0)</f>
        <v>25631</v>
      </c>
      <c r="K30" s="124">
        <f>[54]Summary!$N$5</f>
        <v>27856</v>
      </c>
      <c r="L30" s="124">
        <f>[54]Summary!$R$5</f>
        <v>97465</v>
      </c>
      <c r="M30" s="124">
        <v>27029</v>
      </c>
      <c r="N30" s="124">
        <v>24978</v>
      </c>
      <c r="O30" s="124">
        <f>[73]Summary!$J$5</f>
        <v>25111.897839999998</v>
      </c>
      <c r="P30" s="124">
        <f>Q30-SUM(M30:O30)</f>
        <v>24196.102160000009</v>
      </c>
      <c r="Q30" s="124">
        <f>'[2]Segment Information '!$C$6</f>
        <v>101315</v>
      </c>
      <c r="R30" s="124">
        <v>30265</v>
      </c>
      <c r="S30" s="124">
        <v>28250</v>
      </c>
      <c r="T30" s="124">
        <v>27341</v>
      </c>
      <c r="U30" s="124">
        <f>V30-SUM(R30:T30)</f>
        <v>26530</v>
      </c>
      <c r="V30" s="124">
        <f>'[3]Segment Information '!$C$6</f>
        <v>112386</v>
      </c>
      <c r="W30" s="124">
        <v>26156</v>
      </c>
      <c r="X30" s="124">
        <v>23051</v>
      </c>
      <c r="Y30" s="124">
        <v>22820</v>
      </c>
      <c r="Z30" s="124">
        <f>AA30-SUM(W30:Y30)</f>
        <v>25324</v>
      </c>
      <c r="AA30" s="124">
        <f>'[4]Segment Information '!$C$6</f>
        <v>97351</v>
      </c>
      <c r="AB30" s="124">
        <f>'[5]Segment Information '!$C$6</f>
        <v>26703</v>
      </c>
      <c r="AC30" s="124">
        <f>'[6]Segment Information '!$C$6</f>
        <v>27156</v>
      </c>
      <c r="AD30" s="124">
        <f>'[7]Segment Information '!$C$6</f>
        <v>26177</v>
      </c>
      <c r="AE30" s="124">
        <f>AF30-SUM(AB30:AD30)</f>
        <v>25958</v>
      </c>
      <c r="AF30" s="124">
        <f>'[8]Segment Information '!$C$6</f>
        <v>105994</v>
      </c>
      <c r="AG30" s="124">
        <f>'[9]Segment Information '!$C$6</f>
        <v>26250</v>
      </c>
      <c r="AH30" s="124">
        <f>'[10]Segment Information '!$C$6</f>
        <v>28098</v>
      </c>
      <c r="AI30" s="233">
        <f>SUM('[11]Revenues and Margins'!C30:AG30)-SUM(C30:AG30)</f>
        <v>0</v>
      </c>
      <c r="AJ30" s="196"/>
    </row>
    <row r="31" spans="1:36" x14ac:dyDescent="0.25">
      <c r="B31" s="119" t="s">
        <v>99</v>
      </c>
      <c r="C31" s="126">
        <v>0.13532522794008672</v>
      </c>
      <c r="D31" s="126">
        <v>3.8818963441629162E-3</v>
      </c>
      <c r="E31" s="126">
        <v>3.9368385784354087E-2</v>
      </c>
      <c r="F31" s="126">
        <v>3.6832266521939383E-2</v>
      </c>
      <c r="G31" s="126">
        <v>5.3866943787367783E-2</v>
      </c>
      <c r="H31" s="126">
        <f>[54]Summary!X$5</f>
        <v>-7.8403481187059865E-2</v>
      </c>
      <c r="I31" s="126">
        <f>[54]Summary!Y$5</f>
        <v>2.6329524209780963E-2</v>
      </c>
      <c r="J31" s="126">
        <f>[54]Summary!Z$5</f>
        <v>0.18299322605783108</v>
      </c>
      <c r="K31" s="126">
        <f>[54]Summary!AA$5</f>
        <v>0.21825379459882255</v>
      </c>
      <c r="L31" s="126">
        <f>[54]Summary!AB$5</f>
        <v>8.4812790906845903E-2</v>
      </c>
      <c r="M31" s="126">
        <f>M30/H30-1</f>
        <v>0.21489572096368215</v>
      </c>
      <c r="N31" s="126">
        <f>N30/I30-1</f>
        <v>0.1494707777266453</v>
      </c>
      <c r="O31" s="126">
        <f>O30/J30-1</f>
        <v>-2.0252903125121957E-2</v>
      </c>
      <c r="P31" s="126">
        <f t="shared" ref="P31:Q31" si="37">P30/K30-1</f>
        <v>-0.13138633831131497</v>
      </c>
      <c r="Q31" s="126">
        <f t="shared" si="37"/>
        <v>3.9501359462371211E-2</v>
      </c>
      <c r="R31" s="126">
        <f>R30/M30-1</f>
        <v>0.1197232602020053</v>
      </c>
      <c r="S31" s="126">
        <f>S30/N30-1</f>
        <v>0.13099527584274151</v>
      </c>
      <c r="T31" s="126">
        <f>T30/O30-1</f>
        <v>8.8766773989074288E-2</v>
      </c>
      <c r="U31" s="126">
        <f t="shared" ref="U31:Y31" si="38">U30/P30-1</f>
        <v>9.6457595713837385E-2</v>
      </c>
      <c r="V31" s="126">
        <f t="shared" si="38"/>
        <v>0.10927305927059172</v>
      </c>
      <c r="W31" s="126">
        <f t="shared" si="38"/>
        <v>-0.13576738807203037</v>
      </c>
      <c r="X31" s="126">
        <f t="shared" si="38"/>
        <v>-0.18403539823008852</v>
      </c>
      <c r="Y31" s="126">
        <f t="shared" si="38"/>
        <v>-0.16535605866647163</v>
      </c>
      <c r="Z31" s="126">
        <f t="shared" ref="Z31" si="39">Z30/U30-1</f>
        <v>-4.5457972107048605E-2</v>
      </c>
      <c r="AA31" s="126">
        <f t="shared" ref="AA31" si="40">AA30/V30-1</f>
        <v>-0.13378000818607305</v>
      </c>
      <c r="AB31" s="126">
        <f>AB30/W30-1</f>
        <v>2.0912983636641735E-2</v>
      </c>
      <c r="AC31" s="126">
        <f>AC30/X30-1</f>
        <v>0.17808338033057125</v>
      </c>
      <c r="AD31" s="126">
        <f>AD30/Y30-1</f>
        <v>0.1471078001752848</v>
      </c>
      <c r="AE31" s="126">
        <f t="shared" ref="AE31" si="41">AE30/Z30-1</f>
        <v>2.5035539409256069E-2</v>
      </c>
      <c r="AF31" s="126">
        <f t="shared" ref="AF31" si="42">AF30/AA30-1</f>
        <v>8.8781830695113584E-2</v>
      </c>
      <c r="AG31" s="126">
        <f>AG30/AB30-1</f>
        <v>-1.6964386024042266E-2</v>
      </c>
      <c r="AH31" s="126">
        <f>AH30/AC30-1</f>
        <v>3.4688466637207149E-2</v>
      </c>
      <c r="AI31" s="232">
        <f>SUM('[11]Revenues and Margins'!C31:AG31)-SUM(C31:AG31)</f>
        <v>0</v>
      </c>
      <c r="AJ31" s="196"/>
    </row>
    <row r="32" spans="1:36" x14ac:dyDescent="0.25">
      <c r="B32" s="119" t="s">
        <v>104</v>
      </c>
      <c r="C32" s="127">
        <v>0.13502306072919135</v>
      </c>
      <c r="D32" s="127">
        <v>4.5258241443262293E-3</v>
      </c>
      <c r="E32" s="127">
        <v>4.0815849427945139E-2</v>
      </c>
      <c r="F32" s="127">
        <v>3.8181547156444173E-2</v>
      </c>
      <c r="G32" s="127">
        <v>5.465384128904871E-2</v>
      </c>
      <c r="H32" s="127">
        <v>-7.6661845867398548E-2</v>
      </c>
      <c r="I32" s="127">
        <v>2.6975149432786338E-2</v>
      </c>
      <c r="J32" s="127">
        <v>0.18286178794395647</v>
      </c>
      <c r="K32" s="127">
        <v>0.21831034469248523</v>
      </c>
      <c r="L32" s="127">
        <v>8.5416247648292698E-2</v>
      </c>
      <c r="M32" s="126">
        <f>'[55]Slide 6b'!$N$8</f>
        <v>0.21561497984223843</v>
      </c>
      <c r="N32" s="126">
        <f>'[56]Slide 7b'!$N$8</f>
        <v>0.15089951509570332</v>
      </c>
      <c r="O32" s="126">
        <f>'[57]7b'!$N$8</f>
        <v>-1.9461249231818911E-2</v>
      </c>
      <c r="P32" s="126">
        <f>'[58]Slide 6 Q Ops Seg. Rev&amp;GM wi HI'!$N$8</f>
        <v>-0.1308056428564105</v>
      </c>
      <c r="Q32" s="126">
        <f>'[58]Slide 16 FY Op seg Rev&amp;GM wi HI'!$H$9</f>
        <v>4.0358540083005323E-2</v>
      </c>
      <c r="R32" s="126">
        <f>'[59]Segment View'!$O$11</f>
        <v>0.11964786617880518</v>
      </c>
      <c r="S32" s="126">
        <f>'[60]Segment View'!$O$11</f>
        <v>0.13081910310668454</v>
      </c>
      <c r="T32" s="126">
        <f>'[61]Segment View'!$O$11</f>
        <v>8.8771489417104776E-2</v>
      </c>
      <c r="U32" s="126">
        <f>'[62]Segment View'!$P$12</f>
        <v>9.6635385618634384E-2</v>
      </c>
      <c r="V32" s="126">
        <f>'[62]Segment View'!$V$12</f>
        <v>0.10925327271755325</v>
      </c>
      <c r="W32" s="126">
        <f>'[63]Op Segment Rev&amp;GM'!$P$11</f>
        <v>-0.13528861994991015</v>
      </c>
      <c r="X32" s="126">
        <f>'[64]Op Segment Rev&amp;GM'!$P$11</f>
        <v>-0.18351476682907242</v>
      </c>
      <c r="Y32" s="126">
        <f>'[65]Op Segment Rev&amp;GM'!$P$11</f>
        <v>-0.16443188457151503</v>
      </c>
      <c r="Z32" s="126">
        <f>'[66]Op Segment Rev&amp;GM'!$P$11</f>
        <v>-4.441811054714051E-2</v>
      </c>
      <c r="AA32" s="126">
        <f>'[66]Op Segment Rev&amp;GM'!$V$11</f>
        <v>-0.1330496353975803</v>
      </c>
      <c r="AB32" s="126">
        <f>'[67]Op Segment Rev&amp;GM'!$P$11</f>
        <v>2.1960152872428251E-2</v>
      </c>
      <c r="AC32" s="126">
        <f>'[68]Op Segment Rev&amp;GM'!$P$11</f>
        <v>0.17893810898925566</v>
      </c>
      <c r="AD32" s="126">
        <f>'[69]Op Segment Rev&amp;GM'!$P$11</f>
        <v>0.1475514413969059</v>
      </c>
      <c r="AE32" s="126">
        <f>'[70]Op Segment Rev&amp;GM'!$P$11</f>
        <v>2.5272453156314212E-2</v>
      </c>
      <c r="AF32" s="126">
        <f>'[70]Op Segment Rev&amp;GM'!$V$11</f>
        <v>8.9431347937867667E-2</v>
      </c>
      <c r="AG32" s="126">
        <f>'[71]Op Segment Rev&amp;GM'!$P$11</f>
        <v>-1.6967091702651205E-2</v>
      </c>
      <c r="AH32" s="126">
        <f>'[72]Op Segment Rev&amp;GM'!$P$11</f>
        <v>3.4689135398779491E-2</v>
      </c>
      <c r="AI32" s="232">
        <f>SUM('[11]Revenues and Margins'!C32:AG32)-SUM(C32:AG32)</f>
        <v>0</v>
      </c>
      <c r="AJ32" s="196"/>
    </row>
    <row r="33" spans="1:36" x14ac:dyDescent="0.25">
      <c r="B33" s="119" t="s">
        <v>41</v>
      </c>
      <c r="C33" s="187">
        <f>[54]Summary!$D$14</f>
        <v>5511.3214201459086</v>
      </c>
      <c r="D33" s="187">
        <f>[54]Summary!$H$14</f>
        <v>3496.5549440261566</v>
      </c>
      <c r="E33" s="187">
        <f>[54]Summary!$L$14</f>
        <v>5257.7920387148552</v>
      </c>
      <c r="F33" s="187">
        <f>[54]Summary!$P$14</f>
        <v>5132.9121908205634</v>
      </c>
      <c r="G33" s="187">
        <f>[54]Summary!$T$14</f>
        <v>19398.580593707491</v>
      </c>
      <c r="H33" s="187">
        <f>[74]Summary!$D$5</f>
        <v>4446</v>
      </c>
      <c r="I33" s="187">
        <f>[74]Summary!$H$5</f>
        <v>3981</v>
      </c>
      <c r="J33" s="187">
        <f>[74]Summary!$L$5</f>
        <v>5222</v>
      </c>
      <c r="K33" s="187">
        <f>[74]Summary!$P$5</f>
        <v>6768</v>
      </c>
      <c r="L33" s="187">
        <f>[74]Summary!$T$5</f>
        <v>20417</v>
      </c>
      <c r="M33" s="122">
        <v>7436</v>
      </c>
      <c r="N33" s="122">
        <v>5338</v>
      </c>
      <c r="O33" s="122">
        <f>[73]Summary!$L$5</f>
        <v>7119.2778883515457</v>
      </c>
      <c r="P33" s="122">
        <f>Q33-SUM(M33:O33)</f>
        <v>8278.7221116484543</v>
      </c>
      <c r="Q33" s="122">
        <f>'[2]Segment Information '!$C$8</f>
        <v>28172</v>
      </c>
      <c r="R33" s="122">
        <v>12874</v>
      </c>
      <c r="S33" s="122">
        <v>10565</v>
      </c>
      <c r="T33" s="122">
        <v>10284</v>
      </c>
      <c r="U33" s="122">
        <f>V33-SUM(R33:T33)</f>
        <v>8903</v>
      </c>
      <c r="V33" s="122">
        <f>'[3]Segment Information '!$C$8</f>
        <v>42626</v>
      </c>
      <c r="W33" s="122">
        <v>8505</v>
      </c>
      <c r="X33" s="122">
        <v>5357</v>
      </c>
      <c r="Y33" s="122">
        <v>5701</v>
      </c>
      <c r="Z33" s="122">
        <f>AA33-SUM(W33:Y33)</f>
        <v>6837</v>
      </c>
      <c r="AA33" s="122">
        <f>'[4]Segment Information '!$C$8</f>
        <v>26400</v>
      </c>
      <c r="AB33" s="122">
        <f>'[5]Segment Information '!$C$8</f>
        <v>7894</v>
      </c>
      <c r="AC33" s="187">
        <f>'[6]Segment Information '!$C$8</f>
        <v>9616</v>
      </c>
      <c r="AD33" s="187">
        <f>'[7]Segment Information '!$C$8</f>
        <v>9644</v>
      </c>
      <c r="AE33" s="122">
        <f>AF33-SUM(AB33:AD33)</f>
        <v>9567</v>
      </c>
      <c r="AF33" s="187">
        <f>'[8]Segment Information '!$C$8</f>
        <v>36721</v>
      </c>
      <c r="AG33" s="122">
        <f>'[9]Segment Information '!$C$8</f>
        <v>8933</v>
      </c>
      <c r="AH33" s="122">
        <f>'[10]Segment Information '!$C$8</f>
        <v>9296</v>
      </c>
      <c r="AI33" s="233">
        <f>SUM('[11]Revenues and Margins'!C33:AG33)-SUM(C33:AG33)</f>
        <v>0</v>
      </c>
      <c r="AJ33" s="196"/>
    </row>
    <row r="34" spans="1:36" x14ac:dyDescent="0.25">
      <c r="B34" s="119" t="s">
        <v>43</v>
      </c>
      <c r="C34" s="127">
        <f t="shared" ref="C34:Q34" si="43">C33/C30</f>
        <v>0.22829983076526691</v>
      </c>
      <c r="D34" s="127">
        <f t="shared" si="43"/>
        <v>0.16514576953868951</v>
      </c>
      <c r="E34" s="127">
        <f t="shared" si="43"/>
        <v>0.24267224711562044</v>
      </c>
      <c r="F34" s="127">
        <f t="shared" si="43"/>
        <v>0.2244826878880567</v>
      </c>
      <c r="G34" s="127">
        <f t="shared" si="43"/>
        <v>0.21591164370277743</v>
      </c>
      <c r="H34" s="127">
        <f t="shared" si="43"/>
        <v>0.19983818770226539</v>
      </c>
      <c r="I34" s="127">
        <f t="shared" si="43"/>
        <v>0.18320294523699954</v>
      </c>
      <c r="J34" s="127">
        <f t="shared" si="43"/>
        <v>0.20373766142561742</v>
      </c>
      <c r="K34" s="127">
        <f t="shared" si="43"/>
        <v>0.24296381390005745</v>
      </c>
      <c r="L34" s="127">
        <f t="shared" si="43"/>
        <v>0.20948032627096907</v>
      </c>
      <c r="M34" s="121">
        <f t="shared" si="43"/>
        <v>0.27511191683007141</v>
      </c>
      <c r="N34" s="121">
        <f t="shared" si="43"/>
        <v>0.21370806309552406</v>
      </c>
      <c r="O34" s="121">
        <f t="shared" si="43"/>
        <v>0.2835021842519389</v>
      </c>
      <c r="P34" s="121">
        <f t="shared" si="43"/>
        <v>0.3421510645352826</v>
      </c>
      <c r="Q34" s="121">
        <f t="shared" si="43"/>
        <v>0.27806346542960075</v>
      </c>
      <c r="R34" s="121">
        <f t="shared" ref="R34:S34" si="44">R33/R30</f>
        <v>0.42537584668759293</v>
      </c>
      <c r="S34" s="121">
        <f t="shared" si="44"/>
        <v>0.37398230088495577</v>
      </c>
      <c r="T34" s="121">
        <f t="shared" ref="T34:AC34" si="45">T33/T30</f>
        <v>0.37613840020482059</v>
      </c>
      <c r="U34" s="121">
        <f t="shared" si="45"/>
        <v>0.33558235959291366</v>
      </c>
      <c r="V34" s="121">
        <f t="shared" si="45"/>
        <v>0.37928211698966063</v>
      </c>
      <c r="W34" s="121">
        <f t="shared" si="45"/>
        <v>0.32516439822602844</v>
      </c>
      <c r="X34" s="121">
        <f t="shared" si="45"/>
        <v>0.23239772677974926</v>
      </c>
      <c r="Y34" s="121">
        <f t="shared" si="45"/>
        <v>0.24982471516213847</v>
      </c>
      <c r="Z34" s="121">
        <f t="shared" ref="Z34" si="46">Z33/Z30</f>
        <v>0.26998104564839676</v>
      </c>
      <c r="AA34" s="121">
        <f t="shared" si="45"/>
        <v>0.27118365502152009</v>
      </c>
      <c r="AB34" s="121">
        <f t="shared" si="45"/>
        <v>0.29562221473242706</v>
      </c>
      <c r="AC34" s="121">
        <f t="shared" si="45"/>
        <v>0.35410222418618353</v>
      </c>
      <c r="AD34" s="121">
        <f t="shared" ref="AD34:AG34" si="47">AD33/AD30</f>
        <v>0.36841502081980365</v>
      </c>
      <c r="AE34" s="121">
        <f t="shared" si="47"/>
        <v>0.36855689960705756</v>
      </c>
      <c r="AF34" s="121">
        <f t="shared" si="47"/>
        <v>0.34644413834745363</v>
      </c>
      <c r="AG34" s="121">
        <f t="shared" si="47"/>
        <v>0.34030476190476189</v>
      </c>
      <c r="AH34" s="121">
        <f t="shared" ref="AH34" si="48">AH33/AH30</f>
        <v>0.330842052815147</v>
      </c>
      <c r="AI34" s="232">
        <f>SUM('[11]Revenues and Margins'!C34:AG34)-SUM(C34:AG34)</f>
        <v>0</v>
      </c>
      <c r="AJ34" s="196"/>
    </row>
    <row r="35" spans="1:36" x14ac:dyDescent="0.25">
      <c r="B35" s="119"/>
      <c r="C35" s="127"/>
      <c r="D35" s="127"/>
      <c r="E35" s="127"/>
      <c r="F35" s="127"/>
      <c r="G35" s="127"/>
      <c r="H35" s="127"/>
      <c r="I35" s="127"/>
      <c r="J35" s="127"/>
      <c r="K35" s="127"/>
      <c r="L35" s="127"/>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53"/>
      <c r="AJ35" s="196"/>
    </row>
    <row r="36" spans="1:36" x14ac:dyDescent="0.25">
      <c r="A36" s="123"/>
      <c r="B36" s="123" t="s">
        <v>211</v>
      </c>
      <c r="C36" s="124">
        <f>[54]Summary!$B$15</f>
        <v>49582.083608125431</v>
      </c>
      <c r="D36" s="124">
        <f>[54]Summary!$F$15</f>
        <v>50707.611067890277</v>
      </c>
      <c r="E36" s="124">
        <f>[54]Summary!$J$15</f>
        <v>48993.616066006805</v>
      </c>
      <c r="F36" s="124">
        <f>[54]Summary!$N$15</f>
        <v>47542.229781760056</v>
      </c>
      <c r="G36" s="124">
        <f>[54]Summary!$R$15+1</f>
        <v>196824.54052378255</v>
      </c>
      <c r="H36" s="124">
        <f>[54]Summary!$B$6</f>
        <v>49078</v>
      </c>
      <c r="I36" s="124">
        <f>[54]Summary!$F$6</f>
        <v>48327</v>
      </c>
      <c r="J36" s="124">
        <f>ROUND([54]Summary!$J$6,0)</f>
        <v>45912</v>
      </c>
      <c r="K36" s="124">
        <f>[54]Summary!$N$6</f>
        <v>46801</v>
      </c>
      <c r="L36" s="124">
        <f>[54]Summary!$R$6</f>
        <v>190118</v>
      </c>
      <c r="M36" s="124">
        <v>42791</v>
      </c>
      <c r="N36" s="124">
        <v>34535</v>
      </c>
      <c r="O36" s="124">
        <v>37577</v>
      </c>
      <c r="P36" s="124">
        <f>Q36-SUM(M36:O36)</f>
        <v>37767</v>
      </c>
      <c r="Q36" s="124">
        <f>'[2]Segment Information '!$D$6</f>
        <v>152670</v>
      </c>
      <c r="R36" s="124">
        <v>37668</v>
      </c>
      <c r="S36" s="124">
        <v>40690</v>
      </c>
      <c r="T36" s="124">
        <v>44513</v>
      </c>
      <c r="U36" s="124">
        <f>V36-SUM(R36:T36)</f>
        <v>44365</v>
      </c>
      <c r="V36" s="124">
        <f>'[3]Segment Information '!$D$6</f>
        <v>167236</v>
      </c>
      <c r="W36" s="124">
        <v>50747</v>
      </c>
      <c r="X36" s="124">
        <v>53873</v>
      </c>
      <c r="Y36" s="124">
        <v>56035</v>
      </c>
      <c r="Z36" s="124">
        <f>AA36-SUM(W36:Y36)</f>
        <v>57983</v>
      </c>
      <c r="AA36" s="124">
        <f>'[4]Segment Information '!$D$6</f>
        <v>218638</v>
      </c>
      <c r="AB36" s="124">
        <f>'[5]Segment Information '!$D$6</f>
        <v>66161</v>
      </c>
      <c r="AC36" s="124">
        <f>'[6]Segment Information '!$D$6</f>
        <v>67200</v>
      </c>
      <c r="AD36" s="124">
        <f>'[7]Segment Information '!$D$6</f>
        <v>65316</v>
      </c>
      <c r="AE36" s="124">
        <f>AF36-SUM(AB36:AD36)</f>
        <v>67015</v>
      </c>
      <c r="AF36" s="124">
        <f>'[8]Segment Information '!$D$6</f>
        <v>265692</v>
      </c>
      <c r="AG36" s="124">
        <f>'[9]Segment Information '!$D$6</f>
        <v>74392</v>
      </c>
      <c r="AH36" s="124">
        <f>'[10]Segment Information '!$D$6</f>
        <v>77185</v>
      </c>
      <c r="AI36" s="233">
        <f>SUM('[11]Revenues and Margins'!C36:AG36)-SUM(C36:AG36)</f>
        <v>0</v>
      </c>
      <c r="AJ36" s="196"/>
    </row>
    <row r="37" spans="1:36" x14ac:dyDescent="0.25">
      <c r="B37" s="119" t="s">
        <v>99</v>
      </c>
      <c r="C37" s="126">
        <v>-7.1766246416520296E-3</v>
      </c>
      <c r="D37" s="126">
        <v>7.3355111803201645E-3</v>
      </c>
      <c r="E37" s="126">
        <v>-1.7200992854702113E-2</v>
      </c>
      <c r="F37" s="126">
        <v>-1.5358179166956365E-2</v>
      </c>
      <c r="G37" s="126">
        <v>-8.0080471518180207E-3</v>
      </c>
      <c r="H37" s="126">
        <f>[54]Summary!X$6</f>
        <v>-1.0166648342362583E-2</v>
      </c>
      <c r="I37" s="126">
        <f>[54]Summary!Y$6</f>
        <v>-4.694780562040235E-2</v>
      </c>
      <c r="J37" s="126">
        <f>[54]Summary!Z$6</f>
        <v>-6.2898318463676772E-2</v>
      </c>
      <c r="K37" s="126">
        <f>[54]Summary!AA$6</f>
        <v>-1.5590976383788258E-2</v>
      </c>
      <c r="L37" s="126">
        <f>[54]Summary!AB$6</f>
        <v>-3.4068793325929936E-2</v>
      </c>
      <c r="M37" s="120">
        <f>M36/H36-1</f>
        <v>-0.12810220465381639</v>
      </c>
      <c r="N37" s="120">
        <f>N36/I36-1</f>
        <v>-0.28538911995364913</v>
      </c>
      <c r="O37" s="120">
        <f>O36/J36-1</f>
        <v>-0.18154295173375157</v>
      </c>
      <c r="P37" s="120">
        <f t="shared" ref="P37:Q37" si="49">P36/K36-1</f>
        <v>-0.19303006346018248</v>
      </c>
      <c r="Q37" s="120">
        <f t="shared" si="49"/>
        <v>-0.19697240661063131</v>
      </c>
      <c r="R37" s="120">
        <f>R36/M36-1</f>
        <v>-0.11972143675071856</v>
      </c>
      <c r="S37" s="120">
        <f>S36/N36-1</f>
        <v>0.17822498914145068</v>
      </c>
      <c r="T37" s="120">
        <f>T36/O36-1</f>
        <v>0.18458099369295056</v>
      </c>
      <c r="U37" s="120">
        <f t="shared" ref="U37:AA37" si="50">U36/P36-1</f>
        <v>0.17470278285275498</v>
      </c>
      <c r="V37" s="120">
        <f t="shared" si="50"/>
        <v>9.5408397196567796E-2</v>
      </c>
      <c r="W37" s="120">
        <f t="shared" si="50"/>
        <v>0.34721779760008498</v>
      </c>
      <c r="X37" s="120">
        <f t="shared" si="50"/>
        <v>0.32398623740476773</v>
      </c>
      <c r="Y37" s="120">
        <f t="shared" si="50"/>
        <v>0.25884573046076431</v>
      </c>
      <c r="Z37" s="120">
        <f t="shared" si="50"/>
        <v>0.30695367970246812</v>
      </c>
      <c r="AA37" s="120">
        <f t="shared" si="50"/>
        <v>0.30736205123298821</v>
      </c>
      <c r="AB37" s="120">
        <f>AB36/W36-1</f>
        <v>0.30374209312865785</v>
      </c>
      <c r="AC37" s="120">
        <f>AC36/X36-1</f>
        <v>0.24737809292224311</v>
      </c>
      <c r="AD37" s="126">
        <f>AD36/Y36-1</f>
        <v>0.16562862496653885</v>
      </c>
      <c r="AE37" s="120">
        <f t="shared" ref="AE37" si="51">AE36/Z36-1</f>
        <v>0.15576979459496743</v>
      </c>
      <c r="AF37" s="120">
        <f t="shared" ref="AF37" si="52">AF36/AA36-1</f>
        <v>0.21521418966510852</v>
      </c>
      <c r="AG37" s="120">
        <f>AG36/AB36-1</f>
        <v>0.12440863953084147</v>
      </c>
      <c r="AH37" s="120">
        <f>AH36/AC36-1</f>
        <v>0.14858630952380958</v>
      </c>
      <c r="AI37" s="232">
        <f>SUM('[11]Revenues and Margins'!C37:AG37)-SUM(C37:AG37)</f>
        <v>0</v>
      </c>
      <c r="AJ37" s="196"/>
    </row>
    <row r="38" spans="1:36" x14ac:dyDescent="0.25">
      <c r="B38" s="119" t="s">
        <v>104</v>
      </c>
      <c r="C38" s="127">
        <v>-1.9987302814858054E-2</v>
      </c>
      <c r="D38" s="127">
        <v>1.6785846230720658E-2</v>
      </c>
      <c r="E38" s="127">
        <v>1.1701728919066845E-2</v>
      </c>
      <c r="F38" s="127">
        <v>2.0109333595353496E-2</v>
      </c>
      <c r="G38" s="127">
        <v>7.0608280109063504E-3</v>
      </c>
      <c r="H38" s="127">
        <v>1.6162810467584166E-2</v>
      </c>
      <c r="I38" s="127">
        <v>-3.5680958427906306E-2</v>
      </c>
      <c r="J38" s="127">
        <v>-6.2191215513976217E-2</v>
      </c>
      <c r="K38" s="127">
        <v>-1.671263092743791E-2</v>
      </c>
      <c r="L38" s="127">
        <v>-2.4642124558533207E-2</v>
      </c>
      <c r="M38" s="126">
        <f>'[55]Slide 6b'!$N$9</f>
        <v>-0.11863677605004952</v>
      </c>
      <c r="N38" s="126">
        <f>'[56]Slide 7b'!$N$9</f>
        <v>-0.26842847954829785</v>
      </c>
      <c r="O38" s="126">
        <f>'[57]7b'!$N$9</f>
        <v>-0.17341488098325408</v>
      </c>
      <c r="P38" s="126">
        <f>'[58]Slide 6 Q Ops Seg. Rev&amp;GM wi HI'!$N$9</f>
        <v>-0.18904768662088101</v>
      </c>
      <c r="Q38" s="126">
        <f>'[58]Slide 16 FY Op seg Rev&amp;GM wi HI'!$H$10</f>
        <v>-0.1872749158062964</v>
      </c>
      <c r="R38" s="126">
        <f>'[59]Segment View'!$O$12</f>
        <v>-0.1247819651204235</v>
      </c>
      <c r="S38" s="126">
        <f>'[60]Segment View'!$O$12</f>
        <v>0.16222161892348419</v>
      </c>
      <c r="T38" s="126">
        <f>'[61]Segment View'!$O$12</f>
        <v>0.18208213385117511</v>
      </c>
      <c r="U38" s="126">
        <f>'[62]Segment View'!$P$11</f>
        <v>0.179630377826143</v>
      </c>
      <c r="V38" s="126">
        <f>'[62]Segment View'!$V$11</f>
        <v>9.096420394757998E-2</v>
      </c>
      <c r="W38" s="126">
        <f>'[63]Op Segment Rev&amp;GM'!$P$10</f>
        <v>0.36164443510882993</v>
      </c>
      <c r="X38" s="126">
        <f>'[64]Op Segment Rev&amp;GM'!$P$10</f>
        <v>0.36098382483424607</v>
      </c>
      <c r="Y38" s="126">
        <f>'[65]Op Segment Rev&amp;GM'!$P$10</f>
        <v>0.31086442959089888</v>
      </c>
      <c r="Z38" s="126">
        <f>'[66]Op Segment Rev&amp;GM'!$P$10</f>
        <v>0.3583152470456985</v>
      </c>
      <c r="AA38" s="126">
        <f>'[66]Op Segment Rev&amp;GM'!$V$10</f>
        <v>0.34708458121964569</v>
      </c>
      <c r="AB38" s="126">
        <f>'[67]Op Segment Rev&amp;GM'!$P$10</f>
        <v>0.34038310088315971</v>
      </c>
      <c r="AC38" s="126">
        <f>'[68]Op Segment Rev&amp;GM'!$P$10</f>
        <v>0.25399313670169343</v>
      </c>
      <c r="AD38" s="126">
        <f>'[69]Op Segment Rev&amp;GM'!$P$10</f>
        <v>0.14672165384513214</v>
      </c>
      <c r="AE38" s="126">
        <f>'[70]Op Segment Rev&amp;GM'!$P$10</f>
        <v>0.14111137679013397</v>
      </c>
      <c r="AF38" s="126">
        <f>'[70]Op Segment Rev&amp;GM'!$V$10</f>
        <v>0.21661558209284659</v>
      </c>
      <c r="AG38" s="126">
        <f>'[71]Op Segment Rev&amp;GM'!$P$10</f>
        <v>0.11875525609073234</v>
      </c>
      <c r="AH38" s="126">
        <f>'[72]Op Segment Rev&amp;GM'!$P$10</f>
        <v>0.15060409538538755</v>
      </c>
      <c r="AI38" s="232">
        <f>SUM('[11]Revenues and Margins'!C38:AG38)-SUM(C38:AG38)</f>
        <v>0</v>
      </c>
      <c r="AJ38" s="196"/>
    </row>
    <row r="39" spans="1:36" x14ac:dyDescent="0.25">
      <c r="B39" s="119" t="s">
        <v>41</v>
      </c>
      <c r="C39" s="187">
        <f>[54]Summary!$D$15</f>
        <v>20086.983382073111</v>
      </c>
      <c r="D39" s="187">
        <f>[54]Summary!$H$15</f>
        <v>20199.203012760525</v>
      </c>
      <c r="E39" s="187">
        <f>[54]Summary!$L$15</f>
        <v>19922.494664906415</v>
      </c>
      <c r="F39" s="187">
        <f>[54]Summary!$P$15</f>
        <v>18631.327774917048</v>
      </c>
      <c r="G39" s="187">
        <f>[54]Summary!$T$15</f>
        <v>78839.00883465707</v>
      </c>
      <c r="H39" s="187">
        <f>[74]Summary!$D$6</f>
        <v>21785</v>
      </c>
      <c r="I39" s="187">
        <f>[74]Summary!$H$6</f>
        <v>20475</v>
      </c>
      <c r="J39" s="187">
        <f>[74]Summary!$L$6</f>
        <v>18845</v>
      </c>
      <c r="K39" s="187">
        <f>[74]Summary!$P$6</f>
        <v>20396</v>
      </c>
      <c r="L39" s="187">
        <f>[74]Summary!$T$6</f>
        <v>81501</v>
      </c>
      <c r="M39" s="122">
        <v>17309</v>
      </c>
      <c r="N39" s="122">
        <v>12119</v>
      </c>
      <c r="O39" s="122">
        <v>16785</v>
      </c>
      <c r="P39" s="122">
        <f>Q39-SUM(M39:O39)</f>
        <v>16998</v>
      </c>
      <c r="Q39" s="122">
        <f>'[2]Segment Information '!$D$8</f>
        <v>63211</v>
      </c>
      <c r="R39" s="122">
        <v>16824</v>
      </c>
      <c r="S39" s="122">
        <v>18344</v>
      </c>
      <c r="T39" s="122">
        <v>20853</v>
      </c>
      <c r="U39" s="122">
        <f>V39-SUM(R39:T39)</f>
        <v>19478</v>
      </c>
      <c r="V39" s="122">
        <f>'[3]Segment Information '!$D$8</f>
        <v>75499</v>
      </c>
      <c r="W39" s="122">
        <v>21534</v>
      </c>
      <c r="X39" s="122">
        <v>22659</v>
      </c>
      <c r="Y39" s="122">
        <v>23672</v>
      </c>
      <c r="Z39" s="122">
        <f>AA39-SUM(W39:Y39)</f>
        <v>22756</v>
      </c>
      <c r="AA39" s="122">
        <f>'[4]Segment Information '!$D$8</f>
        <v>90621</v>
      </c>
      <c r="AB39" s="122">
        <f>'[5]Segment Information '!$D$8</f>
        <v>30191</v>
      </c>
      <c r="AC39" s="187">
        <f>'[6]Segment Information '!$D$8</f>
        <v>29355</v>
      </c>
      <c r="AD39" s="187">
        <f>'[7]Segment Information '!$D$8</f>
        <v>27717</v>
      </c>
      <c r="AE39" s="122">
        <f>AF39-SUM(AB39:AD39)</f>
        <v>27486</v>
      </c>
      <c r="AF39" s="187">
        <f>'[8]Segment Information '!$D$8</f>
        <v>114749</v>
      </c>
      <c r="AG39" s="122">
        <f>'[9]Segment Information '!$D$8</f>
        <v>33413</v>
      </c>
      <c r="AH39" s="122">
        <f>'[10]Segment Information '!$D$8</f>
        <v>32116</v>
      </c>
      <c r="AI39" s="233">
        <f>SUM('[11]Revenues and Margins'!C39:AG39)-SUM(C39:AG39)</f>
        <v>0</v>
      </c>
      <c r="AJ39" s="196"/>
    </row>
    <row r="40" spans="1:36" x14ac:dyDescent="0.25">
      <c r="B40" s="119" t="s">
        <v>43</v>
      </c>
      <c r="C40" s="127">
        <f t="shared" ref="C40:Q40" si="53">C39/C36</f>
        <v>0.40512584224639742</v>
      </c>
      <c r="D40" s="127">
        <f t="shared" si="53"/>
        <v>0.39834657139963991</v>
      </c>
      <c r="E40" s="127">
        <f t="shared" si="53"/>
        <v>0.40663450189236433</v>
      </c>
      <c r="F40" s="127">
        <f t="shared" si="53"/>
        <v>0.39189007037413087</v>
      </c>
      <c r="G40" s="127">
        <f t="shared" si="53"/>
        <v>0.40055477139615553</v>
      </c>
      <c r="H40" s="127">
        <f t="shared" si="53"/>
        <v>0.44388524389746936</v>
      </c>
      <c r="I40" s="127">
        <f t="shared" si="53"/>
        <v>0.4236762058476628</v>
      </c>
      <c r="J40" s="127">
        <f t="shared" si="53"/>
        <v>0.41045913922286115</v>
      </c>
      <c r="K40" s="127">
        <f t="shared" si="53"/>
        <v>0.43580265378944893</v>
      </c>
      <c r="L40" s="127">
        <f t="shared" si="53"/>
        <v>0.42868639476535625</v>
      </c>
      <c r="M40" s="121">
        <f t="shared" si="53"/>
        <v>0.40450094646070434</v>
      </c>
      <c r="N40" s="121">
        <f t="shared" si="53"/>
        <v>0.35091935717388156</v>
      </c>
      <c r="O40" s="121">
        <f t="shared" si="53"/>
        <v>0.44668281129414267</v>
      </c>
      <c r="P40" s="121">
        <f t="shared" si="53"/>
        <v>0.45007546270553656</v>
      </c>
      <c r="Q40" s="121">
        <f t="shared" si="53"/>
        <v>0.41403681142333137</v>
      </c>
      <c r="R40" s="121">
        <f t="shared" ref="R40:S40" si="54">R39/R36</f>
        <v>0.44663905702453011</v>
      </c>
      <c r="S40" s="121">
        <f t="shared" si="54"/>
        <v>0.45082329810764316</v>
      </c>
      <c r="T40" s="121">
        <f t="shared" ref="T40:AF40" si="55">T39/T36</f>
        <v>0.46846988520207578</v>
      </c>
      <c r="U40" s="121">
        <f t="shared" si="55"/>
        <v>0.43903978361320861</v>
      </c>
      <c r="V40" s="121">
        <f t="shared" si="55"/>
        <v>0.45145184051280823</v>
      </c>
      <c r="W40" s="121">
        <f t="shared" si="55"/>
        <v>0.42434035509488244</v>
      </c>
      <c r="X40" s="121">
        <f t="shared" si="55"/>
        <v>0.42060030070721882</v>
      </c>
      <c r="Y40" s="121">
        <f t="shared" ref="Y40" si="56">Y39/Y36</f>
        <v>0.42245025430534489</v>
      </c>
      <c r="Z40" s="121">
        <f t="shared" si="55"/>
        <v>0.3924598589241674</v>
      </c>
      <c r="AA40" s="121">
        <f t="shared" si="55"/>
        <v>0.41447964214820843</v>
      </c>
      <c r="AB40" s="121">
        <f t="shared" si="55"/>
        <v>0.45632623448859599</v>
      </c>
      <c r="AC40" s="127">
        <f t="shared" si="55"/>
        <v>0.43683035714285712</v>
      </c>
      <c r="AD40" s="127">
        <f t="shared" ref="AD40" si="57">AD39/AD36</f>
        <v>0.42435237920264562</v>
      </c>
      <c r="AE40" s="121">
        <f t="shared" si="55"/>
        <v>0.410146982018951</v>
      </c>
      <c r="AF40" s="121">
        <f t="shared" si="55"/>
        <v>0.43188729807446213</v>
      </c>
      <c r="AG40" s="121">
        <f t="shared" ref="AG40:AH40" si="58">AG39/AG36</f>
        <v>0.44914775782342187</v>
      </c>
      <c r="AH40" s="121">
        <f t="shared" si="58"/>
        <v>0.41609120943188443</v>
      </c>
      <c r="AI40" s="232">
        <f>SUM('[11]Revenues and Margins'!C40:AG40)-SUM(C40:AG40)</f>
        <v>0</v>
      </c>
      <c r="AJ40" s="196"/>
    </row>
    <row r="41" spans="1:36" x14ac:dyDescent="0.25">
      <c r="B41" s="119"/>
      <c r="C41" s="127"/>
      <c r="D41" s="113"/>
      <c r="E41" s="113"/>
      <c r="F41" s="113"/>
      <c r="G41" s="113"/>
      <c r="H41" s="127"/>
      <c r="AI41" s="153"/>
      <c r="AJ41" s="196"/>
    </row>
    <row r="42" spans="1:36" hidden="1" x14ac:dyDescent="0.25">
      <c r="A42" s="123"/>
      <c r="B42" s="123" t="s">
        <v>100</v>
      </c>
      <c r="C42" s="248"/>
      <c r="D42" s="186"/>
      <c r="E42" s="186"/>
      <c r="F42" s="186"/>
      <c r="G42" s="186"/>
      <c r="H42" s="248"/>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233">
        <f>SUM('[41]Revenues and Margins'!W42:AC42)-SUM(W42:AC42)</f>
        <v>0</v>
      </c>
      <c r="AJ42" s="196"/>
    </row>
    <row r="43" spans="1:36" hidden="1" x14ac:dyDescent="0.25">
      <c r="B43" s="119" t="s">
        <v>99</v>
      </c>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232">
        <f>SUM('[41]Revenues and Margins'!W43:AC43)-SUM(W43:AC43)</f>
        <v>0</v>
      </c>
      <c r="AJ43" s="196"/>
    </row>
    <row r="44" spans="1:36" hidden="1" x14ac:dyDescent="0.25">
      <c r="B44" s="119" t="s">
        <v>104</v>
      </c>
      <c r="C44" s="126"/>
      <c r="D44" s="206"/>
      <c r="E44" s="126"/>
      <c r="F44" s="126"/>
      <c r="G44" s="126"/>
      <c r="H44" s="126"/>
      <c r="I44" s="20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232">
        <f>SUM('[41]Revenues and Margins'!W44:AC44)-SUM(W44:AC44)</f>
        <v>0</v>
      </c>
      <c r="AJ44" s="196"/>
    </row>
    <row r="45" spans="1:36" hidden="1" x14ac:dyDescent="0.25">
      <c r="B45" s="119" t="s">
        <v>41</v>
      </c>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53">
        <f>SUM('[41]Revenues and Margins'!W45:AC45)-SUM(W45:AC45)</f>
        <v>0</v>
      </c>
      <c r="AJ45" s="196"/>
    </row>
    <row r="46" spans="1:36" hidden="1" x14ac:dyDescent="0.25">
      <c r="B46" s="119" t="s">
        <v>43</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232">
        <f>SUM('[41]Revenues and Margins'!W46:AC46)-SUM(W46:AC46)</f>
        <v>0</v>
      </c>
      <c r="AJ46" s="196"/>
    </row>
    <row r="47" spans="1:36" hidden="1" x14ac:dyDescent="0.25">
      <c r="B47" s="119"/>
      <c r="C47" s="127"/>
      <c r="D47" s="113"/>
      <c r="E47" s="113"/>
      <c r="F47" s="113"/>
      <c r="G47" s="113"/>
      <c r="H47" s="127"/>
      <c r="AI47" s="232">
        <f>SUM('[41]Revenues and Margins'!W47:AC47)-SUM(W47:AC47)</f>
        <v>0</v>
      </c>
      <c r="AJ47" s="196"/>
    </row>
    <row r="48" spans="1:36" hidden="1" x14ac:dyDescent="0.25">
      <c r="A48" s="123"/>
      <c r="B48" s="123" t="s">
        <v>111</v>
      </c>
      <c r="C48" s="248"/>
      <c r="D48" s="186"/>
      <c r="E48" s="186"/>
      <c r="F48" s="186"/>
      <c r="G48" s="186"/>
      <c r="H48" s="248"/>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233">
        <f>SUM('[41]Revenues and Margins'!W48:AC48)-SUM(W48:AC48)</f>
        <v>0</v>
      </c>
      <c r="AJ48" s="196"/>
    </row>
    <row r="49" spans="1:36" hidden="1" x14ac:dyDescent="0.25">
      <c r="B49" s="119" t="s">
        <v>99</v>
      </c>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232">
        <f>SUM('[41]Revenues and Margins'!W49:AC49)-SUM(W49:AC49)</f>
        <v>0</v>
      </c>
      <c r="AJ49" s="196"/>
    </row>
    <row r="50" spans="1:36" hidden="1" x14ac:dyDescent="0.25">
      <c r="B50" s="119" t="s">
        <v>104</v>
      </c>
      <c r="C50" s="126"/>
      <c r="D50" s="206"/>
      <c r="E50" s="126"/>
      <c r="F50" s="126"/>
      <c r="G50" s="126"/>
      <c r="H50" s="126"/>
      <c r="I50" s="20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232">
        <f>SUM('[41]Revenues and Margins'!W50:AC50)-SUM(W50:AC50)</f>
        <v>0</v>
      </c>
      <c r="AJ50" s="196"/>
    </row>
    <row r="51" spans="1:36" hidden="1" x14ac:dyDescent="0.25">
      <c r="B51" s="119" t="s">
        <v>41</v>
      </c>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53">
        <f>SUM('[41]Revenues and Margins'!W51:AC51)-SUM(W51:AC51)</f>
        <v>0</v>
      </c>
      <c r="AJ51" s="196"/>
    </row>
    <row r="52" spans="1:36" hidden="1" x14ac:dyDescent="0.25">
      <c r="B52" s="119" t="s">
        <v>43</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232">
        <f>SUM('[41]Revenues and Margins'!W52:AC52)-SUM(W52:AC52)</f>
        <v>0</v>
      </c>
      <c r="AJ52" s="196"/>
    </row>
    <row r="53" spans="1:36" hidden="1" x14ac:dyDescent="0.25">
      <c r="B53" s="119"/>
      <c r="C53" s="127"/>
      <c r="D53" s="113"/>
      <c r="E53" s="113"/>
      <c r="F53" s="113"/>
      <c r="G53" s="113"/>
      <c r="H53" s="127"/>
      <c r="AI53" s="232">
        <f>SUM('[41]Revenues and Margins'!W53:AC53)-SUM(W53:AC53)</f>
        <v>0</v>
      </c>
      <c r="AJ53" s="196"/>
    </row>
    <row r="54" spans="1:36" hidden="1" x14ac:dyDescent="0.25">
      <c r="A54" s="123"/>
      <c r="B54" s="123" t="s">
        <v>112</v>
      </c>
      <c r="C54" s="248"/>
      <c r="D54" s="186"/>
      <c r="E54" s="186"/>
      <c r="F54" s="186"/>
      <c r="G54" s="186"/>
      <c r="H54" s="248"/>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233">
        <f>SUM('[41]Revenues and Margins'!W54:AC54)-SUM(W54:AC54)</f>
        <v>0</v>
      </c>
      <c r="AJ54" s="196"/>
    </row>
    <row r="55" spans="1:36" hidden="1" x14ac:dyDescent="0.25">
      <c r="B55" s="119" t="s">
        <v>99</v>
      </c>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232">
        <f>SUM('[41]Revenues and Margins'!W55:AC55)-SUM(W55:AC55)</f>
        <v>0</v>
      </c>
      <c r="AJ55" s="196"/>
    </row>
    <row r="56" spans="1:36" hidden="1" x14ac:dyDescent="0.25">
      <c r="B56" s="119" t="s">
        <v>104</v>
      </c>
      <c r="C56" s="126"/>
      <c r="D56" s="206"/>
      <c r="E56" s="126"/>
      <c r="F56" s="126"/>
      <c r="G56" s="126"/>
      <c r="H56" s="126"/>
      <c r="I56" s="206"/>
      <c r="J56" s="126"/>
      <c r="K56" s="126"/>
      <c r="L56" s="126"/>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232">
        <f>SUM('[41]Revenues and Margins'!W56:AC56)-SUM(W56:AC56)</f>
        <v>0</v>
      </c>
      <c r="AJ56" s="196"/>
    </row>
    <row r="57" spans="1:36" hidden="1" x14ac:dyDescent="0.25">
      <c r="B57" s="119" t="s">
        <v>41</v>
      </c>
      <c r="C57" s="187"/>
      <c r="D57" s="187"/>
      <c r="E57" s="187"/>
      <c r="F57" s="187"/>
      <c r="G57" s="187"/>
      <c r="H57" s="187"/>
      <c r="I57" s="187"/>
      <c r="J57" s="187"/>
      <c r="K57" s="187"/>
      <c r="L57" s="187"/>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53">
        <f>SUM('[41]Revenues and Margins'!W57:AC57)-SUM(W57:AC57)</f>
        <v>0</v>
      </c>
      <c r="AJ57" s="196"/>
    </row>
    <row r="58" spans="1:36" hidden="1" x14ac:dyDescent="0.25">
      <c r="B58" s="119" t="s">
        <v>43</v>
      </c>
      <c r="C58" s="127"/>
      <c r="D58" s="127"/>
      <c r="E58" s="127"/>
      <c r="F58" s="127"/>
      <c r="G58" s="127"/>
      <c r="H58" s="127"/>
      <c r="I58" s="127"/>
      <c r="J58" s="127"/>
      <c r="K58" s="127"/>
      <c r="L58" s="127"/>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232">
        <f>SUM('[41]Revenues and Margins'!W58:AC58)-SUM(W58:AC58)</f>
        <v>0</v>
      </c>
      <c r="AJ58" s="196"/>
    </row>
    <row r="59" spans="1:36" hidden="1" x14ac:dyDescent="0.25">
      <c r="B59" s="119"/>
      <c r="C59" s="127"/>
      <c r="D59" s="113"/>
      <c r="E59" s="113"/>
      <c r="F59" s="113"/>
      <c r="G59" s="113"/>
      <c r="H59" s="127"/>
      <c r="AI59" s="232">
        <f>SUM('[41]Revenues and Margins'!W59:AC59)-SUM(W59:AC59)</f>
        <v>0</v>
      </c>
      <c r="AJ59" s="196"/>
    </row>
    <row r="60" spans="1:36" hidden="1" x14ac:dyDescent="0.25">
      <c r="B60" s="112"/>
      <c r="C60" s="189"/>
      <c r="D60" s="113"/>
      <c r="E60" s="113"/>
      <c r="F60" s="113"/>
      <c r="G60" s="113"/>
      <c r="H60" s="189"/>
      <c r="M60" s="167"/>
      <c r="N60" s="167"/>
      <c r="O60" s="167"/>
      <c r="P60" s="167"/>
      <c r="Q60" s="167"/>
      <c r="R60" s="167"/>
      <c r="S60" s="167"/>
      <c r="T60" s="167"/>
      <c r="U60" s="167"/>
      <c r="V60" s="167"/>
      <c r="W60" s="167"/>
      <c r="X60" s="167"/>
      <c r="Y60" s="167"/>
      <c r="Z60" s="240"/>
      <c r="AA60" s="240"/>
      <c r="AB60" s="240"/>
      <c r="AC60" s="240"/>
      <c r="AD60" s="240"/>
      <c r="AE60" s="240"/>
      <c r="AF60" s="240"/>
      <c r="AG60" s="240"/>
      <c r="AH60" s="240"/>
      <c r="AI60" s="232">
        <f>SUM('[41]Revenues and Margins'!W60:AC60)-SUM(W60:AC60)</f>
        <v>0</v>
      </c>
      <c r="AJ60" s="196"/>
    </row>
    <row r="61" spans="1:36" x14ac:dyDescent="0.25">
      <c r="A61" s="116"/>
      <c r="B61" s="117" t="s">
        <v>148</v>
      </c>
      <c r="C61" s="137">
        <v>57102</v>
      </c>
      <c r="D61" s="137">
        <v>59618</v>
      </c>
      <c r="E61" s="137">
        <v>82707</v>
      </c>
      <c r="F61" s="137">
        <v>85863</v>
      </c>
      <c r="G61" s="137">
        <v>285290</v>
      </c>
      <c r="H61" s="137">
        <v>86961</v>
      </c>
      <c r="I61" s="137">
        <v>87871</v>
      </c>
      <c r="J61" s="137">
        <v>88753</v>
      </c>
      <c r="K61" s="137">
        <v>93744</v>
      </c>
      <c r="L61" s="137">
        <v>357329</v>
      </c>
      <c r="M61" s="137">
        <v>92431</v>
      </c>
      <c r="N61" s="137">
        <v>81679</v>
      </c>
      <c r="O61" s="137">
        <f>[73]Summary!$J$7</f>
        <v>90498.952496695405</v>
      </c>
      <c r="P61" s="137">
        <f>[75]Summary!$N$7</f>
        <v>98069.995171134913</v>
      </c>
      <c r="Q61" s="137">
        <f>'[2]Segment Information '!$E$6</f>
        <v>362679</v>
      </c>
      <c r="R61" s="137">
        <v>102322</v>
      </c>
      <c r="S61" s="137">
        <v>111405</v>
      </c>
      <c r="T61" s="137">
        <v>120463</v>
      </c>
      <c r="U61" s="137">
        <f>V61-SUM(R61:T61)</f>
        <v>126482</v>
      </c>
      <c r="V61" s="137">
        <f>'[3]Segment Information '!$E$6</f>
        <v>460672</v>
      </c>
      <c r="W61" s="137">
        <v>149039</v>
      </c>
      <c r="X61" s="137">
        <v>161301</v>
      </c>
      <c r="Y61" s="137">
        <v>166298</v>
      </c>
      <c r="Z61" s="137">
        <f>AA61-SUM(W61:Y61)</f>
        <v>170713</v>
      </c>
      <c r="AA61" s="137">
        <f>'[4]Segment Information '!$E$6</f>
        <v>647351</v>
      </c>
      <c r="AB61" s="137">
        <f>'[5]Segment Information '!$E$6</f>
        <v>181842</v>
      </c>
      <c r="AC61" s="137">
        <f>'[6]Segment Information '!$E$6</f>
        <v>182183</v>
      </c>
      <c r="AD61" s="137">
        <f>'[7]Segment Information '!$E$6</f>
        <v>183109</v>
      </c>
      <c r="AE61" s="137">
        <f>AF61-SUM(AB61:AD61)</f>
        <v>181993</v>
      </c>
      <c r="AF61" s="137">
        <f>'[8]Segment Information '!$E$6</f>
        <v>729127</v>
      </c>
      <c r="AG61" s="137">
        <f>'[9]Segment Information '!$E$6</f>
        <v>190726</v>
      </c>
      <c r="AH61" s="137">
        <f>'[10]Segment Information '!$E$6</f>
        <v>193786</v>
      </c>
      <c r="AI61" s="233">
        <f>SUM('[11]Revenues and Margins'!C61:AG61)-SUM(C61:AG61)</f>
        <v>0</v>
      </c>
      <c r="AJ61" s="196"/>
    </row>
    <row r="62" spans="1:36" x14ac:dyDescent="0.25">
      <c r="B62" s="119" t="s">
        <v>99</v>
      </c>
      <c r="C62" s="126">
        <v>0.16518048442059308</v>
      </c>
      <c r="D62" s="126">
        <v>0.15630636746251869</v>
      </c>
      <c r="E62" s="126">
        <v>0.53890666865138437</v>
      </c>
      <c r="F62" s="126">
        <v>0.54338252476048399</v>
      </c>
      <c r="G62" s="126">
        <v>0.35889265181501639</v>
      </c>
      <c r="H62" s="126">
        <v>0.52290637806031315</v>
      </c>
      <c r="I62" s="126">
        <v>0.47390049984903881</v>
      </c>
      <c r="J62" s="126">
        <v>7.3101430350514418E-2</v>
      </c>
      <c r="K62" s="126">
        <v>9.178575172076453E-2</v>
      </c>
      <c r="L62" s="126">
        <v>0.25251147954712749</v>
      </c>
      <c r="M62" s="120">
        <f>M61/H61-1</f>
        <v>6.2901760559331166E-2</v>
      </c>
      <c r="N62" s="120">
        <f>N61/I61-1</f>
        <v>-7.0466934483504273E-2</v>
      </c>
      <c r="O62" s="120">
        <f>O61/J61-1</f>
        <v>1.9672039217777382E-2</v>
      </c>
      <c r="P62" s="120">
        <f t="shared" ref="P62:Q62" si="59">P61/K61-1</f>
        <v>4.6146901893826975E-2</v>
      </c>
      <c r="Q62" s="120">
        <f t="shared" si="59"/>
        <v>1.4972196491188861E-2</v>
      </c>
      <c r="R62" s="120">
        <f>R61/M61-1</f>
        <v>0.1070095530720212</v>
      </c>
      <c r="S62" s="120">
        <f>S61/N61-1</f>
        <v>0.36393687483930992</v>
      </c>
      <c r="T62" s="120">
        <f>T61/O61-1</f>
        <v>0.33109827988781126</v>
      </c>
      <c r="U62" s="120">
        <f t="shared" ref="U62:AA62" si="60">U61/P61-1</f>
        <v>0.28971149411484465</v>
      </c>
      <c r="V62" s="120">
        <f t="shared" si="60"/>
        <v>0.2701920982466588</v>
      </c>
      <c r="W62" s="120">
        <f t="shared" si="60"/>
        <v>0.45656847989679639</v>
      </c>
      <c r="X62" s="120">
        <f t="shared" si="60"/>
        <v>0.44787935909519327</v>
      </c>
      <c r="Y62" s="120">
        <f t="shared" si="60"/>
        <v>0.38049027502220589</v>
      </c>
      <c r="Z62" s="120">
        <f t="shared" si="60"/>
        <v>0.34970193387201332</v>
      </c>
      <c r="AA62" s="120">
        <f t="shared" si="60"/>
        <v>0.40523192206168379</v>
      </c>
      <c r="AB62" s="120">
        <f>AB61/W61-1</f>
        <v>0.22009675319882716</v>
      </c>
      <c r="AC62" s="120">
        <f>AC61/X61-1</f>
        <v>0.12945982975926995</v>
      </c>
      <c r="AD62" s="126">
        <f>AD61/Y61-1</f>
        <v>0.10108961021780183</v>
      </c>
      <c r="AE62" s="120">
        <f t="shared" ref="AE62:AF62" si="61">AE61/Z61-1</f>
        <v>6.6075811449626043E-2</v>
      </c>
      <c r="AF62" s="120">
        <f t="shared" si="61"/>
        <v>0.12632404985857759</v>
      </c>
      <c r="AG62" s="120">
        <f>AG61/AB61-1</f>
        <v>4.8855599916410863E-2</v>
      </c>
      <c r="AH62" s="120">
        <f>AH61/AC61-1</f>
        <v>6.3688708606181699E-2</v>
      </c>
      <c r="AI62" s="232">
        <f>SUM('[11]Revenues and Margins'!C62:AG62)-SUM(C62:AG62)</f>
        <v>0</v>
      </c>
      <c r="AJ62" s="196"/>
    </row>
    <row r="63" spans="1:36" x14ac:dyDescent="0.25">
      <c r="B63" s="119" t="s">
        <v>104</v>
      </c>
      <c r="C63" s="147">
        <v>0.15791931376504653</v>
      </c>
      <c r="D63" s="147">
        <v>0.1540402023110381</v>
      </c>
      <c r="E63" s="147">
        <v>0.5407405328511683</v>
      </c>
      <c r="F63" s="147">
        <v>0.54969054598859524</v>
      </c>
      <c r="G63" s="147">
        <v>0.35878167493354329</v>
      </c>
      <c r="H63" s="147">
        <v>0.53100000000000003</v>
      </c>
      <c r="I63" s="147">
        <v>0.47899999999999998</v>
      </c>
      <c r="J63" s="147">
        <v>7.8E-2</v>
      </c>
      <c r="K63" s="147">
        <v>0.09</v>
      </c>
      <c r="L63" s="147">
        <v>0.25600000000000001</v>
      </c>
      <c r="M63" s="126">
        <f>'[55]Slide 6b'!$N$15</f>
        <v>6.6205178752887672E-2</v>
      </c>
      <c r="N63" s="126">
        <f>'[56]Slide 7b'!$N$15</f>
        <v>-6.8137737405081777E-2</v>
      </c>
      <c r="O63" s="126">
        <f>'[57]7b'!$N$15</f>
        <v>1.6102449288212473E-2</v>
      </c>
      <c r="P63" s="126">
        <f>'[58]Slide 6 Q Ops Seg. Rev&amp;GM wi HI'!$N$15</f>
        <v>4.4702534273172612E-2</v>
      </c>
      <c r="Q63" s="126">
        <f>'[58]Slide 16 FY Op seg Rev&amp;GM wi HI'!$H$16</f>
        <v>1.5083119496305475E-2</v>
      </c>
      <c r="R63" s="126">
        <f>'[59]Segment View'!$O$18</f>
        <v>0.10005088587135669</v>
      </c>
      <c r="S63" s="126">
        <f>'[60]Segment View'!$O$18</f>
        <v>0.35135000790399151</v>
      </c>
      <c r="T63" s="126">
        <f>'[61]Segment View'!$O$18</f>
        <v>0.32679047851373277</v>
      </c>
      <c r="U63" s="126">
        <f>'[62]Segment View'!$P$18</f>
        <v>0.28887038058699699</v>
      </c>
      <c r="V63" s="126">
        <f>'[62]Segment View'!$V$18</f>
        <v>0.2642814773706359</v>
      </c>
      <c r="W63" s="126">
        <f>'[63]Op Segment Rev&amp;GM'!$P$12</f>
        <v>0.46000319655332511</v>
      </c>
      <c r="X63" s="126">
        <f>'[64]Op Segment Rev&amp;GM'!$P$12</f>
        <v>0.45982518231785119</v>
      </c>
      <c r="Y63" s="126">
        <f>'[65]Op Segment Rev&amp;GM'!$P$12</f>
        <v>0.39445060262651221</v>
      </c>
      <c r="Z63" s="126">
        <f>'[66]Op Segment Rev&amp;GM'!$P$12</f>
        <v>0.36177775208904817</v>
      </c>
      <c r="AA63" s="126">
        <f>'[66]Op Segment Rev&amp;GM'!$V$12</f>
        <v>0.41584967954091967</v>
      </c>
      <c r="AB63" s="126">
        <f>'[67]Op Segment Rev&amp;GM'!$P$12</f>
        <v>0.22708642115163968</v>
      </c>
      <c r="AC63" s="126">
        <f>'[68]Op Segment Rev&amp;GM'!$P$12</f>
        <v>0.12810372930601188</v>
      </c>
      <c r="AD63" s="126">
        <f>'[69]Op Segment Rev&amp;GM'!$P$12</f>
        <v>9.4307364295294516E-2</v>
      </c>
      <c r="AE63" s="126">
        <f>'[70]Op Segment Rev&amp;GM'!$P$12</f>
        <v>6.2180304598040692E-2</v>
      </c>
      <c r="AF63" s="126">
        <f>'[70]Op Segment Rev&amp;GM'!$V$12</f>
        <v>0.12482576852105742</v>
      </c>
      <c r="AG63" s="126">
        <f>'[71]Op Segment Rev&amp;GM'!$P$12</f>
        <v>4.6032380477481594E-2</v>
      </c>
      <c r="AH63" s="126">
        <f>'[72]Op Segment Rev&amp;GM'!$P$12</f>
        <v>6.4228835077683399E-2</v>
      </c>
      <c r="AI63" s="232">
        <f>SUM('[11]Revenues and Margins'!C63:AG63)-SUM(C63:AG63)</f>
        <v>0</v>
      </c>
      <c r="AJ63" s="196"/>
    </row>
    <row r="64" spans="1:36" x14ac:dyDescent="0.25">
      <c r="B64" s="119" t="s">
        <v>41</v>
      </c>
      <c r="C64" s="187">
        <v>19027</v>
      </c>
      <c r="D64" s="187">
        <v>20962</v>
      </c>
      <c r="E64" s="187">
        <v>29069</v>
      </c>
      <c r="F64" s="187">
        <v>31628</v>
      </c>
      <c r="G64" s="187">
        <v>100686</v>
      </c>
      <c r="H64" s="187">
        <v>30059</v>
      </c>
      <c r="I64" s="187">
        <v>30440</v>
      </c>
      <c r="J64" s="187">
        <v>30920</v>
      </c>
      <c r="K64" s="187">
        <v>34665</v>
      </c>
      <c r="L64" s="187">
        <v>126084</v>
      </c>
      <c r="M64" s="122">
        <v>33815</v>
      </c>
      <c r="N64" s="122">
        <v>24447</v>
      </c>
      <c r="O64" s="122">
        <f>[73]Summary!$L$7</f>
        <v>34027.680296218474</v>
      </c>
      <c r="P64" s="122">
        <f>Q64-SUM(M64:O64)</f>
        <v>40939.319703781526</v>
      </c>
      <c r="Q64" s="122">
        <f>'[2]Segment Information '!$E$8</f>
        <v>133229</v>
      </c>
      <c r="R64" s="122">
        <v>37829</v>
      </c>
      <c r="S64" s="122">
        <v>40094</v>
      </c>
      <c r="T64" s="122">
        <v>44927</v>
      </c>
      <c r="U64" s="122">
        <f>V64-SUM(R64:T64)</f>
        <v>47914</v>
      </c>
      <c r="V64" s="122">
        <f>'[3]Segment Information '!$E$8</f>
        <v>170764</v>
      </c>
      <c r="W64" s="122">
        <v>53469</v>
      </c>
      <c r="X64" s="122">
        <v>59647</v>
      </c>
      <c r="Y64" s="122">
        <v>60359</v>
      </c>
      <c r="Z64" s="122">
        <f>AA64-SUM(W64:Y64)</f>
        <v>63983</v>
      </c>
      <c r="AA64" s="122">
        <f>'[4]Segment Information '!$E$8</f>
        <v>237458</v>
      </c>
      <c r="AB64" s="122">
        <f>'[5]Segment Information '!$E$8</f>
        <v>67476</v>
      </c>
      <c r="AC64" s="187">
        <f>'[6]Segment Information '!$E$8</f>
        <v>68670</v>
      </c>
      <c r="AD64" s="187">
        <f>'[7]Segment Information '!$E$8</f>
        <v>67674</v>
      </c>
      <c r="AE64" s="122">
        <f>AF64-SUM(AB64:AD64)</f>
        <v>64406</v>
      </c>
      <c r="AF64" s="187">
        <f>'[8]Segment Information '!$E$8</f>
        <v>268226</v>
      </c>
      <c r="AG64" s="122">
        <f>'[9]Segment Information '!$E$8</f>
        <v>67890</v>
      </c>
      <c r="AH64" s="122">
        <f>'[10]Segment Information '!$E$8</f>
        <v>71075</v>
      </c>
      <c r="AI64" s="233">
        <f>SUM('[11]Revenues and Margins'!C64:AG64)-SUM(C64:AG64)</f>
        <v>0</v>
      </c>
    </row>
    <row r="65" spans="1:39" x14ac:dyDescent="0.25">
      <c r="B65" s="119" t="s">
        <v>43</v>
      </c>
      <c r="C65" s="127">
        <v>0.33321074568316345</v>
      </c>
      <c r="D65" s="127">
        <v>0.35160521990003019</v>
      </c>
      <c r="E65" s="127">
        <v>0.35146964585827078</v>
      </c>
      <c r="F65" s="127">
        <v>0.36835423872913831</v>
      </c>
      <c r="G65" s="127">
        <v>0.35292509376423992</v>
      </c>
      <c r="H65" s="127">
        <v>0.34566069847402858</v>
      </c>
      <c r="I65" s="127">
        <v>0.34641690660172297</v>
      </c>
      <c r="J65" s="127">
        <v>0.34838258988428561</v>
      </c>
      <c r="K65" s="127">
        <v>0.36978366615463387</v>
      </c>
      <c r="L65" s="127">
        <v>0.35285129390561637</v>
      </c>
      <c r="M65" s="121">
        <f t="shared" ref="M65:W65" si="62">M64/M61</f>
        <v>0.36584046477913257</v>
      </c>
      <c r="N65" s="121">
        <f t="shared" si="62"/>
        <v>0.29930581912119392</v>
      </c>
      <c r="O65" s="121">
        <f t="shared" si="62"/>
        <v>0.37600081942894314</v>
      </c>
      <c r="P65" s="121">
        <f t="shared" si="62"/>
        <v>0.41745000223912782</v>
      </c>
      <c r="Q65" s="121">
        <f t="shared" si="62"/>
        <v>0.36734688250491482</v>
      </c>
      <c r="R65" s="121">
        <f t="shared" si="62"/>
        <v>0.36970543969038916</v>
      </c>
      <c r="S65" s="121">
        <f t="shared" si="62"/>
        <v>0.35989408015798213</v>
      </c>
      <c r="T65" s="121">
        <f t="shared" si="62"/>
        <v>0.3729526908677353</v>
      </c>
      <c r="U65" s="121">
        <f t="shared" si="62"/>
        <v>0.37882070175993421</v>
      </c>
      <c r="V65" s="121">
        <f t="shared" si="62"/>
        <v>0.37068456515698806</v>
      </c>
      <c r="W65" s="121">
        <f t="shared" si="62"/>
        <v>0.35875844577593785</v>
      </c>
      <c r="X65" s="121">
        <f t="shared" ref="X65" si="63">X64/X61</f>
        <v>0.36978692010588898</v>
      </c>
      <c r="Y65" s="121">
        <f>Y64/Y61</f>
        <v>0.36295686057559323</v>
      </c>
      <c r="Z65" s="121">
        <f t="shared" ref="Z65:AF65" si="64">Z64/Z61</f>
        <v>0.37479863865083501</v>
      </c>
      <c r="AA65" s="121">
        <f t="shared" si="64"/>
        <v>0.36681491184844078</v>
      </c>
      <c r="AB65" s="121">
        <f t="shared" si="64"/>
        <v>0.37106938990992178</v>
      </c>
      <c r="AC65" s="121">
        <f t="shared" si="64"/>
        <v>0.37692869257834155</v>
      </c>
      <c r="AD65" s="121">
        <f t="shared" ref="AD65" si="65">AD64/AD61</f>
        <v>0.3695831444658646</v>
      </c>
      <c r="AE65" s="121">
        <f t="shared" si="64"/>
        <v>0.35389273213804928</v>
      </c>
      <c r="AF65" s="121">
        <f t="shared" si="64"/>
        <v>0.36787281228098806</v>
      </c>
      <c r="AG65" s="121">
        <f t="shared" ref="AG65:AH65" si="66">AG64/AG61</f>
        <v>0.3559556641464719</v>
      </c>
      <c r="AH65" s="121">
        <f t="shared" si="66"/>
        <v>0.36677056134086056</v>
      </c>
      <c r="AI65" s="232">
        <f>SUM('[11]Revenues and Margins'!C65:AG65)-SUM(C65:AG65)</f>
        <v>0</v>
      </c>
    </row>
    <row r="66" spans="1:39" x14ac:dyDescent="0.25">
      <c r="B66" s="119"/>
      <c r="C66" s="127"/>
      <c r="D66" s="113"/>
      <c r="E66" s="113"/>
      <c r="F66" s="113"/>
      <c r="G66" s="113"/>
      <c r="H66" s="127"/>
      <c r="AI66" s="153"/>
    </row>
    <row r="67" spans="1:39" x14ac:dyDescent="0.25">
      <c r="A67" s="116"/>
      <c r="B67" s="117" t="s">
        <v>54</v>
      </c>
      <c r="C67" s="249">
        <f t="shared" ref="C67:W67" si="67">+C61+C17</f>
        <v>206972.96685598622</v>
      </c>
      <c r="D67" s="249">
        <f t="shared" si="67"/>
        <v>210112.46117321268</v>
      </c>
      <c r="E67" s="249">
        <f t="shared" si="67"/>
        <v>231123.88236976153</v>
      </c>
      <c r="F67" s="249">
        <f t="shared" si="67"/>
        <v>234903.3301324464</v>
      </c>
      <c r="G67" s="249">
        <f t="shared" si="67"/>
        <v>883111.64053140674</v>
      </c>
      <c r="H67" s="249">
        <f t="shared" si="67"/>
        <v>239573</v>
      </c>
      <c r="I67" s="249">
        <f t="shared" si="67"/>
        <v>243509</v>
      </c>
      <c r="J67" s="249">
        <f t="shared" si="67"/>
        <v>251392</v>
      </c>
      <c r="K67" s="249">
        <f t="shared" si="67"/>
        <v>256872</v>
      </c>
      <c r="L67" s="249">
        <f t="shared" si="67"/>
        <v>991346</v>
      </c>
      <c r="M67" s="249">
        <f t="shared" si="67"/>
        <v>245990</v>
      </c>
      <c r="N67" s="249">
        <f t="shared" si="67"/>
        <v>222473</v>
      </c>
      <c r="O67" s="249">
        <f t="shared" si="67"/>
        <v>241018.09034936316</v>
      </c>
      <c r="P67" s="249">
        <f t="shared" si="67"/>
        <v>248952.85731846714</v>
      </c>
      <c r="Q67" s="249">
        <f t="shared" si="67"/>
        <v>958434</v>
      </c>
      <c r="R67" s="249">
        <f t="shared" si="67"/>
        <v>261415</v>
      </c>
      <c r="S67" s="249">
        <f t="shared" si="67"/>
        <v>275064</v>
      </c>
      <c r="T67" s="249">
        <f t="shared" si="67"/>
        <v>290325</v>
      </c>
      <c r="U67" s="249">
        <f t="shared" si="67"/>
        <v>295489</v>
      </c>
      <c r="V67" s="249">
        <f t="shared" si="67"/>
        <v>1122293</v>
      </c>
      <c r="W67" s="249">
        <f t="shared" si="67"/>
        <v>329208</v>
      </c>
      <c r="X67" s="249">
        <f t="shared" ref="X67:AG67" si="68">+X61+X17</f>
        <v>346782</v>
      </c>
      <c r="Y67" s="249">
        <f t="shared" si="68"/>
        <v>361351</v>
      </c>
      <c r="Z67" s="249">
        <f t="shared" si="68"/>
        <v>374703</v>
      </c>
      <c r="AA67" s="249">
        <f t="shared" si="68"/>
        <v>1412044</v>
      </c>
      <c r="AB67" s="249">
        <f t="shared" si="68"/>
        <v>400643</v>
      </c>
      <c r="AC67" s="249">
        <f t="shared" si="68"/>
        <v>404996</v>
      </c>
      <c r="AD67" s="249">
        <f t="shared" si="68"/>
        <v>410971</v>
      </c>
      <c r="AE67" s="249">
        <f t="shared" si="68"/>
        <v>414058</v>
      </c>
      <c r="AF67" s="249">
        <f t="shared" si="68"/>
        <v>1630668</v>
      </c>
      <c r="AG67" s="249">
        <f t="shared" si="68"/>
        <v>436507</v>
      </c>
      <c r="AH67" s="249">
        <f t="shared" ref="AH67" si="69">+AH61+AH17</f>
        <v>448366</v>
      </c>
      <c r="AI67" s="233">
        <f>SUM('[11]Revenues and Margins'!C67:AG67)-SUM(C67:AG67)</f>
        <v>0</v>
      </c>
    </row>
    <row r="68" spans="1:39" x14ac:dyDescent="0.25">
      <c r="B68" s="119"/>
      <c r="C68" s="190"/>
      <c r="D68" s="190"/>
      <c r="E68" s="190"/>
      <c r="F68" s="190"/>
      <c r="G68" s="190"/>
      <c r="H68" s="188"/>
      <c r="I68" s="188"/>
      <c r="J68" s="188"/>
      <c r="K68" s="188"/>
      <c r="L68" s="188"/>
      <c r="AI68" s="153"/>
    </row>
    <row r="69" spans="1:39" hidden="1" x14ac:dyDescent="0.25">
      <c r="B69" s="219"/>
      <c r="C69" s="113"/>
      <c r="D69" s="113"/>
      <c r="E69" s="113"/>
      <c r="F69" s="113"/>
      <c r="G69" s="113"/>
      <c r="H69" s="151"/>
      <c r="AI69" s="153"/>
    </row>
    <row r="70" spans="1:39" hidden="1" x14ac:dyDescent="0.25">
      <c r="B70" s="220"/>
      <c r="C70" s="113"/>
      <c r="D70" s="113"/>
      <c r="E70" s="113"/>
      <c r="F70" s="113"/>
      <c r="G70" s="113"/>
      <c r="H70" s="151"/>
      <c r="AI70" s="153"/>
    </row>
    <row r="71" spans="1:39" x14ac:dyDescent="0.25">
      <c r="B71" s="125"/>
      <c r="C71" s="113"/>
      <c r="D71" s="113"/>
      <c r="E71" s="113"/>
      <c r="F71" s="113"/>
      <c r="G71" s="113"/>
      <c r="H71" s="151"/>
      <c r="AI71" s="153"/>
    </row>
    <row r="72" spans="1:39" x14ac:dyDescent="0.25">
      <c r="B72" s="219" t="s">
        <v>169</v>
      </c>
      <c r="C72" s="113"/>
      <c r="D72" s="113"/>
      <c r="E72" s="113"/>
      <c r="F72" s="113"/>
      <c r="G72" s="113"/>
      <c r="H72" s="151"/>
      <c r="AI72" s="153"/>
    </row>
    <row r="73" spans="1:39" x14ac:dyDescent="0.25">
      <c r="B73" s="219" t="s">
        <v>150</v>
      </c>
      <c r="C73" s="113"/>
      <c r="D73" s="113"/>
      <c r="E73" s="113"/>
      <c r="F73" s="113"/>
      <c r="G73" s="113"/>
      <c r="H73" s="151"/>
      <c r="AI73" s="153"/>
    </row>
    <row r="74" spans="1:39" x14ac:dyDescent="0.25">
      <c r="B74" s="119" t="s">
        <v>205</v>
      </c>
      <c r="C74" s="113"/>
      <c r="D74" s="113"/>
      <c r="E74" s="113"/>
      <c r="F74" s="113"/>
      <c r="G74" s="113"/>
      <c r="H74" s="151"/>
      <c r="AI74" s="153"/>
    </row>
    <row r="75" spans="1:39" x14ac:dyDescent="0.25">
      <c r="B75" s="119"/>
      <c r="C75" s="113"/>
      <c r="D75" s="113"/>
      <c r="E75" s="113"/>
      <c r="F75" s="113"/>
      <c r="G75" s="113"/>
      <c r="H75" s="151"/>
      <c r="AI75" s="153"/>
    </row>
    <row r="76" spans="1:39" ht="25" x14ac:dyDescent="0.25">
      <c r="A76" s="116"/>
      <c r="B76" s="117" t="s">
        <v>202</v>
      </c>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53"/>
    </row>
    <row r="77" spans="1:39" x14ac:dyDescent="0.25">
      <c r="B77" s="200" t="s">
        <v>103</v>
      </c>
      <c r="C77" s="201">
        <v>90659.480287046856</v>
      </c>
      <c r="D77" s="201">
        <v>93663.40367665753</v>
      </c>
      <c r="E77" s="201">
        <v>96028.058361202435</v>
      </c>
      <c r="F77" s="201">
        <v>95227.546474638701</v>
      </c>
      <c r="G77" s="201">
        <f>SUM(C77:F77)</f>
        <v>375578.48879954551</v>
      </c>
      <c r="H77" s="201">
        <v>100958.7534962692</v>
      </c>
      <c r="I77" s="201">
        <v>103525.8957768306</v>
      </c>
      <c r="J77" s="201">
        <v>109286.83625354461</v>
      </c>
      <c r="K77" s="201">
        <v>107198.73751952131</v>
      </c>
      <c r="L77" s="201">
        <v>420970.22304616572</v>
      </c>
      <c r="M77" s="201">
        <v>107827.65817521796</v>
      </c>
      <c r="N77" s="201">
        <v>100706.54271371941</v>
      </c>
      <c r="O77" s="201">
        <f>'[57]8a'!$L$28*1000</f>
        <v>109678.25203491189</v>
      </c>
      <c r="P77" s="201">
        <f>'[58]Slide 7 QTR Rev. vertical wi HI'!$L$28*1000</f>
        <v>111185.3843587006</v>
      </c>
      <c r="Q77" s="201">
        <f>M77+N77+O77+P77</f>
        <v>429397.83728254982</v>
      </c>
      <c r="R77" s="201">
        <f>'[76]Quarterly Revenue vertical(Rep)'!$K$28*1000</f>
        <v>118368.74818935194</v>
      </c>
      <c r="S77" s="201">
        <f>'[77]Revenue by Industry vertical'!$R$13*1000</f>
        <v>122992.8981440388</v>
      </c>
      <c r="T77" s="201">
        <f>'[61]Revenue by Industry Vertical'!$P$13*1000</f>
        <v>128642.32559993613</v>
      </c>
      <c r="U77" s="201">
        <f>'[62]Rev by Industry Verrtical'!$R$11*1000</f>
        <v>127736.86740445091</v>
      </c>
      <c r="V77" s="201">
        <f>'[62]Rev by Industry Verrtical'!$R$32*1000</f>
        <v>497740.83933777775</v>
      </c>
      <c r="W77" s="201">
        <f>'[63]Rev by Industry Vertical (Rep)'!$R$11*1000</f>
        <v>135664.43661664976</v>
      </c>
      <c r="X77" s="201">
        <f>'[64]Rev by Industry Vertical (Rep)'!$R$11*1000</f>
        <v>141898.90936728878</v>
      </c>
      <c r="Y77" s="201">
        <f>'[65]Rev by Industry Vertical (Rep)'!$R$11*1000</f>
        <v>149334.60774529996</v>
      </c>
      <c r="Z77" s="201">
        <f>'[66]Rev by Industry Vertical (Rep)'!$R$11*1000</f>
        <v>155864.80542770005</v>
      </c>
      <c r="AA77" s="201">
        <f>'[66]Rev by Industry Vertical (Rep)'!$R$18*1000</f>
        <v>582762.75915693864</v>
      </c>
      <c r="AB77" s="201">
        <f>'[67]Rev by Industry Vertical (Rep)'!$R$11*1000</f>
        <v>163576.43557199984</v>
      </c>
      <c r="AC77" s="201">
        <f>'[68]Rev by Industry Vertical (Rep)'!$R$11*1000</f>
        <v>164400.45304820029</v>
      </c>
      <c r="AD77" s="201">
        <f>'[69]Rev by Industry Vertical (Rep)'!$R$11*1000</f>
        <v>170789.64382329999</v>
      </c>
      <c r="AE77" s="201">
        <f>'[70]Rev by Industry Vertical (Rep)'!$R$11*1000</f>
        <v>174131.52984049957</v>
      </c>
      <c r="AF77" s="201">
        <f>'[70]Rev by Industry Vertical (Rep)'!$R$18*1000</f>
        <v>672898.06228399975</v>
      </c>
      <c r="AG77" s="201">
        <f>'[71]Rev by Industry Vertical (Rep)'!$Q$11*1000</f>
        <v>183059.98170439992</v>
      </c>
      <c r="AH77" s="201">
        <f>'[72]Rev by Industry Vertical (Rep)'!$Q$11*1000</f>
        <v>185661.29559750002</v>
      </c>
      <c r="AI77" s="233">
        <f>SUM('[11]Revenues and Margins'!C77:AG77)-SUM(C77:AG77)</f>
        <v>0</v>
      </c>
      <c r="AJ77" s="231">
        <f>SUM(AH77,AH81,AH85)-AH67</f>
        <v>-0.46589309978298843</v>
      </c>
      <c r="AK77" s="231"/>
      <c r="AL77" s="160"/>
      <c r="AM77" s="153"/>
    </row>
    <row r="78" spans="1:39" x14ac:dyDescent="0.25">
      <c r="A78" s="129"/>
      <c r="B78" s="128" t="s">
        <v>86</v>
      </c>
      <c r="C78" s="147">
        <v>0.43802570772505084</v>
      </c>
      <c r="D78" s="147">
        <f>D77/SUM(D$77,D$81,D$85)</f>
        <v>0.44577748103880055</v>
      </c>
      <c r="E78" s="147">
        <f>E77/SUM(E$77,E$81,E$85)</f>
        <v>0.41548306205575408</v>
      </c>
      <c r="F78" s="147">
        <f>F77/SUM(F$77,F$81,F$85)</f>
        <v>0.40539036386136468</v>
      </c>
      <c r="G78" s="147">
        <f>G77/SUM(G$77,G$81,G$85)</f>
        <v>0.4252899311502038</v>
      </c>
      <c r="H78" s="147">
        <f>H77/$H$67</f>
        <v>0.42141123372111716</v>
      </c>
      <c r="I78" s="147">
        <f>I77/$I$67</f>
        <v>0.42514196919551472</v>
      </c>
      <c r="J78" s="147">
        <f>J77/$J$67</f>
        <v>0.43472678626823691</v>
      </c>
      <c r="K78" s="147">
        <f>K77/$K$67</f>
        <v>0.41732356005917853</v>
      </c>
      <c r="L78" s="147">
        <f>L77/$L$67</f>
        <v>0.42464510175676878</v>
      </c>
      <c r="M78" s="147">
        <f>M77/$M$67</f>
        <v>0.43834163248594643</v>
      </c>
      <c r="N78" s="147">
        <f>N77/$N$67</f>
        <v>0.45266860569021594</v>
      </c>
      <c r="O78" s="147">
        <f>O77/$O$67</f>
        <v>0.45506232281539477</v>
      </c>
      <c r="P78" s="147">
        <f>P77/$P$67</f>
        <v>0.44661220423941261</v>
      </c>
      <c r="Q78" s="147">
        <f>Q77/$Q$67</f>
        <v>0.4480202468636858</v>
      </c>
      <c r="R78" s="147">
        <f>R77/$R$67</f>
        <v>0.45280013843640166</v>
      </c>
      <c r="S78" s="147">
        <f>S77/$S$67</f>
        <v>0.44714284000828464</v>
      </c>
      <c r="T78" s="147">
        <f>T77/$T$67</f>
        <v>0.44309765125268624</v>
      </c>
      <c r="U78" s="147">
        <f>U77/$U$67</f>
        <v>0.43228975496363964</v>
      </c>
      <c r="V78" s="147">
        <f>V77/$V$67</f>
        <v>0.44350346953761427</v>
      </c>
      <c r="W78" s="147">
        <f>W77/W$67</f>
        <v>0.4120933774897626</v>
      </c>
      <c r="X78" s="147">
        <f>X77/X$67</f>
        <v>0.40918764343965019</v>
      </c>
      <c r="Y78" s="147">
        <f>Y77/Y$67</f>
        <v>0.41326745393066566</v>
      </c>
      <c r="Z78" s="147">
        <f>Z77/$Z$67</f>
        <v>0.41596892853193074</v>
      </c>
      <c r="AA78" s="147">
        <f t="shared" ref="AA78:AF78" si="70">AA77/AA$67</f>
        <v>0.41270864021017661</v>
      </c>
      <c r="AB78" s="147">
        <f t="shared" si="70"/>
        <v>0.40828477116035933</v>
      </c>
      <c r="AC78" s="147">
        <f t="shared" si="70"/>
        <v>0.4059310537590502</v>
      </c>
      <c r="AD78" s="147">
        <f t="shared" si="70"/>
        <v>0.41557590151932861</v>
      </c>
      <c r="AE78" s="147">
        <f t="shared" si="70"/>
        <v>0.42054864255852942</v>
      </c>
      <c r="AF78" s="147">
        <f t="shared" si="70"/>
        <v>0.41265178582274242</v>
      </c>
      <c r="AG78" s="147">
        <f t="shared" ref="AG78:AH78" si="71">AG77/AG$67</f>
        <v>0.41937467601756656</v>
      </c>
      <c r="AH78" s="147">
        <f t="shared" si="71"/>
        <v>0.41408424277822142</v>
      </c>
      <c r="AI78" s="232">
        <f>SUM('[11]Revenues and Margins'!C78:AG78)-SUM(C78:AG78)</f>
        <v>0</v>
      </c>
      <c r="AJ78" s="231"/>
      <c r="AK78" s="153"/>
      <c r="AL78" s="160"/>
    </row>
    <row r="79" spans="1:39" x14ac:dyDescent="0.25">
      <c r="A79" s="129"/>
      <c r="B79" s="128" t="s">
        <v>84</v>
      </c>
      <c r="C79" s="147">
        <v>8.8546307117963741E-2</v>
      </c>
      <c r="D79" s="147">
        <f>D77/C77-1</f>
        <v>3.3134134236150858E-2</v>
      </c>
      <c r="E79" s="147">
        <f t="shared" ref="E79:F79" si="72">E77/D77-1</f>
        <v>2.5246303163486417E-2</v>
      </c>
      <c r="F79" s="147">
        <f t="shared" si="72"/>
        <v>-8.3362290170719833E-3</v>
      </c>
      <c r="G79" s="202" t="s">
        <v>53</v>
      </c>
      <c r="H79" s="147">
        <f>H77/F77-1</f>
        <v>6.0184339865953174E-2</v>
      </c>
      <c r="I79" s="147">
        <f>I77/H77-1</f>
        <v>2.5427634471103744E-2</v>
      </c>
      <c r="J79" s="147">
        <f>J77/I77-1</f>
        <v>5.5647337639394001E-2</v>
      </c>
      <c r="K79" s="147">
        <f>K77/J77-1</f>
        <v>-1.9106589646157635E-2</v>
      </c>
      <c r="L79" s="202" t="s">
        <v>53</v>
      </c>
      <c r="M79" s="147">
        <f>M77/K77-1</f>
        <v>5.8668662546714767E-3</v>
      </c>
      <c r="N79" s="147">
        <f>N77/M77-1</f>
        <v>-6.60416407256742E-2</v>
      </c>
      <c r="O79" s="147">
        <f>O77/N77-1</f>
        <v>8.9087650905627314E-2</v>
      </c>
      <c r="P79" s="147">
        <f>P77/O77-1</f>
        <v>1.3741396273428741E-2</v>
      </c>
      <c r="Q79" s="199" t="s">
        <v>53</v>
      </c>
      <c r="R79" s="147">
        <f>R77/P77-1</f>
        <v>6.4607087272161134E-2</v>
      </c>
      <c r="S79" s="147">
        <f>S77/R77-1</f>
        <v>3.9065631979901427E-2</v>
      </c>
      <c r="T79" s="147">
        <f>T77/S77-1</f>
        <v>4.5932956627147581E-2</v>
      </c>
      <c r="U79" s="147">
        <f t="shared" ref="U79" si="73">U77/T77-1</f>
        <v>-7.038571413121808E-3</v>
      </c>
      <c r="V79" s="202" t="s">
        <v>53</v>
      </c>
      <c r="W79" s="202">
        <f>W77/U77-1</f>
        <v>6.2061716192694183E-2</v>
      </c>
      <c r="X79" s="202">
        <f>X77/W77-1</f>
        <v>4.5955099996146442E-2</v>
      </c>
      <c r="Y79" s="202">
        <f>Y77/X77-1</f>
        <v>5.2401377932826287E-2</v>
      </c>
      <c r="Z79" s="202">
        <f t="shared" ref="Z79" si="74">Z77/Y77-1</f>
        <v>4.3728629156998711E-2</v>
      </c>
      <c r="AA79" s="202" t="s">
        <v>53</v>
      </c>
      <c r="AB79" s="202">
        <f>AB77/Z77-1</f>
        <v>4.9476404395069951E-2</v>
      </c>
      <c r="AC79" s="202">
        <f>AC77/AB77-1</f>
        <v>5.0375072260193665E-3</v>
      </c>
      <c r="AD79" s="202">
        <f>AD77/AC77-1</f>
        <v>3.8863583747098751E-2</v>
      </c>
      <c r="AE79" s="202">
        <f>AE77/AD77-1</f>
        <v>1.9567263812887425E-2</v>
      </c>
      <c r="AF79" s="202" t="s">
        <v>53</v>
      </c>
      <c r="AG79" s="202">
        <f>AG77/AE77-1</f>
        <v>5.1274182636990684E-2</v>
      </c>
      <c r="AH79" s="202">
        <f>AH77/AG77-1</f>
        <v>1.421017236470945E-2</v>
      </c>
      <c r="AI79" s="232">
        <f>SUM('[11]Revenues and Margins'!C79:AG79)-SUM(C79:AG79)</f>
        <v>0</v>
      </c>
      <c r="AK79" s="153"/>
      <c r="AL79" s="160"/>
    </row>
    <row r="80" spans="1:39" x14ac:dyDescent="0.25">
      <c r="A80" s="129"/>
      <c r="B80" s="128" t="s">
        <v>85</v>
      </c>
      <c r="C80" s="147">
        <v>0.17373117664990612</v>
      </c>
      <c r="D80" s="147">
        <v>0.17641677440365977</v>
      </c>
      <c r="E80" s="147">
        <v>0.18627486894493694</v>
      </c>
      <c r="F80" s="147">
        <v>0.14339497339565899</v>
      </c>
      <c r="G80" s="147">
        <v>0.16969082565925264</v>
      </c>
      <c r="H80" s="147">
        <v>0.11360392952411269</v>
      </c>
      <c r="I80" s="147">
        <v>0.10529717811900285</v>
      </c>
      <c r="J80" s="147">
        <v>0.13807191479880032</v>
      </c>
      <c r="K80" s="147">
        <v>0.12571143002272778</v>
      </c>
      <c r="L80" s="147">
        <v>0.12085818437500229</v>
      </c>
      <c r="M80" s="147">
        <f t="shared" ref="M80:T80" si="75">M77/H77-1</f>
        <v>6.8036742145420659E-2</v>
      </c>
      <c r="N80" s="147">
        <f t="shared" si="75"/>
        <v>-2.7233312418651567E-2</v>
      </c>
      <c r="O80" s="147">
        <f t="shared" si="75"/>
        <v>3.5815455436847277E-3</v>
      </c>
      <c r="P80" s="147">
        <f t="shared" si="75"/>
        <v>3.7189307742111266E-2</v>
      </c>
      <c r="Q80" s="147">
        <f t="shared" si="75"/>
        <v>2.0019502033662651E-2</v>
      </c>
      <c r="R80" s="147">
        <f t="shared" si="75"/>
        <v>9.7758684483390201E-2</v>
      </c>
      <c r="S80" s="147">
        <f t="shared" si="75"/>
        <v>0.22129997545118085</v>
      </c>
      <c r="T80" s="147">
        <f t="shared" si="75"/>
        <v>0.17290641684358499</v>
      </c>
      <c r="U80" s="147">
        <f t="shared" ref="U80" si="76">U77/P77-1</f>
        <v>0.1488638380054772</v>
      </c>
      <c r="V80" s="147">
        <f t="shared" ref="V80:Y80" si="77">V77/Q77-1</f>
        <v>0.15916009844795109</v>
      </c>
      <c r="W80" s="147">
        <f t="shared" si="77"/>
        <v>0.14611701730282967</v>
      </c>
      <c r="X80" s="147">
        <f t="shared" si="77"/>
        <v>0.15371628369232249</v>
      </c>
      <c r="Y80" s="147">
        <f t="shared" si="77"/>
        <v>0.1608512754170397</v>
      </c>
      <c r="Z80" s="147">
        <f t="shared" ref="Z80" si="78">Z77/U77-1</f>
        <v>0.22020219060318857</v>
      </c>
      <c r="AA80" s="147">
        <f t="shared" ref="AA80" si="79">AA77/V77-1</f>
        <v>0.17081563958520829</v>
      </c>
      <c r="AB80" s="147">
        <f>AB77/W77-1</f>
        <v>0.20574293198313787</v>
      </c>
      <c r="AC80" s="147">
        <f t="shared" ref="AC80:AE80" si="80">AC77/X77-1</f>
        <v>0.15857446530944697</v>
      </c>
      <c r="AD80" s="147">
        <f t="shared" si="80"/>
        <v>0.14367089050512005</v>
      </c>
      <c r="AE80" s="147">
        <f t="shared" si="80"/>
        <v>0.1171959530098845</v>
      </c>
      <c r="AF80" s="147">
        <f t="shared" ref="AF80" si="81">AF77/AA77-1</f>
        <v>0.15466894840270262</v>
      </c>
      <c r="AG80" s="147">
        <f>AG77/AB77-1</f>
        <v>0.11910973646215806</v>
      </c>
      <c r="AH80" s="147">
        <f>AH77/AC77-1</f>
        <v>0.12932350340340193</v>
      </c>
      <c r="AI80" s="232">
        <f>SUM('[11]Revenues and Margins'!C80:AG80)-SUM(C80:AG80)</f>
        <v>0</v>
      </c>
      <c r="AL80" s="160"/>
    </row>
    <row r="81" spans="1:39" x14ac:dyDescent="0.25">
      <c r="A81" s="129"/>
      <c r="B81" s="200" t="s">
        <v>102</v>
      </c>
      <c r="C81" s="201">
        <v>34104.735787288213</v>
      </c>
      <c r="D81" s="201">
        <v>31671.265590000003</v>
      </c>
      <c r="E81" s="201">
        <v>52232.656980799991</v>
      </c>
      <c r="F81" s="201">
        <v>57047.38757359999</v>
      </c>
      <c r="G81" s="201">
        <v>175056.04593168822</v>
      </c>
      <c r="H81" s="201">
        <v>53248.401116638008</v>
      </c>
      <c r="I81" s="201">
        <v>53986.086069446013</v>
      </c>
      <c r="J81" s="201">
        <v>55980.109864710008</v>
      </c>
      <c r="K81" s="201">
        <v>62630.014391522003</v>
      </c>
      <c r="L81" s="201">
        <v>225844.61144231603</v>
      </c>
      <c r="M81" s="201">
        <v>57262.171140788683</v>
      </c>
      <c r="N81" s="201">
        <v>53513.086060000031</v>
      </c>
      <c r="O81" s="201">
        <f>'[57]8a'!$L$29*1000</f>
        <v>58187.223970000006</v>
      </c>
      <c r="P81" s="201">
        <f>'[58]Slide 7 QTR Rev. vertical wi HI'!$L$29*1000</f>
        <v>58248.805019211271</v>
      </c>
      <c r="Q81" s="201">
        <f>M81+N81+O81+P81</f>
        <v>227211.28618999996</v>
      </c>
      <c r="R81" s="201">
        <f>'[76]Quarterly Revenue vertical(Rep)'!$K$29*1000</f>
        <v>62256.95429999999</v>
      </c>
      <c r="S81" s="201">
        <f>'[77]Revenue by Industry vertical'!$R$14*1000</f>
        <v>64548.337290000018</v>
      </c>
      <c r="T81" s="201">
        <f>'[61]Revenue by Industry Vertical'!$P$14*1000</f>
        <v>65676.51857</v>
      </c>
      <c r="U81" s="201">
        <f>'[62]Rev by Industry Verrtical'!$R$13*1000</f>
        <v>67653.553387259613</v>
      </c>
      <c r="V81" s="201">
        <f>'[62]Rev by Industry Verrtical'!$R$34*1000</f>
        <v>260135.36354725959</v>
      </c>
      <c r="W81" s="201">
        <f>'[63]Rev by Industry Vertical (Rep)'!$R$13*1000</f>
        <v>69547.860097327924</v>
      </c>
      <c r="X81" s="201">
        <f>'[64]Rev by Industry Vertical (Rep)'!$R$13*1000</f>
        <v>71490.34009854187</v>
      </c>
      <c r="Y81" s="201">
        <f>'[65]Rev by Industry Vertical (Rep)'!$R$13*1000</f>
        <v>71740.345549999998</v>
      </c>
      <c r="Z81" s="201">
        <f>'[66]Rev by Industry Vertical (Rep)'!$R$13*1000</f>
        <v>76797.260920000001</v>
      </c>
      <c r="AA81" s="201">
        <f>'[66]Rev by Industry Vertical (Rep)'!$R$20*1000</f>
        <v>289575.80666586978</v>
      </c>
      <c r="AB81" s="201">
        <f>'[67]Rev by Industry Vertical (Rep)'!$R$13*1000</f>
        <v>82849.84683000001</v>
      </c>
      <c r="AC81" s="201">
        <f>'[68]Rev by Industry Vertical (Rep)'!$R$13*1000</f>
        <v>88182.248660000012</v>
      </c>
      <c r="AD81" s="201">
        <f>'[69]Rev by Industry Vertical (Rep)'!$R$13*1000</f>
        <v>92270.661389999994</v>
      </c>
      <c r="AE81" s="201">
        <f>'[70]Rev by Industry Vertical (Rep)'!$R$13*1000</f>
        <v>93838.342999999979</v>
      </c>
      <c r="AF81" s="201">
        <f>'[70]Rev by Industry Vertical (Rep)'!$R$20*1000</f>
        <v>357141.09987999994</v>
      </c>
      <c r="AG81" s="201">
        <f>'[71]Rev by Industry Vertical (Rep)'!$Q$13*1000</f>
        <v>97809.712980000011</v>
      </c>
      <c r="AH81" s="201">
        <f>'[72]Rev by Industry Vertical (Rep)'!$Q$13*1000</f>
        <v>102955.02627000002</v>
      </c>
      <c r="AI81" s="233">
        <f>SUM('[11]Revenues and Margins'!C81:AG81)-SUM(C81:AG81)</f>
        <v>0</v>
      </c>
      <c r="AJ81" s="231"/>
      <c r="AK81" s="231"/>
      <c r="AL81" s="160"/>
      <c r="AM81" s="153"/>
    </row>
    <row r="82" spans="1:39" x14ac:dyDescent="0.25">
      <c r="A82" s="129"/>
      <c r="B82" s="128" t="s">
        <v>86</v>
      </c>
      <c r="C82" s="147">
        <v>0.16477869697359374</v>
      </c>
      <c r="D82" s="147">
        <f>D81/SUM(D$77,D$81,D$85)</f>
        <v>0.15073482749740777</v>
      </c>
      <c r="E82" s="147">
        <f>E81/SUM(E$77,E$81,E$85)</f>
        <v>0.22599420036236684</v>
      </c>
      <c r="F82" s="147">
        <f>F81/SUM(F$77,F$81,F$85)</f>
        <v>0.24285474174178273</v>
      </c>
      <c r="G82" s="147">
        <f>G81/SUM(G$77,G$81,G$85)</f>
        <v>0.19822640524401805</v>
      </c>
      <c r="H82" s="147">
        <f>+H81/$H$67</f>
        <v>0.22226378229866475</v>
      </c>
      <c r="I82" s="147">
        <f>+I81/$I$67</f>
        <v>0.2217005780872412</v>
      </c>
      <c r="J82" s="147">
        <f>+J81/$J$67</f>
        <v>0.22268055413342511</v>
      </c>
      <c r="K82" s="147">
        <f>+K81/$K$67</f>
        <v>0.24381798869289764</v>
      </c>
      <c r="L82" s="147">
        <f>+L81/$L$67</f>
        <v>0.22781613225081457</v>
      </c>
      <c r="M82" s="147">
        <f>+M81/$M$67</f>
        <v>0.23278251612174755</v>
      </c>
      <c r="N82" s="147">
        <f>+N81/$N$67</f>
        <v>0.24053744076809336</v>
      </c>
      <c r="O82" s="147">
        <f>+O81/$O$67</f>
        <v>0.24142264128661806</v>
      </c>
      <c r="P82" s="147">
        <f>P81/$P$67</f>
        <v>0.23397524192581506</v>
      </c>
      <c r="Q82" s="147">
        <f>+Q81/$Q$67</f>
        <v>0.23706513561705861</v>
      </c>
      <c r="R82" s="147">
        <f>+R81/$R$67</f>
        <v>0.23815371841707625</v>
      </c>
      <c r="S82" s="147">
        <f>+S81/$S$67</f>
        <v>0.23466661318820353</v>
      </c>
      <c r="T82" s="147">
        <f>+T81/T$67</f>
        <v>0.22621723437526908</v>
      </c>
      <c r="U82" s="147">
        <f>+U81/U$67</f>
        <v>0.22895455799457717</v>
      </c>
      <c r="V82" s="147">
        <f>+V81/V$67</f>
        <v>0.23178917051719969</v>
      </c>
      <c r="W82" s="147">
        <f>+W81/W$67</f>
        <v>0.21125811066963113</v>
      </c>
      <c r="X82" s="147">
        <f>X81/X$67</f>
        <v>0.20615354919961784</v>
      </c>
      <c r="Y82" s="147">
        <f>Y81/Y$67</f>
        <v>0.19853368483828743</v>
      </c>
      <c r="Z82" s="147">
        <f t="shared" ref="Z82:AF82" si="82">+Z81/Z$67</f>
        <v>0.20495502016263548</v>
      </c>
      <c r="AA82" s="147">
        <f t="shared" si="82"/>
        <v>0.2050756255937278</v>
      </c>
      <c r="AB82" s="147">
        <f t="shared" si="82"/>
        <v>0.20679219861572526</v>
      </c>
      <c r="AC82" s="147">
        <f t="shared" si="82"/>
        <v>0.21773609778862016</v>
      </c>
      <c r="AD82" s="147">
        <f t="shared" si="82"/>
        <v>0.22451866771621354</v>
      </c>
      <c r="AE82" s="147">
        <f t="shared" si="82"/>
        <v>0.22663091402653729</v>
      </c>
      <c r="AF82" s="147">
        <f t="shared" si="82"/>
        <v>0.21901521332361948</v>
      </c>
      <c r="AG82" s="147">
        <f t="shared" ref="AG82:AH82" si="83">+AG81/AG$67</f>
        <v>0.22407364138490335</v>
      </c>
      <c r="AH82" s="147">
        <f t="shared" si="83"/>
        <v>0.22962273292354909</v>
      </c>
      <c r="AI82" s="232">
        <f>SUM('[11]Revenues and Margins'!C82:AG82)-SUM(C82:AG82)</f>
        <v>0</v>
      </c>
      <c r="AL82" s="160"/>
    </row>
    <row r="83" spans="1:39" x14ac:dyDescent="0.25">
      <c r="A83" s="129"/>
      <c r="B83" s="128" t="s">
        <v>84</v>
      </c>
      <c r="C83" s="147">
        <v>2.6885578731911552E-2</v>
      </c>
      <c r="D83" s="147">
        <f>D81/C81-1</f>
        <v>-7.1352852942940359E-2</v>
      </c>
      <c r="E83" s="147">
        <f t="shared" ref="E83:F83" si="84">E81/D81-1</f>
        <v>0.64921281192160873</v>
      </c>
      <c r="F83" s="147">
        <f t="shared" si="84"/>
        <v>9.2178550184989216E-2</v>
      </c>
      <c r="G83" s="202" t="s">
        <v>53</v>
      </c>
      <c r="H83" s="147">
        <f>H81/F81-1</f>
        <v>-6.6593521956823998E-2</v>
      </c>
      <c r="I83" s="147">
        <f>I81/H81-1</f>
        <v>1.3853654519919711E-2</v>
      </c>
      <c r="J83" s="147">
        <f>J81/I81-1</f>
        <v>3.6935883677489567E-2</v>
      </c>
      <c r="K83" s="147">
        <f>K81/J81-1</f>
        <v>0.1187904872441865</v>
      </c>
      <c r="L83" s="202" t="s">
        <v>53</v>
      </c>
      <c r="M83" s="147">
        <f>M81/K81-1</f>
        <v>-8.5707201297720692E-2</v>
      </c>
      <c r="N83" s="147">
        <f>N81/M81-1</f>
        <v>-6.5472283116385754E-2</v>
      </c>
      <c r="O83" s="147">
        <f>O81/N81-1</f>
        <v>8.7345699045635827E-2</v>
      </c>
      <c r="P83" s="147">
        <f>P81/O81-1</f>
        <v>1.058325952154382E-3</v>
      </c>
      <c r="Q83" s="199" t="s">
        <v>53</v>
      </c>
      <c r="R83" s="147">
        <f>R81/P81-1</f>
        <v>6.8810841346303553E-2</v>
      </c>
      <c r="S83" s="147">
        <f>S81/R81-1</f>
        <v>3.6805253577912866E-2</v>
      </c>
      <c r="T83" s="147">
        <f>T81/S81-1</f>
        <v>1.7478084291022711E-2</v>
      </c>
      <c r="U83" s="147">
        <f>U81/T81-1</f>
        <v>3.0102612932389583E-2</v>
      </c>
      <c r="V83" s="202" t="s">
        <v>53</v>
      </c>
      <c r="W83" s="202">
        <f>W81/U81-1</f>
        <v>2.8000106649609391E-2</v>
      </c>
      <c r="X83" s="202">
        <f>X81/W81-1</f>
        <v>2.7930118892163902E-2</v>
      </c>
      <c r="Y83" s="202">
        <f>Y81/X81-1</f>
        <v>3.4970522047248487E-3</v>
      </c>
      <c r="Z83" s="202">
        <f>Z81/Y81-1</f>
        <v>7.0489141517663167E-2</v>
      </c>
      <c r="AA83" s="202" t="s">
        <v>53</v>
      </c>
      <c r="AB83" s="202">
        <f>AB81/Z81-1</f>
        <v>7.8812523226642339E-2</v>
      </c>
      <c r="AC83" s="202">
        <f>AC81/AB81-1</f>
        <v>6.4362241259680042E-2</v>
      </c>
      <c r="AD83" s="202">
        <f>AD81/AC81-1</f>
        <v>4.6363216998054568E-2</v>
      </c>
      <c r="AE83" s="202">
        <f>AE81/AD81-1</f>
        <v>1.6990033304019381E-2</v>
      </c>
      <c r="AF83" s="202" t="s">
        <v>53</v>
      </c>
      <c r="AG83" s="202">
        <f>AG81/AE81-1</f>
        <v>4.2321399260002224E-2</v>
      </c>
      <c r="AH83" s="202">
        <f>AH81/AG81-1</f>
        <v>5.2605340852519555E-2</v>
      </c>
      <c r="AI83" s="232">
        <f>SUM('[11]Revenues and Margins'!C83:AG83)-SUM(C83:AG83)</f>
        <v>0</v>
      </c>
      <c r="AL83" s="160"/>
    </row>
    <row r="84" spans="1:39" x14ac:dyDescent="0.25">
      <c r="A84" s="129"/>
      <c r="B84" s="128" t="s">
        <v>85</v>
      </c>
      <c r="C84" s="147">
        <v>0.19390303535110442</v>
      </c>
      <c r="D84" s="147">
        <v>0.12481294747684712</v>
      </c>
      <c r="E84" s="147">
        <v>0.72781267144031769</v>
      </c>
      <c r="F84" s="147">
        <v>0.71768343168032134</v>
      </c>
      <c r="G84" s="147">
        <v>0.45679735959868739</v>
      </c>
      <c r="H84" s="147">
        <v>0.5613198544844078</v>
      </c>
      <c r="I84" s="147">
        <v>0.70457621644560264</v>
      </c>
      <c r="J84" s="147">
        <v>7.1745400301721718E-2</v>
      </c>
      <c r="K84" s="147">
        <v>9.7859464830349241E-2</v>
      </c>
      <c r="L84" s="147">
        <v>0.29012745741125068</v>
      </c>
      <c r="M84" s="147">
        <f t="shared" ref="M84:T84" si="85">M81/H81-1</f>
        <v>7.5378226199857234E-2</v>
      </c>
      <c r="N84" s="147">
        <f t="shared" si="85"/>
        <v>-8.761516973790795E-3</v>
      </c>
      <c r="O84" s="147">
        <f t="shared" si="85"/>
        <v>3.9426755514128997E-2</v>
      </c>
      <c r="P84" s="147">
        <f t="shared" si="85"/>
        <v>-6.9953829882941854E-2</v>
      </c>
      <c r="Q84" s="147">
        <f t="shared" si="85"/>
        <v>6.0513940932922505E-3</v>
      </c>
      <c r="R84" s="147">
        <f t="shared" si="85"/>
        <v>8.7226576633477437E-2</v>
      </c>
      <c r="S84" s="147">
        <f t="shared" si="85"/>
        <v>0.20621593786661863</v>
      </c>
      <c r="T84" s="147">
        <f t="shared" si="85"/>
        <v>0.12871029220884123</v>
      </c>
      <c r="U84" s="147">
        <f t="shared" ref="U84" si="86">U81/P81-1</f>
        <v>0.16145821987157549</v>
      </c>
      <c r="V84" s="147">
        <f t="shared" ref="V84:Y84" si="87">V81/Q81-1</f>
        <v>0.1449051141312041</v>
      </c>
      <c r="W84" s="147">
        <f t="shared" si="87"/>
        <v>0.1171099016857613</v>
      </c>
      <c r="X84" s="147">
        <f t="shared" si="87"/>
        <v>0.10754735288305128</v>
      </c>
      <c r="Y84" s="147">
        <f t="shared" si="87"/>
        <v>9.23286908628842E-2</v>
      </c>
      <c r="Z84" s="147">
        <f t="shared" ref="Z84" si="88">Z81/U81-1</f>
        <v>0.13515487472476662</v>
      </c>
      <c r="AA84" s="147">
        <f t="shared" ref="AA84" si="89">AA81/V81-1</f>
        <v>0.11317355209670166</v>
      </c>
      <c r="AB84" s="147">
        <f>AB81/W81-1</f>
        <v>0.19126378171890224</v>
      </c>
      <c r="AC84" s="147">
        <f t="shared" ref="AC84:AD84" si="90">AC81/X81-1</f>
        <v>0.23348481121295706</v>
      </c>
      <c r="AD84" s="147">
        <f t="shared" si="90"/>
        <v>0.2861753129651603</v>
      </c>
      <c r="AE84" s="147">
        <f t="shared" ref="AE84" si="91">AE81/Z81-1</f>
        <v>0.2218970035630794</v>
      </c>
      <c r="AF84" s="147">
        <f t="shared" ref="AF84" si="92">AF81/AA81-1</f>
        <v>0.23332506258746655</v>
      </c>
      <c r="AG84" s="147">
        <f>AG81/AB81-1</f>
        <v>0.18056600853706128</v>
      </c>
      <c r="AH84" s="147">
        <f>AH81/AC81-1</f>
        <v>0.16752552621966665</v>
      </c>
      <c r="AI84" s="232">
        <f>SUM('[11]Revenues and Margins'!C84:AG84)-SUM(C84:AG84)</f>
        <v>0</v>
      </c>
      <c r="AL84" s="160"/>
    </row>
    <row r="85" spans="1:39" x14ac:dyDescent="0.25">
      <c r="A85" s="129"/>
      <c r="B85" s="200" t="s">
        <v>145</v>
      </c>
      <c r="C85" s="201">
        <v>82208.75078165115</v>
      </c>
      <c r="D85" s="201">
        <v>84777.791906555154</v>
      </c>
      <c r="E85" s="201">
        <v>82863.167027759118</v>
      </c>
      <c r="F85" s="201">
        <v>82628.396084207692</v>
      </c>
      <c r="G85" s="201">
        <v>332477.10580017301</v>
      </c>
      <c r="H85" s="201">
        <v>85365.845387092791</v>
      </c>
      <c r="I85" s="201">
        <v>85997.018153723373</v>
      </c>
      <c r="J85" s="201">
        <v>86125.053881745378</v>
      </c>
      <c r="K85" s="201">
        <v>87043.248088956665</v>
      </c>
      <c r="L85" s="201">
        <v>344531.16551151831</v>
      </c>
      <c r="M85" s="201">
        <v>80900.367339627395</v>
      </c>
      <c r="N85" s="201">
        <v>68253.371226280564</v>
      </c>
      <c r="O85" s="201">
        <f>'[57]8a'!$L$30*1000</f>
        <v>73152.783378038745</v>
      </c>
      <c r="P85" s="201">
        <f>'[58]Slide 7 QTR Rev. vertical wi HI'!$L$30*1000</f>
        <v>79518.623723887344</v>
      </c>
      <c r="Q85" s="201">
        <f>M85+N85+O85+P85</f>
        <v>301825.14566783409</v>
      </c>
      <c r="R85" s="201">
        <f>'[76]Quarterly Revenue vertical(Rep)'!$K$30*1000</f>
        <v>80788.873072383198</v>
      </c>
      <c r="S85" s="201">
        <f>'[77]Revenue by Industry vertical'!$R$15*1000</f>
        <v>87522.885930257893</v>
      </c>
      <c r="T85" s="201">
        <f>'[61]Revenue by Industry Vertical'!$P$15*1000</f>
        <v>96006.384880064012</v>
      </c>
      <c r="U85" s="201">
        <f>'[62]Rev by Industry Verrtical'!$R$12*1000</f>
        <v>100098.85978899083</v>
      </c>
      <c r="V85" s="201">
        <f>'[62]Rev by Industry Verrtical'!$R$33*1000</f>
        <v>364417.00367169589</v>
      </c>
      <c r="W85" s="201">
        <f>'[63]Rev by Industry Vertical (Rep)'!$R$12*1000</f>
        <v>123995.45277107442</v>
      </c>
      <c r="X85" s="201">
        <f>'[64]Rev by Industry Vertical (Rep)'!$R$12*1000</f>
        <v>133393.1215039602</v>
      </c>
      <c r="Y85" s="201">
        <f>'[65]Rev by Industry Vertical (Rep)'!$R$12*1000</f>
        <v>140276.30279210003</v>
      </c>
      <c r="Z85" s="201">
        <f>'[66]Rev by Industry Vertical (Rep)'!$R$12*1000</f>
        <v>142040.53426130002</v>
      </c>
      <c r="AA85" s="201">
        <f>'[66]Rev by Industry Vertical (Rep)'!$R$19*1000</f>
        <v>539705.41132843459</v>
      </c>
      <c r="AB85" s="201">
        <f>'[67]Rev by Industry Vertical (Rep)'!$R$12*1000</f>
        <v>154216.77565230004</v>
      </c>
      <c r="AC85" s="201">
        <f>'[68]Rev by Industry Vertical (Rep)'!$R$12*1000</f>
        <v>152413.46229310002</v>
      </c>
      <c r="AD85" s="201">
        <f>'[69]Rev by Industry Vertical (Rep)'!$R$12*1000</f>
        <v>147910.47379330007</v>
      </c>
      <c r="AE85" s="201">
        <f>'[70]Rev by Industry Vertical (Rep)'!$R$12*1000</f>
        <v>146088.11682519998</v>
      </c>
      <c r="AF85" s="201">
        <f>'[70]Rev by Industry Vertical (Rep)'!$R$19*1000</f>
        <v>600628.82856390008</v>
      </c>
      <c r="AG85" s="201">
        <f>'[71]Rev by Industry Vertical (Rep)'!$Q$12*1000</f>
        <v>155637.76303360003</v>
      </c>
      <c r="AH85" s="201">
        <f>'[72]Rev by Industry Vertical (Rep)'!$Q$12*1000</f>
        <v>159749.21223940016</v>
      </c>
      <c r="AI85" s="233">
        <f>SUM('[11]Revenues and Margins'!C85:AG85)-SUM(C85:AG85)</f>
        <v>0</v>
      </c>
      <c r="AK85" s="231"/>
      <c r="AL85" s="160"/>
      <c r="AM85" s="153"/>
    </row>
    <row r="86" spans="1:39" x14ac:dyDescent="0.25">
      <c r="A86" s="129"/>
      <c r="B86" s="128" t="s">
        <v>86</v>
      </c>
      <c r="C86" s="147">
        <v>0.3971955953013554</v>
      </c>
      <c r="D86" s="147">
        <f>D85/SUM(D$77,D$81,D$85)</f>
        <v>0.40348769146379171</v>
      </c>
      <c r="E86" s="147">
        <f>E85/SUM(E$77,E$81,E$85)</f>
        <v>0.35852273758187914</v>
      </c>
      <c r="F86" s="147">
        <f>F85/SUM(F$77,F$81,F$85)</f>
        <v>0.35175489439685265</v>
      </c>
      <c r="G86" s="147">
        <f>G85/SUM(G$77,G$81,G$85)</f>
        <v>0.37648366360577817</v>
      </c>
      <c r="H86" s="147">
        <f>+H85/$H$67</f>
        <v>0.35632498398021811</v>
      </c>
      <c r="I86" s="147">
        <f>+I85/$I$67</f>
        <v>0.35315745271724402</v>
      </c>
      <c r="J86" s="147">
        <f>+J85/$J$67</f>
        <v>0.34259265959833796</v>
      </c>
      <c r="K86" s="147">
        <f>+K85/$K$67</f>
        <v>0.33885845124792374</v>
      </c>
      <c r="L86" s="147">
        <f>+L85/$L$67</f>
        <v>0.34753876599241668</v>
      </c>
      <c r="M86" s="147">
        <f>+M85/$M$67</f>
        <v>0.32887665083795031</v>
      </c>
      <c r="N86" s="147">
        <f>+N85/$N$67</f>
        <v>0.30679395354169076</v>
      </c>
      <c r="O86" s="147">
        <f>+O85/$O$67</f>
        <v>0.30351573722952302</v>
      </c>
      <c r="P86" s="147">
        <f>P85/$P$67</f>
        <v>0.31941237622416602</v>
      </c>
      <c r="Q86" s="147">
        <f>+Q85/$Q$67</f>
        <v>0.31491489833189773</v>
      </c>
      <c r="R86" s="147">
        <f>+R85/$R$67</f>
        <v>0.30904451952788936</v>
      </c>
      <c r="S86" s="147">
        <f>+S85/$S$67</f>
        <v>0.31819098802554274</v>
      </c>
      <c r="T86" s="147">
        <f>+T85/T$67</f>
        <v>0.33068590331547065</v>
      </c>
      <c r="U86" s="147">
        <f t="shared" ref="U86:V86" si="93">+U85/U$67</f>
        <v>0.33875663658880983</v>
      </c>
      <c r="V86" s="147">
        <f t="shared" si="93"/>
        <v>0.32470754399403357</v>
      </c>
      <c r="W86" s="147">
        <f>+W85/W$67</f>
        <v>0.37664775087809049</v>
      </c>
      <c r="X86" s="147">
        <f>X85/X$67</f>
        <v>0.38465987711000049</v>
      </c>
      <c r="Y86" s="147">
        <f>Y85/Y$67</f>
        <v>0.38819956992536353</v>
      </c>
      <c r="Z86" s="147">
        <f t="shared" ref="Z86:AC86" si="94">+Z85/Z$67</f>
        <v>0.37907498541858492</v>
      </c>
      <c r="AA86" s="147">
        <f t="shared" si="94"/>
        <v>0.38221571801476056</v>
      </c>
      <c r="AB86" s="147">
        <f t="shared" si="94"/>
        <v>0.38492317512673391</v>
      </c>
      <c r="AC86" s="147">
        <f t="shared" si="94"/>
        <v>0.37633325339781137</v>
      </c>
      <c r="AD86" s="147">
        <f t="shared" ref="AD86:AG86" si="95">+AD85/AD$67</f>
        <v>0.35990489302967865</v>
      </c>
      <c r="AE86" s="147">
        <f t="shared" si="95"/>
        <v>0.35282041845635148</v>
      </c>
      <c r="AF86" s="147">
        <f t="shared" si="95"/>
        <v>0.36833299516756329</v>
      </c>
      <c r="AG86" s="147">
        <f t="shared" si="95"/>
        <v>0.356552731190107</v>
      </c>
      <c r="AH86" s="147">
        <f t="shared" ref="AH86" si="96">+AH85/AH$67</f>
        <v>0.35629198520717487</v>
      </c>
      <c r="AI86" s="232">
        <f>SUM('[11]Revenues and Margins'!C86:AG86)-SUM(C86:AG86)</f>
        <v>0</v>
      </c>
    </row>
    <row r="87" spans="1:39" x14ac:dyDescent="0.25">
      <c r="A87" s="129"/>
      <c r="B87" s="128" t="s">
        <v>84</v>
      </c>
      <c r="C87" s="147">
        <v>1.0205141430092546E-2</v>
      </c>
      <c r="D87" s="147">
        <f>D85/C85-1</f>
        <v>3.1250214855197855E-2</v>
      </c>
      <c r="E87" s="147">
        <f t="shared" ref="E87:F87" si="97">E85/D85-1</f>
        <v>-2.2584038056881695E-2</v>
      </c>
      <c r="F87" s="147">
        <f t="shared" si="97"/>
        <v>-2.8332364302799951E-3</v>
      </c>
      <c r="G87" s="202" t="s">
        <v>53</v>
      </c>
      <c r="H87" s="147">
        <f>H85/F85-1</f>
        <v>3.3129643471420334E-2</v>
      </c>
      <c r="I87" s="147">
        <f>I85/H85-1</f>
        <v>7.3937388397962156E-3</v>
      </c>
      <c r="J87" s="147">
        <f>J85/I85-1</f>
        <v>1.4888391571103998E-3</v>
      </c>
      <c r="K87" s="147">
        <f>K85/J85-1</f>
        <v>1.0661174255658823E-2</v>
      </c>
      <c r="L87" s="202" t="s">
        <v>53</v>
      </c>
      <c r="M87" s="147">
        <f>M85/K85-1</f>
        <v>-7.0572742679034128E-2</v>
      </c>
      <c r="N87" s="147">
        <f>N85/M85-1</f>
        <v>-0.15632804311324755</v>
      </c>
      <c r="O87" s="147">
        <f>O85/N85-1</f>
        <v>7.1782712908277313E-2</v>
      </c>
      <c r="P87" s="147">
        <f>P85/O85-1</f>
        <v>8.7021163814795965E-2</v>
      </c>
      <c r="Q87" s="199" t="s">
        <v>53</v>
      </c>
      <c r="R87" s="147">
        <f>R85/P85-1</f>
        <v>1.5974237090754295E-2</v>
      </c>
      <c r="S87" s="147">
        <f>S85/R85-1</f>
        <v>8.3353221821046208E-2</v>
      </c>
      <c r="T87" s="147">
        <f>T85/S85-1</f>
        <v>9.6928921614469532E-2</v>
      </c>
      <c r="U87" s="147">
        <f>U85/T85-1</f>
        <v>4.2627111874271151E-2</v>
      </c>
      <c r="V87" s="199" t="s">
        <v>53</v>
      </c>
      <c r="W87" s="147">
        <f>W85/U85-1</f>
        <v>0.23872992192376419</v>
      </c>
      <c r="X87" s="147">
        <f>X85/W85-1</f>
        <v>7.579043039776745E-2</v>
      </c>
      <c r="Y87" s="147">
        <f>Y85/X85-1</f>
        <v>5.1600721315570031E-2</v>
      </c>
      <c r="Z87" s="147">
        <f>Z85/Y85-1</f>
        <v>1.2576831824650414E-2</v>
      </c>
      <c r="AA87" s="202" t="s">
        <v>53</v>
      </c>
      <c r="AB87" s="202">
        <f>AB85/Z85-1</f>
        <v>8.5723708759081418E-2</v>
      </c>
      <c r="AC87" s="202">
        <f>AC85/AB85-1</f>
        <v>-1.1693367025555013E-2</v>
      </c>
      <c r="AD87" s="202">
        <f>AD85/AC85-1</f>
        <v>-2.9544558807675592E-2</v>
      </c>
      <c r="AE87" s="147">
        <f>AE85/AD85-1</f>
        <v>-1.2320675617919941E-2</v>
      </c>
      <c r="AF87" s="202" t="s">
        <v>53</v>
      </c>
      <c r="AG87" s="202">
        <f>AG85/AE85-1</f>
        <v>6.536908282435161E-2</v>
      </c>
      <c r="AH87" s="202">
        <f>AH85/AG85-1</f>
        <v>2.6416784240933522E-2</v>
      </c>
      <c r="AI87" s="232">
        <f>SUM('[11]Revenues and Margins'!C87:AG87)-SUM(C87:AG87)</f>
        <v>0</v>
      </c>
    </row>
    <row r="88" spans="1:39" x14ac:dyDescent="0.25">
      <c r="A88" s="129"/>
      <c r="B88" s="128" t="s">
        <v>85</v>
      </c>
      <c r="C88" s="147">
        <v>6.4510131661843939E-2</v>
      </c>
      <c r="D88" s="147">
        <v>4.3001169285445728E-2</v>
      </c>
      <c r="E88" s="147">
        <v>2.0919350050641494E-2</v>
      </c>
      <c r="F88" s="147">
        <v>1.5361865479404102E-2</v>
      </c>
      <c r="G88" s="147">
        <v>3.5583557080323125E-2</v>
      </c>
      <c r="H88" s="147">
        <v>3.840338863470838E-2</v>
      </c>
      <c r="I88" s="147">
        <v>1.4381434332614962E-2</v>
      </c>
      <c r="J88" s="147">
        <v>3.9364737928656801E-2</v>
      </c>
      <c r="K88" s="147">
        <v>5.3430203343772353E-2</v>
      </c>
      <c r="L88" s="147">
        <v>3.6255307511579682E-2</v>
      </c>
      <c r="M88" s="147">
        <f t="shared" ref="M88:T88" si="98">M85/H85-1</f>
        <v>-5.2309890767397782E-2</v>
      </c>
      <c r="N88" s="147">
        <f t="shared" si="98"/>
        <v>-0.20632862985697109</v>
      </c>
      <c r="O88" s="147">
        <f t="shared" si="98"/>
        <v>-0.15062133396767796</v>
      </c>
      <c r="P88" s="147">
        <f t="shared" si="98"/>
        <v>-8.6446962059357979E-2</v>
      </c>
      <c r="Q88" s="147">
        <f t="shared" si="98"/>
        <v>-0.12395401089558755</v>
      </c>
      <c r="R88" s="147">
        <f t="shared" si="98"/>
        <v>-1.3781676265588461E-3</v>
      </c>
      <c r="S88" s="147">
        <f t="shared" si="98"/>
        <v>0.28232326634962934</v>
      </c>
      <c r="T88" s="147">
        <f t="shared" si="98"/>
        <v>0.31240918590783462</v>
      </c>
      <c r="U88" s="147">
        <f t="shared" ref="U88" si="99">U85/P85-1</f>
        <v>0.25881026483260405</v>
      </c>
      <c r="V88" s="147">
        <f t="shared" ref="V88:Y88" si="100">V85/Q85-1</f>
        <v>0.20737787723209</v>
      </c>
      <c r="W88" s="147">
        <f t="shared" si="100"/>
        <v>0.53480854547853474</v>
      </c>
      <c r="X88" s="147">
        <f t="shared" si="100"/>
        <v>0.52409418503697114</v>
      </c>
      <c r="Y88" s="147">
        <f t="shared" si="100"/>
        <v>0.46111430992157687</v>
      </c>
      <c r="Z88" s="147">
        <f t="shared" ref="Z88" si="101">Z85/U85-1</f>
        <v>0.41900251971623437</v>
      </c>
      <c r="AA88" s="147">
        <f>AA85/V85-1</f>
        <v>0.48101050689351599</v>
      </c>
      <c r="AB88" s="147">
        <f>AB85/W85-1</f>
        <v>0.24372928366188962</v>
      </c>
      <c r="AC88" s="147">
        <f t="shared" ref="AC88:AD88" si="102">AC85/X85-1</f>
        <v>0.14258861757407137</v>
      </c>
      <c r="AD88" s="147">
        <f t="shared" si="102"/>
        <v>5.4422385315604282E-2</v>
      </c>
      <c r="AE88" s="147">
        <f t="shared" ref="AE88" si="103">AE85/Z85-1</f>
        <v>2.8495968316015752E-2</v>
      </c>
      <c r="AF88" s="147">
        <f>AF85/AA85-1</f>
        <v>0.11288272445797443</v>
      </c>
      <c r="AG88" s="147">
        <f t="shared" ref="AG88:AH88" si="104">AG85/AB85-1</f>
        <v>9.2142205365761676E-3</v>
      </c>
      <c r="AH88" s="147">
        <f t="shared" si="104"/>
        <v>4.8130590539259943E-2</v>
      </c>
      <c r="AI88" s="232">
        <f>SUM('[11]Revenues and Margins'!C88:AG88)-SUM(C88:AG88)</f>
        <v>0</v>
      </c>
    </row>
    <row r="89" spans="1:39" hidden="1" x14ac:dyDescent="0.25">
      <c r="A89" s="129"/>
      <c r="B89" s="119" t="s">
        <v>55</v>
      </c>
      <c r="C89" s="145"/>
      <c r="D89" s="145"/>
      <c r="E89" s="145"/>
      <c r="F89" s="145"/>
      <c r="G89" s="145"/>
      <c r="H89" s="145"/>
      <c r="I89" s="145"/>
      <c r="J89" s="145"/>
      <c r="K89" s="145"/>
      <c r="L89" s="145"/>
      <c r="M89" s="181"/>
      <c r="N89" s="181"/>
      <c r="O89" s="181"/>
      <c r="P89" s="181"/>
      <c r="Q89" s="181"/>
      <c r="R89" s="181"/>
      <c r="S89" s="181"/>
      <c r="T89" s="181"/>
      <c r="U89" s="181"/>
      <c r="V89" s="181"/>
      <c r="W89" s="181"/>
      <c r="X89" s="181"/>
      <c r="Y89" s="181"/>
      <c r="Z89" s="181"/>
      <c r="AA89" s="181"/>
      <c r="AB89" s="181"/>
      <c r="AC89" s="181"/>
      <c r="AD89" s="181"/>
      <c r="AE89" s="181"/>
      <c r="AF89" s="181"/>
      <c r="AG89" s="181"/>
      <c r="AH89" s="181"/>
      <c r="AI89" s="153">
        <f>SUM('[41]Revenues and Margins'!W89:AC89)-SUM(W89:AC89)</f>
        <v>0</v>
      </c>
    </row>
    <row r="90" spans="1:39" hidden="1" x14ac:dyDescent="0.25">
      <c r="B90" s="119"/>
      <c r="C90" s="146"/>
      <c r="D90" s="146"/>
      <c r="E90" s="146"/>
      <c r="F90" s="146"/>
      <c r="G90" s="146"/>
      <c r="H90" s="146"/>
      <c r="I90" s="146"/>
      <c r="J90" s="146"/>
      <c r="K90" s="146"/>
      <c r="L90" s="146"/>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234">
        <f>SUM('[41]Revenues and Margins'!W90:AC90)-SUM(W90:AC90)</f>
        <v>0</v>
      </c>
    </row>
    <row r="91" spans="1:39" hidden="1" x14ac:dyDescent="0.25">
      <c r="B91" s="119" t="s">
        <v>56</v>
      </c>
      <c r="C91" s="145"/>
      <c r="D91" s="145"/>
      <c r="E91" s="145"/>
      <c r="F91" s="145"/>
      <c r="G91" s="145"/>
      <c r="H91" s="145"/>
      <c r="I91" s="145"/>
      <c r="J91" s="145"/>
      <c r="K91" s="145"/>
      <c r="L91" s="145"/>
      <c r="M91" s="181"/>
      <c r="N91" s="181"/>
      <c r="O91" s="181"/>
      <c r="P91" s="181"/>
      <c r="Q91" s="181"/>
      <c r="R91" s="181"/>
      <c r="S91" s="181"/>
      <c r="T91" s="181"/>
      <c r="U91" s="181"/>
      <c r="V91" s="181"/>
      <c r="W91" s="181"/>
      <c r="X91" s="181"/>
      <c r="Y91" s="181"/>
      <c r="Z91" s="181"/>
      <c r="AA91" s="181"/>
      <c r="AB91" s="181"/>
      <c r="AC91" s="181"/>
      <c r="AD91" s="181"/>
      <c r="AE91" s="181"/>
      <c r="AF91" s="181"/>
      <c r="AG91" s="181"/>
      <c r="AH91" s="181"/>
      <c r="AI91" s="153">
        <f>SUM('[41]Revenues and Margins'!W91:AC91)-SUM(W91:AC91)</f>
        <v>0</v>
      </c>
    </row>
    <row r="92" spans="1:39" hidden="1" x14ac:dyDescent="0.25">
      <c r="B92" s="119"/>
      <c r="C92" s="146"/>
      <c r="D92" s="146"/>
      <c r="E92" s="146"/>
      <c r="F92" s="146"/>
      <c r="G92" s="146"/>
      <c r="H92" s="146"/>
      <c r="I92" s="146"/>
      <c r="J92" s="146"/>
      <c r="K92" s="146"/>
      <c r="L92" s="146"/>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234">
        <f>SUM('[41]Revenues and Margins'!W92:AC92)-SUM(W92:AC92)</f>
        <v>0</v>
      </c>
    </row>
    <row r="93" spans="1:39" hidden="1" x14ac:dyDescent="0.25">
      <c r="B93" s="119" t="s">
        <v>100</v>
      </c>
      <c r="C93" s="145"/>
      <c r="D93" s="145"/>
      <c r="E93" s="145"/>
      <c r="F93" s="145"/>
      <c r="G93" s="145"/>
      <c r="H93" s="145"/>
      <c r="I93" s="145"/>
      <c r="J93" s="145"/>
      <c r="K93" s="145"/>
      <c r="L93" s="145"/>
      <c r="M93" s="181"/>
      <c r="N93" s="181"/>
      <c r="O93" s="181"/>
      <c r="P93" s="181"/>
      <c r="Q93" s="181"/>
      <c r="R93" s="181"/>
      <c r="S93" s="181"/>
      <c r="T93" s="181"/>
      <c r="U93" s="181"/>
      <c r="V93" s="181"/>
      <c r="W93" s="181"/>
      <c r="X93" s="181"/>
      <c r="Y93" s="181"/>
      <c r="Z93" s="181"/>
      <c r="AA93" s="181"/>
      <c r="AB93" s="181"/>
      <c r="AC93" s="181"/>
      <c r="AD93" s="181"/>
      <c r="AE93" s="181"/>
      <c r="AF93" s="181"/>
      <c r="AG93" s="181"/>
      <c r="AH93" s="181"/>
      <c r="AI93" s="153">
        <f>SUM('[41]Revenues and Margins'!W93:AC93)-SUM(W93:AC93)</f>
        <v>0</v>
      </c>
    </row>
    <row r="94" spans="1:39" hidden="1" x14ac:dyDescent="0.25">
      <c r="B94" s="119"/>
      <c r="C94" s="146"/>
      <c r="D94" s="146"/>
      <c r="E94" s="146"/>
      <c r="F94" s="146"/>
      <c r="G94" s="146"/>
      <c r="H94" s="146"/>
      <c r="I94" s="146"/>
      <c r="J94" s="146"/>
      <c r="K94" s="146"/>
      <c r="L94" s="146"/>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234">
        <f>SUM('[41]Revenues and Margins'!W94:AC94)-SUM(W94:AC94)</f>
        <v>0</v>
      </c>
    </row>
    <row r="95" spans="1:39" hidden="1" x14ac:dyDescent="0.25">
      <c r="B95" s="119" t="s">
        <v>57</v>
      </c>
      <c r="C95" s="145"/>
      <c r="D95" s="145"/>
      <c r="E95" s="145"/>
      <c r="F95" s="145"/>
      <c r="G95" s="145"/>
      <c r="H95" s="145"/>
      <c r="I95" s="145"/>
      <c r="J95" s="145"/>
      <c r="K95" s="145"/>
      <c r="L95" s="145"/>
      <c r="M95" s="181"/>
      <c r="N95" s="181"/>
      <c r="O95" s="181"/>
      <c r="P95" s="181"/>
      <c r="Q95" s="181"/>
      <c r="R95" s="181"/>
      <c r="S95" s="181"/>
      <c r="T95" s="181"/>
      <c r="U95" s="181"/>
      <c r="V95" s="181"/>
      <c r="W95" s="181"/>
      <c r="X95" s="181"/>
      <c r="Y95" s="181"/>
      <c r="Z95" s="181"/>
      <c r="AA95" s="181"/>
      <c r="AB95" s="181"/>
      <c r="AC95" s="181"/>
      <c r="AD95" s="181"/>
      <c r="AE95" s="181"/>
      <c r="AF95" s="181"/>
      <c r="AG95" s="181"/>
      <c r="AH95" s="181"/>
      <c r="AI95" s="153">
        <f>SUM('[41]Revenues and Margins'!W95:AC95)-SUM(W95:AC95)</f>
        <v>0</v>
      </c>
    </row>
    <row r="96" spans="1:39" hidden="1" x14ac:dyDescent="0.25">
      <c r="B96" s="119"/>
      <c r="C96" s="146"/>
      <c r="D96" s="146"/>
      <c r="E96" s="146"/>
      <c r="F96" s="146"/>
      <c r="G96" s="146"/>
      <c r="H96" s="146"/>
      <c r="I96" s="146"/>
      <c r="J96" s="146"/>
      <c r="K96" s="146"/>
      <c r="L96" s="146"/>
      <c r="M96" s="147"/>
      <c r="N96" s="147"/>
      <c r="O96" s="147"/>
      <c r="P96" s="147"/>
      <c r="Q96" s="147"/>
      <c r="R96" s="147"/>
      <c r="S96" s="147"/>
      <c r="T96" s="147"/>
      <c r="U96" s="147"/>
      <c r="V96" s="147"/>
      <c r="W96" s="147"/>
      <c r="X96" s="147"/>
      <c r="Y96" s="147"/>
      <c r="Z96" s="147"/>
      <c r="AA96" s="147"/>
      <c r="AB96" s="147"/>
      <c r="AC96" s="147"/>
      <c r="AD96" s="147"/>
      <c r="AE96" s="147"/>
      <c r="AF96" s="147"/>
      <c r="AG96" s="147"/>
      <c r="AH96" s="147"/>
      <c r="AI96" s="234">
        <f>SUM('[41]Revenues and Margins'!W96:AC96)-SUM(W96:AC96)</f>
        <v>0</v>
      </c>
    </row>
    <row r="97" spans="1:35" x14ac:dyDescent="0.25">
      <c r="B97" s="119"/>
      <c r="C97" s="113"/>
      <c r="D97" s="113"/>
      <c r="E97" s="113"/>
      <c r="F97" s="113"/>
      <c r="G97" s="113"/>
      <c r="H97" s="189"/>
      <c r="AI97" s="153"/>
    </row>
    <row r="98" spans="1:35" x14ac:dyDescent="0.25">
      <c r="A98" s="116"/>
      <c r="B98" s="117" t="s">
        <v>58</v>
      </c>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53"/>
    </row>
    <row r="99" spans="1:35" x14ac:dyDescent="0.25">
      <c r="B99" s="119" t="s">
        <v>59</v>
      </c>
      <c r="C99" s="196">
        <v>0.82715136756968299</v>
      </c>
      <c r="D99" s="196">
        <v>0.82854382424611639</v>
      </c>
      <c r="E99" s="196">
        <v>0.82929942368598675</v>
      </c>
      <c r="F99" s="196">
        <v>0.82836862801966649</v>
      </c>
      <c r="G99" s="196">
        <v>0.82955389576860017</v>
      </c>
      <c r="H99" s="196">
        <v>0.81855634816945144</v>
      </c>
      <c r="I99" s="196">
        <v>0.81270507455576591</v>
      </c>
      <c r="J99" s="196">
        <v>0.83038839740325865</v>
      </c>
      <c r="K99" s="196">
        <v>0.83745990220810362</v>
      </c>
      <c r="L99" s="196">
        <v>0.8250177032035233</v>
      </c>
      <c r="M99" s="206">
        <v>0.84507458179113126</v>
      </c>
      <c r="N99" s="206">
        <v>0.84968513033042214</v>
      </c>
      <c r="O99" s="206">
        <f>'[78]Leadsheet Q3_2020'!$C$10</f>
        <v>0.84610925274915805</v>
      </c>
      <c r="P99" s="206">
        <f>[79]Sheet1!$C$25</f>
        <v>0.85892786847547209</v>
      </c>
      <c r="Q99" s="206">
        <f>[79]Sheet1!$C$31</f>
        <v>0.85000351799429719</v>
      </c>
      <c r="R99" s="206">
        <f>'[80]Leadsheet Q1''21'!$C$9</f>
        <v>0.85828202509147322</v>
      </c>
      <c r="S99" s="206">
        <f>'[81]Leadsheet Q2''21'!$C$9</f>
        <v>0.85539427073740448</v>
      </c>
      <c r="T99" s="206">
        <f>'[82]LeadSheet Q3''21'!$C$9</f>
        <v>0.86016039054776272</v>
      </c>
      <c r="U99" s="206">
        <f>'[83]LeadSheet Q4''21'!$C$9</f>
        <v>0.86123715176185733</v>
      </c>
      <c r="V99" s="206">
        <f>'[3]Segment Information '!$E$69</f>
        <v>0.85900829818951019</v>
      </c>
      <c r="W99" s="206">
        <f>'[84]LeadSheet Q1''22'!$C$10</f>
        <v>0.85775195649255742</v>
      </c>
      <c r="X99" s="206">
        <f>'[85]LeadSheet Q2''22'!$C$10</f>
        <v>0.86082951267316399</v>
      </c>
      <c r="Y99" s="206">
        <f>'[86]LeadSheet Q3''22'!$C$10</f>
        <v>0.85969496377656596</v>
      </c>
      <c r="Z99" s="206">
        <f>'[87]LeadSheet Q4''22'!$C$10</f>
        <v>0.85915004044672627</v>
      </c>
      <c r="AA99" s="206">
        <f>'[4]Segment Information '!$E$69</f>
        <v>0.8593761950760741</v>
      </c>
      <c r="AB99" s="206">
        <f>'[5]Segment Information '!$E$69</f>
        <v>0.84632203732500011</v>
      </c>
      <c r="AC99" s="206">
        <f>'[6]Segment Information '!$F$70</f>
        <v>0.84118114746812311</v>
      </c>
      <c r="AD99" s="206">
        <f>'[7]Segment Information '!$F$70</f>
        <v>0.83493725834669597</v>
      </c>
      <c r="AE99" s="206">
        <f>'[88]LeadSheet Q4''23'!$C$10</f>
        <v>0.84003506026047547</v>
      </c>
      <c r="AF99" s="206">
        <f>'[88]LeadSheet Q4''23'!$I$10</f>
        <v>0.84057982258878183</v>
      </c>
      <c r="AG99" s="206">
        <f>'[89]LeadSheet Q1''24'!$C$10</f>
        <v>0.83001082194935982</v>
      </c>
      <c r="AH99" s="206">
        <f>'[90]LeadSheet Q2''24'!$C$10</f>
        <v>0.82689024038328585</v>
      </c>
      <c r="AI99" s="232">
        <f>SUM('[11]Revenues and Margins'!C99:AG99)-SUM(C99:AG99)</f>
        <v>0</v>
      </c>
    </row>
    <row r="100" spans="1:35" x14ac:dyDescent="0.25">
      <c r="B100" s="119" t="s">
        <v>60</v>
      </c>
      <c r="C100" s="196">
        <v>0.13536065090615684</v>
      </c>
      <c r="D100" s="196">
        <v>0.13078738958269875</v>
      </c>
      <c r="E100" s="196">
        <v>0.12937211193991105</v>
      </c>
      <c r="F100" s="196">
        <v>0.13174300264266617</v>
      </c>
      <c r="G100" s="196">
        <v>0.12967211406933662</v>
      </c>
      <c r="H100" s="196">
        <v>0.12147028254436018</v>
      </c>
      <c r="I100" s="196">
        <v>0.12383525865573757</v>
      </c>
      <c r="J100" s="196">
        <v>0.11091840631364562</v>
      </c>
      <c r="K100" s="196">
        <v>0.10081285620853966</v>
      </c>
      <c r="L100" s="196">
        <v>0.114022752903628</v>
      </c>
      <c r="M100" s="206">
        <v>9.4629318894951228E-2</v>
      </c>
      <c r="N100" s="206">
        <v>8.4639484341920146E-2</v>
      </c>
      <c r="O100" s="206">
        <f>'[78]Leadsheet Q3_2020'!$D$10</f>
        <v>9.5027448940333908E-2</v>
      </c>
      <c r="P100" s="206">
        <f>[79]Sheet1!$D$25</f>
        <v>9.4985781730874436E-2</v>
      </c>
      <c r="Q100" s="206">
        <f>[79]Sheet1!$D$31</f>
        <v>9.2503463849838291E-2</v>
      </c>
      <c r="R100" s="206">
        <f>'[80]Leadsheet Q1''21'!$D$9</f>
        <v>9.4679987238737287E-2</v>
      </c>
      <c r="S100" s="206">
        <f>'[81]Leadsheet Q2''21'!$D$9</f>
        <v>9.5157845905182364E-2</v>
      </c>
      <c r="T100" s="206">
        <f>'[82]LeadSheet Q3''21'!$D$9</f>
        <v>9.4491814778412342E-2</v>
      </c>
      <c r="U100" s="206">
        <f>'[83]LeadSheet Q4''21'!$D$9</f>
        <v>9.3090449127121971E-2</v>
      </c>
      <c r="V100" s="206">
        <f>'[3]Segment Information '!$E$71</f>
        <v>9.4212473926149412E-2</v>
      </c>
      <c r="W100" s="206">
        <f>'[84]LeadSheet Q1''22'!$D$10</f>
        <v>9.9550595682622325E-2</v>
      </c>
      <c r="X100" s="206">
        <f>'[85]LeadSheet Q2''22'!$D$10</f>
        <v>9.2536940797546763E-2</v>
      </c>
      <c r="Y100" s="206">
        <f>'[86]LeadSheet Q3''22'!$D$10</f>
        <v>9.4454488940220349E-2</v>
      </c>
      <c r="Z100" s="206">
        <f>'[87]LeadSheet Q4''22'!$D$10</f>
        <v>9.5104275923194911E-2</v>
      </c>
      <c r="AA100" s="206">
        <f>'[4]Segment Information '!$E$71</f>
        <v>9.5344054434564368E-2</v>
      </c>
      <c r="AB100" s="206">
        <f>'[5]Segment Information '!$E$71</f>
        <v>0.10376819263034671</v>
      </c>
      <c r="AC100" s="206">
        <f>'[6]Segment Information '!$F$72</f>
        <v>0.107773903939792</v>
      </c>
      <c r="AD100" s="206">
        <f>'[7]Segment Information '!$F$72</f>
        <v>0.11272571543977555</v>
      </c>
      <c r="AE100" s="206">
        <f>'[88]LeadSheet Q4''23'!$D$10</f>
        <v>0.11092595693754125</v>
      </c>
      <c r="AF100" s="206">
        <f>'[88]LeadSheet Q4''23'!$J$10</f>
        <v>0.10883835725674143</v>
      </c>
      <c r="AG100" s="206">
        <f>'[89]LeadSheet Q1''24'!$D$10</f>
        <v>0.11546664829273695</v>
      </c>
      <c r="AH100" s="206">
        <f>'[90]LeadSheet Q2''24'!$D$10</f>
        <v>0.11813254007000418</v>
      </c>
      <c r="AI100" s="232">
        <f>SUM('[11]Revenues and Margins'!C100:AG100)-SUM(C100:AG100)</f>
        <v>0</v>
      </c>
    </row>
    <row r="101" spans="1:35" x14ac:dyDescent="0.25">
      <c r="B101" s="119" t="s">
        <v>92</v>
      </c>
      <c r="C101" s="196">
        <v>3.7999999999999999E-2</v>
      </c>
      <c r="D101" s="196">
        <v>0.04</v>
      </c>
      <c r="E101" s="196">
        <v>4.2000000000000003E-2</v>
      </c>
      <c r="F101" s="196">
        <v>3.9888369337667325E-2</v>
      </c>
      <c r="G101" s="196">
        <v>0.04</v>
      </c>
      <c r="H101" s="196">
        <v>5.9973369286188342E-2</v>
      </c>
      <c r="I101" s="196">
        <v>6.345966678849653E-2</v>
      </c>
      <c r="J101" s="196">
        <v>5.8693196283095724E-2</v>
      </c>
      <c r="K101" s="196">
        <v>6.1727241583356691E-2</v>
      </c>
      <c r="L101" s="196">
        <v>6.095954389284871E-2</v>
      </c>
      <c r="M101" s="206">
        <v>6.0296099313917398E-2</v>
      </c>
      <c r="N101" s="206">
        <v>6.5000000000000002E-2</v>
      </c>
      <c r="O101" s="206">
        <f>'[78]Leadsheet Q3_2020'!$E$10</f>
        <v>5.8863298310508079E-2</v>
      </c>
      <c r="P101" s="206">
        <f>[79]Sheet1!$E$25</f>
        <v>4.6086349793653482E-2</v>
      </c>
      <c r="Q101" s="206">
        <f>[79]Sheet1!$E$31</f>
        <v>5.749301815586453E-2</v>
      </c>
      <c r="R101" s="206">
        <f>'[80]Leadsheet Q1''21'!$E$9</f>
        <v>4.7037987669789338E-2</v>
      </c>
      <c r="S101" s="206">
        <f>'[81]Leadsheet Q2''21'!$E$9</f>
        <v>5.0447883357413167E-2</v>
      </c>
      <c r="T101" s="206">
        <f>'[82]LeadSheet Q3''21'!$E$9</f>
        <v>4.5347794673824958E-2</v>
      </c>
      <c r="U101" s="206">
        <f>'[83]LeadSheet Q4''21'!$E$9</f>
        <v>4.5672399111020612E-2</v>
      </c>
      <c r="V101" s="206">
        <f>'[3]Segment Information '!$E$72</f>
        <v>4.6779227884340364E-2</v>
      </c>
      <c r="W101" s="206">
        <f>'[84]LeadSheet Q1''22'!$E$10</f>
        <v>4.2697447824820427E-2</v>
      </c>
      <c r="X101" s="206">
        <f>'[85]LeadSheet Q2''22'!$E$10</f>
        <v>4.6633546529289263E-2</v>
      </c>
      <c r="Y101" s="206">
        <f>'[86]LeadSheet Q3''22'!$E$10</f>
        <v>4.5850547283213784E-2</v>
      </c>
      <c r="Z101" s="206">
        <f>'[87]LeadSheet Q4''22'!$E$10</f>
        <v>4.5745683630078825E-2</v>
      </c>
      <c r="AA101" s="206">
        <f>'[4]Segment Information '!$E$72</f>
        <v>4.5279750489361524E-2</v>
      </c>
      <c r="AB101" s="206">
        <f>'[5]Segment Information '!$E$72</f>
        <v>4.9909770044653218E-2</v>
      </c>
      <c r="AC101" s="206">
        <f>'[6]Segment Information '!$F$73</f>
        <v>5.104494859208486E-2</v>
      </c>
      <c r="AD101" s="206">
        <f>'[7]Segment Information '!$F$73</f>
        <v>5.2337026213528447E-2</v>
      </c>
      <c r="AE101" s="206">
        <f>'[88]LeadSheet Q4''23'!$E$10</f>
        <v>4.903898280198337E-2</v>
      </c>
      <c r="AF101" s="206">
        <f>'[88]LeadSheet Q4''23'!$K$10</f>
        <v>5.058182015447673E-2</v>
      </c>
      <c r="AG101" s="206">
        <f>'[89]LeadSheet Q1''24'!$E$10</f>
        <v>5.4522529757903282E-2</v>
      </c>
      <c r="AH101" s="206">
        <f>'[90]LeadSheet Q2''24'!$E$10</f>
        <v>5.4977219546710046E-2</v>
      </c>
      <c r="AI101" s="232">
        <f>SUM('[11]Revenues and Margins'!C101:AG101)-SUM(C101:AG101)</f>
        <v>0</v>
      </c>
    </row>
    <row r="102" spans="1:35" x14ac:dyDescent="0.25">
      <c r="B102" s="112"/>
    </row>
    <row r="104" spans="1:35" x14ac:dyDescent="0.25">
      <c r="B104" s="112" t="s">
        <v>203</v>
      </c>
    </row>
    <row r="105" spans="1:35" x14ac:dyDescent="0.25">
      <c r="B105" s="112" t="s">
        <v>207</v>
      </c>
    </row>
    <row r="107" spans="1:35" x14ac:dyDescent="0.25">
      <c r="M107" s="197">
        <f>ROUND(M17+M61-'Income Statement'!L8,0)</f>
        <v>0</v>
      </c>
      <c r="N107" s="197">
        <f>ROUND(N17+N61-'Income Statement'!M8,0)</f>
        <v>0</v>
      </c>
      <c r="O107" s="197">
        <f>ROUND(O17+O61-'Income Statement'!N8,0)</f>
        <v>0</v>
      </c>
      <c r="P107" s="197">
        <f>ROUND(P17+P61-'Income Statement'!O8,0)</f>
        <v>0</v>
      </c>
      <c r="Q107" s="197">
        <f>ROUND(Q17+Q61-'Income Statement'!P8,0)</f>
        <v>0</v>
      </c>
      <c r="R107" s="197">
        <f>ROUND(R17+R61-'Income Statement'!Q8,0)</f>
        <v>0</v>
      </c>
      <c r="S107" s="197">
        <f>ROUND(S17+S61-'Income Statement'!R8,0)</f>
        <v>0</v>
      </c>
      <c r="T107" s="197">
        <f>ROUND(T17+T61-'Income Statement'!S8,0)</f>
        <v>0</v>
      </c>
      <c r="U107" s="197">
        <f>ROUND(U17+U61-'Income Statement'!T8,0)</f>
        <v>0</v>
      </c>
      <c r="V107" s="197">
        <f>ROUND(V17+V61-'Income Statement'!U8,0)</f>
        <v>0</v>
      </c>
      <c r="W107" s="197">
        <f>ROUND(W17+W61-'Income Statement'!V8,0)</f>
        <v>0</v>
      </c>
      <c r="X107" s="197">
        <f>ROUND(X17+X61-'Income Statement'!W8,0)</f>
        <v>0</v>
      </c>
      <c r="Y107" s="197">
        <f>ROUND(Y17+Y61-'Income Statement'!X8,0)</f>
        <v>0</v>
      </c>
      <c r="Z107" s="197">
        <f>ROUND(Z17+Z61-'Income Statement'!Y8,0)</f>
        <v>0</v>
      </c>
      <c r="AA107" s="197">
        <f>ROUND(AA17+AA61-'Income Statement'!Z8,0)</f>
        <v>0</v>
      </c>
      <c r="AB107" s="197">
        <f>ROUND(AB17+AB61-'Income Statement'!AA8,0)</f>
        <v>0</v>
      </c>
      <c r="AC107" s="197">
        <f>ROUND(AC17+AC61-'Income Statement'!AB8,0)</f>
        <v>0</v>
      </c>
      <c r="AD107" s="197">
        <f>ROUND(AD17+AD61-'Income Statement'!AC8,0)</f>
        <v>0</v>
      </c>
      <c r="AE107" s="197">
        <f>ROUND(AE17+AE61-'Income Statement'!AD8,0)</f>
        <v>0</v>
      </c>
      <c r="AF107" s="197">
        <f>ROUND(AF17+AF61-'Income Statement'!AE8,0)</f>
        <v>0</v>
      </c>
      <c r="AG107" s="197">
        <f>ROUND(AG17+AG61-'Income Statement'!AF8,0)</f>
        <v>0</v>
      </c>
      <c r="AH107" s="197">
        <f>ROUND(AH17+AH61-'Income Statement'!AG8,0)</f>
        <v>0</v>
      </c>
    </row>
    <row r="108" spans="1:35" x14ac:dyDescent="0.25">
      <c r="C108" s="160">
        <f>C20+C64-'Income Statement'!B13</f>
        <v>0</v>
      </c>
      <c r="D108" s="160">
        <f>D20+D64-'Income Statement'!C13</f>
        <v>0</v>
      </c>
      <c r="E108" s="160">
        <f>E20+E64-'Income Statement'!D13</f>
        <v>0</v>
      </c>
      <c r="F108" s="160">
        <f>F20+F64-'Income Statement'!E13</f>
        <v>0</v>
      </c>
      <c r="G108" s="160">
        <f>G20+G64-'Income Statement'!F13</f>
        <v>0</v>
      </c>
      <c r="H108" s="160">
        <f>H20+H64-'Income Statement'!G13</f>
        <v>0</v>
      </c>
      <c r="I108" s="160">
        <f>I20+I64-'Income Statement'!H13</f>
        <v>0</v>
      </c>
      <c r="J108" s="160">
        <f>J20+J64-'Income Statement'!I13</f>
        <v>0</v>
      </c>
      <c r="K108" s="160">
        <f>K20+K64-'Income Statement'!J13</f>
        <v>0</v>
      </c>
      <c r="L108" s="160">
        <f>L20+L64-'Income Statement'!K13</f>
        <v>0</v>
      </c>
      <c r="M108" s="160">
        <f>M20+M64-'Income Statement'!L13</f>
        <v>0</v>
      </c>
      <c r="N108" s="160">
        <f>N20+N64-'Income Statement'!M13</f>
        <v>0</v>
      </c>
      <c r="O108" s="160">
        <f>ROUND(O20+O64-'Income Statement'!N13,0)</f>
        <v>0</v>
      </c>
      <c r="P108" s="160">
        <f>ROUND(P20+P64-'Income Statement'!O13,0)</f>
        <v>0</v>
      </c>
      <c r="Q108" s="160">
        <f>ROUND(Q20+Q64-'Income Statement'!P13,0)</f>
        <v>0</v>
      </c>
      <c r="R108" s="160">
        <f>R20+R64-'Income Statement'!Q13</f>
        <v>0</v>
      </c>
      <c r="S108" s="160">
        <f>S20+S64-'Income Statement'!R13</f>
        <v>0</v>
      </c>
      <c r="T108" s="160">
        <f>T20+T64-'Income Statement'!S13</f>
        <v>0</v>
      </c>
      <c r="U108" s="160">
        <f>U20+U64-'Income Statement'!T13</f>
        <v>0</v>
      </c>
      <c r="V108" s="160">
        <f>V20+V64-'Income Statement'!U13</f>
        <v>0</v>
      </c>
      <c r="W108" s="160">
        <f>W20+W64-'Income Statement'!V13</f>
        <v>0</v>
      </c>
      <c r="X108" s="160">
        <f>X20+X64-'Income Statement'!W13</f>
        <v>0</v>
      </c>
      <c r="Y108" s="160">
        <f>Y20+Y64-'Income Statement'!X13</f>
        <v>0</v>
      </c>
      <c r="Z108" s="160">
        <f>Z20+Z64-'Income Statement'!Y13</f>
        <v>0</v>
      </c>
      <c r="AA108" s="160">
        <f>AA20+AA64-'Income Statement'!Z13</f>
        <v>0</v>
      </c>
      <c r="AB108" s="160">
        <f>AB20+AB64-'Income Statement'!AA13</f>
        <v>0</v>
      </c>
      <c r="AC108" s="160">
        <f>AC20+AC64-'Income Statement'!AB13</f>
        <v>0</v>
      </c>
      <c r="AD108" s="160">
        <f>AD20+AD64-'Income Statement'!AC13</f>
        <v>0</v>
      </c>
      <c r="AE108" s="160">
        <f>AE20+AE64-'Income Statement'!AD13</f>
        <v>0</v>
      </c>
      <c r="AF108" s="160">
        <f>AF20+AF64-'Income Statement'!AE13</f>
        <v>0</v>
      </c>
      <c r="AG108" s="160">
        <f>AG20+AG64-'Income Statement'!AF13</f>
        <v>0</v>
      </c>
      <c r="AH108" s="160">
        <f>AH20+AH64-'Income Statement'!AG13</f>
        <v>0</v>
      </c>
    </row>
    <row r="109" spans="1:35" x14ac:dyDescent="0.25">
      <c r="G109" s="232">
        <f t="shared" ref="G109:Q109" si="105">(G78+G82+G86)-1</f>
        <v>0</v>
      </c>
      <c r="H109" s="232">
        <f t="shared" si="105"/>
        <v>0</v>
      </c>
      <c r="I109" s="232">
        <f t="shared" si="105"/>
        <v>0</v>
      </c>
      <c r="J109" s="232">
        <f t="shared" si="105"/>
        <v>0</v>
      </c>
      <c r="K109" s="232">
        <f t="shared" si="105"/>
        <v>0</v>
      </c>
      <c r="L109" s="232">
        <f t="shared" si="105"/>
        <v>0</v>
      </c>
      <c r="M109" s="232">
        <f t="shared" si="105"/>
        <v>7.9944564435052712E-7</v>
      </c>
      <c r="N109" s="232">
        <f t="shared" si="105"/>
        <v>0</v>
      </c>
      <c r="O109" s="232">
        <f t="shared" si="105"/>
        <v>7.0133153573515017E-7</v>
      </c>
      <c r="P109" s="232">
        <f t="shared" si="105"/>
        <v>-1.7761060622234481E-7</v>
      </c>
      <c r="Q109" s="232">
        <f t="shared" si="105"/>
        <v>2.8081264202839407E-7</v>
      </c>
      <c r="R109" s="232">
        <f t="shared" ref="R109:V109" si="106">(R78+R82+R86)-1</f>
        <v>-1.6236186327622804E-6</v>
      </c>
      <c r="S109" s="232">
        <f t="shared" si="106"/>
        <v>4.4122203091134793E-7</v>
      </c>
      <c r="T109" s="232">
        <f t="shared" si="106"/>
        <v>7.8894342614432844E-7</v>
      </c>
      <c r="U109" s="232">
        <f t="shared" si="106"/>
        <v>9.4954702678506919E-7</v>
      </c>
      <c r="V109" s="232">
        <f t="shared" si="106"/>
        <v>1.8404884749578798E-7</v>
      </c>
      <c r="W109" s="232">
        <f t="shared" ref="W109:Z109" si="107">(W78+W82+W86)-1</f>
        <v>-7.6096251566681872E-7</v>
      </c>
      <c r="X109" s="232">
        <f t="shared" si="107"/>
        <v>1.0697492685007859E-6</v>
      </c>
      <c r="Y109" s="232">
        <f t="shared" si="107"/>
        <v>7.0869431656461757E-7</v>
      </c>
      <c r="Z109" s="232">
        <f t="shared" si="107"/>
        <v>-1.0658868487833928E-6</v>
      </c>
      <c r="AA109" s="232">
        <f>(AA78+AA82+AA86)-1</f>
        <v>-1.6181334938636383E-8</v>
      </c>
      <c r="AB109" s="232">
        <f>(AB78+AB82+AB86)-1</f>
        <v>1.4490281863288601E-7</v>
      </c>
      <c r="AC109" s="232">
        <f>(AC78+AC82+AC86)-1</f>
        <v>4.0494548181335688E-7</v>
      </c>
      <c r="AD109" s="232">
        <f>(AD78+AD82+AD86)-1</f>
        <v>-5.3773477914909051E-7</v>
      </c>
      <c r="AE109" s="284">
        <f t="shared" ref="AE109:AF109" si="108">(AE78+AE82+AE86)-1</f>
        <v>-2.495858186790656E-8</v>
      </c>
      <c r="AF109" s="284">
        <f t="shared" si="108"/>
        <v>-5.6860747221776364E-9</v>
      </c>
      <c r="AG109" s="284">
        <f t="shared" ref="AG109:AH109" si="109">(AG78+AG82+AG86)-1</f>
        <v>1.0485925767689253E-6</v>
      </c>
      <c r="AH109" s="284">
        <f t="shared" si="109"/>
        <v>-1.0390910546442811E-6</v>
      </c>
    </row>
  </sheetData>
  <mergeCells count="8">
    <mergeCell ref="AB2:AF2"/>
    <mergeCell ref="A5:B5"/>
    <mergeCell ref="A6:B6"/>
    <mergeCell ref="W2:AA2"/>
    <mergeCell ref="C2:G2"/>
    <mergeCell ref="R2:V2"/>
    <mergeCell ref="M2:Q2"/>
    <mergeCell ref="H2:L2"/>
  </mergeCells>
  <pageMargins left="0.7" right="0.7" top="0.35" bottom="1.25" header="0.55000000000000004" footer="0.3"/>
  <pageSetup paperSize="9" scale="35" fitToWidth="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07CC5-F0B4-4D0C-97B5-323607376023}">
  <sheetPr>
    <tabColor rgb="FF92D050"/>
    <pageSetUpPr fitToPage="1"/>
  </sheetPr>
  <dimension ref="A1:BI74"/>
  <sheetViews>
    <sheetView showGridLines="0" view="pageBreakPreview" zoomScale="90" zoomScaleNormal="90" zoomScaleSheetLayoutView="90" workbookViewId="0">
      <pane xSplit="1" ySplit="7" topLeftCell="AA8" activePane="bottomRight" state="frozen"/>
      <selection activeCell="AE38" sqref="AE38"/>
      <selection pane="topRight" activeCell="AE38" sqref="AE38"/>
      <selection pane="bottomLeft" activeCell="AE38" sqref="AE38"/>
      <selection pane="bottomRight"/>
    </sheetView>
  </sheetViews>
  <sheetFormatPr baseColWidth="10" defaultColWidth="9.1640625" defaultRowHeight="15" outlineLevelCol="1" x14ac:dyDescent="0.2"/>
  <cols>
    <col min="1" max="1" width="79.5" style="21" customWidth="1"/>
    <col min="2" max="5" width="12.1640625" style="21" hidden="1" customWidth="1" outlineLevel="1"/>
    <col min="6" max="6" width="12.1640625" style="21" customWidth="1" collapsed="1"/>
    <col min="7" max="10" width="12.1640625" style="21" hidden="1" customWidth="1" outlineLevel="1"/>
    <col min="11" max="11" width="12.1640625" style="21" customWidth="1" collapsed="1"/>
    <col min="12" max="15" width="12.1640625" style="21" hidden="1" customWidth="1" outlineLevel="1"/>
    <col min="16" max="16" width="12.1640625" style="21" customWidth="1" collapsed="1"/>
    <col min="17" max="20" width="12.1640625" style="21" customWidth="1" outlineLevel="1"/>
    <col min="21" max="33" width="12.1640625" style="21" customWidth="1"/>
    <col min="34" max="34" width="9.1640625" hidden="1" customWidth="1" outlineLevel="1"/>
    <col min="35" max="35" width="9.1640625" style="21" hidden="1" customWidth="1" outlineLevel="1" collapsed="1"/>
    <col min="36" max="36" width="10.5" style="222" hidden="1" customWidth="1" outlineLevel="1"/>
    <col min="37" max="37" width="12.1640625" style="21" bestFit="1" customWidth="1" collapsed="1"/>
    <col min="38" max="38" width="9.1640625" style="21" customWidth="1"/>
    <col min="39" max="16384" width="9.1640625" style="21"/>
  </cols>
  <sheetData>
    <row r="1" spans="1:61" ht="16" x14ac:dyDescent="0.2">
      <c r="R1" s="203"/>
      <c r="S1" s="203"/>
      <c r="T1" s="203"/>
      <c r="Y1" s="203"/>
      <c r="AI1" s="226"/>
      <c r="AK1" s="226" t="s">
        <v>184</v>
      </c>
    </row>
    <row r="2" spans="1:61" ht="30.75" customHeight="1" x14ac:dyDescent="0.2">
      <c r="A2" s="82"/>
      <c r="U2" s="198"/>
      <c r="V2" s="198"/>
      <c r="W2" s="198"/>
      <c r="X2" s="198"/>
      <c r="Y2" s="198"/>
      <c r="Z2" s="198"/>
      <c r="AA2" s="198"/>
      <c r="AB2" s="198"/>
      <c r="AC2" s="198"/>
      <c r="AD2" s="198"/>
      <c r="AE2" s="198"/>
      <c r="AF2" s="198"/>
      <c r="AG2" s="198"/>
    </row>
    <row r="3" spans="1:61" ht="15" customHeight="1" x14ac:dyDescent="0.15">
      <c r="AH3" s="285" t="s">
        <v>227</v>
      </c>
      <c r="AJ3" s="285" t="s">
        <v>170</v>
      </c>
    </row>
    <row r="4" spans="1:61" s="4" customFormat="1" ht="13" x14ac:dyDescent="0.15">
      <c r="A4" s="22" t="s">
        <v>61</v>
      </c>
      <c r="B4" s="4">
        <v>2018</v>
      </c>
      <c r="C4" s="4">
        <v>2018</v>
      </c>
      <c r="D4" s="4">
        <v>2018</v>
      </c>
      <c r="E4" s="4">
        <v>2018</v>
      </c>
      <c r="F4" s="4">
        <v>2018</v>
      </c>
      <c r="G4" s="4">
        <v>2019</v>
      </c>
      <c r="H4" s="4">
        <v>2019</v>
      </c>
      <c r="I4" s="4">
        <v>2019</v>
      </c>
      <c r="J4" s="4">
        <v>2019</v>
      </c>
      <c r="K4" s="4">
        <v>2019</v>
      </c>
      <c r="L4" s="4">
        <v>2020</v>
      </c>
      <c r="M4" s="4">
        <v>2020</v>
      </c>
      <c r="N4" s="4">
        <v>2020</v>
      </c>
      <c r="O4" s="4">
        <v>2020</v>
      </c>
      <c r="P4" s="4">
        <v>2020</v>
      </c>
      <c r="Q4" s="4">
        <v>2021</v>
      </c>
      <c r="R4" s="4">
        <v>2021</v>
      </c>
      <c r="S4" s="4">
        <v>2021</v>
      </c>
      <c r="T4" s="4">
        <v>2021</v>
      </c>
      <c r="U4" s="4">
        <v>2021</v>
      </c>
      <c r="V4" s="4">
        <v>2022</v>
      </c>
      <c r="W4" s="4">
        <v>2022</v>
      </c>
      <c r="X4" s="4">
        <v>2022</v>
      </c>
      <c r="Y4" s="4">
        <v>2022</v>
      </c>
      <c r="Z4" s="4">
        <v>2022</v>
      </c>
      <c r="AA4" s="4">
        <v>2023</v>
      </c>
      <c r="AB4" s="4">
        <v>2023</v>
      </c>
      <c r="AC4" s="4">
        <v>2023</v>
      </c>
      <c r="AD4" s="4">
        <v>2023</v>
      </c>
      <c r="AE4" s="4">
        <v>2023</v>
      </c>
      <c r="AF4" s="4">
        <v>2024</v>
      </c>
      <c r="AG4" s="4">
        <v>2024</v>
      </c>
      <c r="AH4" s="285"/>
      <c r="AJ4" s="285"/>
    </row>
    <row r="5" spans="1:61" s="4" customFormat="1" ht="15" customHeight="1" x14ac:dyDescent="0.15">
      <c r="A5" s="22" t="s">
        <v>217</v>
      </c>
      <c r="B5" s="4" t="s">
        <v>6</v>
      </c>
      <c r="C5" s="4" t="s">
        <v>7</v>
      </c>
      <c r="D5" s="4" t="s">
        <v>8</v>
      </c>
      <c r="E5" s="4" t="s">
        <v>9</v>
      </c>
      <c r="F5" s="4" t="s">
        <v>10</v>
      </c>
      <c r="G5" s="4" t="s">
        <v>6</v>
      </c>
      <c r="H5" s="4" t="s">
        <v>7</v>
      </c>
      <c r="I5" s="4" t="s">
        <v>8</v>
      </c>
      <c r="J5" s="4" t="s">
        <v>9</v>
      </c>
      <c r="K5" s="4" t="s">
        <v>10</v>
      </c>
      <c r="L5" s="4" t="s">
        <v>6</v>
      </c>
      <c r="M5" s="4" t="s">
        <v>7</v>
      </c>
      <c r="N5" s="4" t="s">
        <v>8</v>
      </c>
      <c r="O5" s="4" t="s">
        <v>9</v>
      </c>
      <c r="P5" s="4" t="s">
        <v>10</v>
      </c>
      <c r="Q5" s="4" t="s">
        <v>6</v>
      </c>
      <c r="R5" s="4" t="s">
        <v>7</v>
      </c>
      <c r="S5" s="4" t="s">
        <v>8</v>
      </c>
      <c r="T5" s="4" t="s">
        <v>9</v>
      </c>
      <c r="U5" s="4" t="s">
        <v>10</v>
      </c>
      <c r="V5" s="4" t="s">
        <v>6</v>
      </c>
      <c r="W5" s="4" t="s">
        <v>7</v>
      </c>
      <c r="X5" s="4" t="s">
        <v>8</v>
      </c>
      <c r="Y5" s="4" t="s">
        <v>9</v>
      </c>
      <c r="Z5" s="4" t="s">
        <v>10</v>
      </c>
      <c r="AA5" s="4" t="s">
        <v>6</v>
      </c>
      <c r="AB5" s="4" t="s">
        <v>7</v>
      </c>
      <c r="AC5" s="4" t="s">
        <v>8</v>
      </c>
      <c r="AD5" s="4" t="s">
        <v>9</v>
      </c>
      <c r="AE5" s="4" t="s">
        <v>10</v>
      </c>
      <c r="AF5" s="4" t="s">
        <v>6</v>
      </c>
      <c r="AG5" s="4" t="s">
        <v>7</v>
      </c>
      <c r="AH5" s="285"/>
      <c r="AJ5" s="285"/>
      <c r="AK5" s="222"/>
      <c r="AL5" s="222"/>
    </row>
    <row r="6" spans="1:61" ht="6" customHeight="1" x14ac:dyDescent="0.15">
      <c r="AH6" s="285"/>
      <c r="AJ6" s="285"/>
      <c r="AK6" s="222"/>
      <c r="AL6" s="222"/>
    </row>
    <row r="7" spans="1:61" ht="6" customHeight="1" x14ac:dyDescent="0.2">
      <c r="AK7" s="222"/>
      <c r="AL7" s="222"/>
    </row>
    <row r="8" spans="1:61" ht="6.75" customHeight="1" x14ac:dyDescent="0.2">
      <c r="A8" s="48"/>
      <c r="AJ8" s="223"/>
      <c r="AS8" s="10"/>
      <c r="AT8" s="10"/>
      <c r="AU8" s="10"/>
      <c r="AV8" s="10"/>
      <c r="AW8" s="10"/>
      <c r="AX8" s="10"/>
      <c r="AY8" s="10"/>
      <c r="AZ8" s="10"/>
      <c r="BA8" s="10"/>
      <c r="BB8" s="10"/>
      <c r="BC8" s="10"/>
      <c r="BD8" s="10"/>
      <c r="BE8" s="10"/>
      <c r="BF8" s="10"/>
      <c r="BG8" s="10"/>
      <c r="BH8" s="10"/>
      <c r="BI8" s="10"/>
    </row>
    <row r="9" spans="1:61" s="10" customFormat="1" ht="13" x14ac:dyDescent="0.15">
      <c r="A9" s="45" t="s">
        <v>198</v>
      </c>
      <c r="B9" s="33">
        <f>'Income Statement'!B31</f>
        <v>15150</v>
      </c>
      <c r="C9" s="33">
        <f>'Income Statement'!C31</f>
        <v>17090</v>
      </c>
      <c r="D9" s="33">
        <f>'Income Statement'!D31</f>
        <v>19674</v>
      </c>
      <c r="E9" s="33">
        <f>'Income Statement'!E31</f>
        <v>-2093</v>
      </c>
      <c r="F9" s="33">
        <f>'Income Statement'!F31</f>
        <v>49821</v>
      </c>
      <c r="G9" s="33">
        <f>'Income Statement'!G31</f>
        <v>16861</v>
      </c>
      <c r="H9" s="33">
        <f>'Income Statement'!H31</f>
        <v>13856</v>
      </c>
      <c r="I9" s="33">
        <f>'Income Statement'!I31</f>
        <v>22422</v>
      </c>
      <c r="J9" s="33">
        <f>'Income Statement'!J31</f>
        <v>23314</v>
      </c>
      <c r="K9" s="33">
        <f>'Income Statement'!K31</f>
        <v>76453</v>
      </c>
      <c r="L9" s="33">
        <f>'Income Statement'!L31</f>
        <v>27487</v>
      </c>
      <c r="M9" s="33">
        <f>'Income Statement'!M31</f>
        <v>9866</v>
      </c>
      <c r="N9" s="33">
        <f>'Income Statement'!N31</f>
        <v>34406</v>
      </c>
      <c r="O9" s="33">
        <f>'Income Statement'!O31</f>
        <v>38263</v>
      </c>
      <c r="P9" s="33">
        <f>'Income Statement'!P31</f>
        <v>110022</v>
      </c>
      <c r="Q9" s="33">
        <f>'Income Statement'!Q31</f>
        <v>41555</v>
      </c>
      <c r="R9" s="33">
        <f>'Income Statement'!R31</f>
        <v>35830</v>
      </c>
      <c r="S9" s="33">
        <f>'Income Statement'!S31</f>
        <v>42438</v>
      </c>
      <c r="T9" s="33">
        <f>'Income Statement'!T31</f>
        <v>36058</v>
      </c>
      <c r="U9" s="33">
        <f>'Income Statement'!U31</f>
        <v>155881</v>
      </c>
      <c r="V9" s="33">
        <f>'Income Statement'!V31</f>
        <v>43975</v>
      </c>
      <c r="W9" s="33">
        <f>'Income Statement'!W31</f>
        <v>47081</v>
      </c>
      <c r="X9" s="33">
        <f>'Income Statement'!X31</f>
        <v>50111</v>
      </c>
      <c r="Y9" s="33">
        <f>'Income Statement'!Y31</f>
        <v>50995</v>
      </c>
      <c r="Z9" s="33">
        <f>'Income Statement'!Z31</f>
        <v>192162</v>
      </c>
      <c r="AA9" s="33">
        <f>'Income Statement'!AA31</f>
        <v>59448</v>
      </c>
      <c r="AB9" s="33">
        <f>'Income Statement'!AB31</f>
        <v>64811</v>
      </c>
      <c r="AC9" s="33">
        <f>'Income Statement'!AC31</f>
        <v>60230</v>
      </c>
      <c r="AD9" s="33">
        <f>'Income Statement'!AD31</f>
        <v>54266</v>
      </c>
      <c r="AE9" s="33">
        <f>'Income Statement'!AE31</f>
        <v>238755</v>
      </c>
      <c r="AF9" s="33">
        <f>'Income Statement'!AF31</f>
        <v>61524</v>
      </c>
      <c r="AG9" s="33">
        <f>'Income Statement'!AG31</f>
        <v>61449</v>
      </c>
      <c r="AI9" s="221" t="s">
        <v>157</v>
      </c>
      <c r="AJ9" s="275">
        <f>SUM('[11]Non-GAAP'!B9:AF9)-SUM(B9:AF9)</f>
        <v>0</v>
      </c>
      <c r="AK9" s="263"/>
      <c r="AL9" s="264"/>
    </row>
    <row r="10" spans="1:61" x14ac:dyDescent="0.2">
      <c r="A10" s="49" t="s">
        <v>125</v>
      </c>
      <c r="B10" s="44">
        <v>3947</v>
      </c>
      <c r="C10" s="44">
        <v>3761</v>
      </c>
      <c r="D10" s="24">
        <v>6718</v>
      </c>
      <c r="E10" s="130">
        <f>+F10-SUM(B10:D10)</f>
        <v>5951</v>
      </c>
      <c r="F10" s="44">
        <v>20377</v>
      </c>
      <c r="G10" s="44">
        <v>5528</v>
      </c>
      <c r="H10" s="44">
        <v>5554</v>
      </c>
      <c r="I10" s="44">
        <v>5502</v>
      </c>
      <c r="J10" s="130">
        <f>+K10-SUM(G10:I10)</f>
        <v>4974</v>
      </c>
      <c r="K10" s="44">
        <f>'[1]Goodwill &amp; Intangibles'!$B$61</f>
        <v>21558</v>
      </c>
      <c r="L10" s="44">
        <v>4154</v>
      </c>
      <c r="M10" s="191">
        <v>3430</v>
      </c>
      <c r="N10" s="191">
        <v>3413</v>
      </c>
      <c r="O10" s="191">
        <f>+P10-SUM(L10:N10)</f>
        <v>3415</v>
      </c>
      <c r="P10" s="191">
        <f>'[2]Goodwill &amp; Intangibles'!$B$59</f>
        <v>14412</v>
      </c>
      <c r="Q10" s="44">
        <v>3361</v>
      </c>
      <c r="R10" s="191">
        <v>3397</v>
      </c>
      <c r="S10" s="191">
        <v>3022</v>
      </c>
      <c r="T10" s="191">
        <f t="shared" ref="T10:T15" si="0">+U10-SUM(Q10:S10)</f>
        <v>2998</v>
      </c>
      <c r="U10" s="191">
        <f>'[3]Goodwill &amp; Intangibles'!$B$60</f>
        <v>12778</v>
      </c>
      <c r="V10" s="191">
        <v>4486</v>
      </c>
      <c r="W10" s="191">
        <v>4146</v>
      </c>
      <c r="X10" s="191">
        <v>4243</v>
      </c>
      <c r="Y10" s="191">
        <f t="shared" ref="Y10:Y15" si="1">+Z10-SUM(V10:X10)</f>
        <v>4234</v>
      </c>
      <c r="Z10" s="191">
        <f>'[4]Goodwill &amp; Intangibles'!$B$58</f>
        <v>17109</v>
      </c>
      <c r="AA10" s="191">
        <f>'[5]Goodwill &amp; Intangibles'!$B$58</f>
        <v>4149</v>
      </c>
      <c r="AB10" s="191">
        <f>'[6]Goodwill &amp; Intangibles'!$B$58</f>
        <v>4204</v>
      </c>
      <c r="AC10" s="191">
        <f>'[7]Goodwill &amp; Intangibles'!$B$58</f>
        <v>3157</v>
      </c>
      <c r="AD10" s="191">
        <f t="shared" ref="AD10:AD15" si="2">+AE10-SUM(AA10:AC10)</f>
        <v>3168</v>
      </c>
      <c r="AE10" s="191">
        <f>'[8]Goodwill &amp; Intangibles'!$B$59</f>
        <v>14678</v>
      </c>
      <c r="AF10" s="26">
        <f>'[9]Goodwill &amp; Intangibles'!$B$58</f>
        <v>3080</v>
      </c>
      <c r="AG10" s="26">
        <f>'[10]Goodwill &amp; Intangibles'!$B$58</f>
        <v>3077</v>
      </c>
      <c r="AH10" s="207"/>
      <c r="AI10"/>
      <c r="AJ10" s="275">
        <f>SUM('[11]Non-GAAP'!B10:AF10)-SUM(B10:AF10)</f>
        <v>0</v>
      </c>
      <c r="AK10" s="263"/>
      <c r="AS10" s="10"/>
      <c r="AT10" s="10"/>
      <c r="AU10" s="10"/>
      <c r="AV10" s="10"/>
      <c r="AW10" s="10"/>
      <c r="AX10" s="10"/>
      <c r="AY10" s="10"/>
      <c r="AZ10" s="10"/>
      <c r="BA10" s="10"/>
      <c r="BB10" s="10"/>
      <c r="BC10" s="10"/>
      <c r="BD10" s="10"/>
      <c r="BE10" s="10"/>
      <c r="BF10" s="10"/>
      <c r="BG10" s="10"/>
      <c r="BH10" s="10"/>
      <c r="BI10" s="10"/>
    </row>
    <row r="11" spans="1:61" x14ac:dyDescent="0.2">
      <c r="A11" s="49" t="s">
        <v>126</v>
      </c>
      <c r="B11" s="44">
        <v>5074</v>
      </c>
      <c r="C11" s="44">
        <v>6893</v>
      </c>
      <c r="D11" s="24">
        <v>5344</v>
      </c>
      <c r="E11" s="130">
        <f>+F11-SUM(B11:D11)</f>
        <v>6590</v>
      </c>
      <c r="F11" s="44">
        <v>23901</v>
      </c>
      <c r="G11" s="44">
        <v>6956</v>
      </c>
      <c r="H11" s="44">
        <v>7155</v>
      </c>
      <c r="I11" s="44">
        <v>7427</v>
      </c>
      <c r="J11" s="130">
        <f>+K11-SUM(G11:I11)</f>
        <v>4532</v>
      </c>
      <c r="K11" s="44">
        <f>'[1]21. Stock Based Compensation'!$B$7</f>
        <v>26070</v>
      </c>
      <c r="L11" s="44">
        <v>4778</v>
      </c>
      <c r="M11" s="191">
        <v>7726</v>
      </c>
      <c r="N11" s="191">
        <v>8346</v>
      </c>
      <c r="O11" s="191">
        <f>+P11-SUM(L11:N11)</f>
        <v>7385</v>
      </c>
      <c r="P11" s="191">
        <f>'[2]21. Stock Based Compensation'!$B$7</f>
        <v>28235</v>
      </c>
      <c r="Q11" s="44">
        <v>7832</v>
      </c>
      <c r="R11" s="191">
        <v>10070</v>
      </c>
      <c r="S11" s="191">
        <v>10894</v>
      </c>
      <c r="T11" s="191">
        <f t="shared" si="0"/>
        <v>9825</v>
      </c>
      <c r="U11" s="191">
        <f>'[3]21. Stock Based Compensation'!$B$7</f>
        <v>38621</v>
      </c>
      <c r="V11" s="191">
        <v>11224</v>
      </c>
      <c r="W11" s="191">
        <v>13340</v>
      </c>
      <c r="X11" s="191">
        <v>12186</v>
      </c>
      <c r="Y11" s="191">
        <f t="shared" si="1"/>
        <v>12616</v>
      </c>
      <c r="Z11" s="191">
        <f>'[4]21. Stock Based Compensation'!$B$7</f>
        <v>49366</v>
      </c>
      <c r="AA11" s="191">
        <f>'[5]21. Stock Based Compensation'!$B$7</f>
        <v>14407</v>
      </c>
      <c r="AB11" s="191">
        <f>'[6]21. Stock Based Compensation'!$B$7</f>
        <v>11511</v>
      </c>
      <c r="AC11" s="191">
        <f>'[7]21. Stock Based Compensation'!$B$7</f>
        <v>17067</v>
      </c>
      <c r="AD11" s="191">
        <f t="shared" si="2"/>
        <v>15452</v>
      </c>
      <c r="AE11" s="191">
        <f>'[8]21. Stock Based Compensation'!$B$7</f>
        <v>58437</v>
      </c>
      <c r="AF11" s="26">
        <f>'[9]21. Stock Based Compensation'!$B$7</f>
        <v>17852</v>
      </c>
      <c r="AG11" s="26">
        <f>'[10]21. Stock Based Compensation'!$B$7</f>
        <v>18095</v>
      </c>
      <c r="AH11" s="207"/>
      <c r="AI11"/>
      <c r="AJ11" s="275">
        <f>SUM('[11]Non-GAAP'!B11:AF11)-SUM(B11:AF11)</f>
        <v>0</v>
      </c>
      <c r="AK11" s="263"/>
      <c r="AS11" s="10"/>
      <c r="AT11" s="10"/>
      <c r="AU11" s="10"/>
      <c r="AV11" s="10"/>
      <c r="AW11" s="10"/>
      <c r="AX11" s="10"/>
      <c r="AY11" s="10"/>
      <c r="AZ11" s="10"/>
      <c r="BA11" s="10"/>
      <c r="BB11" s="10"/>
      <c r="BC11" s="10"/>
      <c r="BD11" s="10"/>
      <c r="BE11" s="10"/>
      <c r="BF11" s="10"/>
      <c r="BG11" s="10"/>
      <c r="BH11" s="10"/>
      <c r="BI11" s="10"/>
    </row>
    <row r="12" spans="1:61" x14ac:dyDescent="0.2">
      <c r="A12" s="49" t="s">
        <v>172</v>
      </c>
      <c r="B12" s="154">
        <v>2400</v>
      </c>
      <c r="C12" s="154">
        <v>0</v>
      </c>
      <c r="D12" s="154">
        <v>0</v>
      </c>
      <c r="E12" s="154">
        <v>0</v>
      </c>
      <c r="F12" s="76">
        <f>SUM(B12:E12)</f>
        <v>2400</v>
      </c>
      <c r="G12" s="76">
        <v>0</v>
      </c>
      <c r="H12" s="76">
        <v>0</v>
      </c>
      <c r="I12" s="76">
        <v>0</v>
      </c>
      <c r="J12" s="76">
        <v>0</v>
      </c>
      <c r="K12" s="76">
        <f>SUM(G12:J12)</f>
        <v>0</v>
      </c>
      <c r="L12" s="76">
        <v>0</v>
      </c>
      <c r="M12" s="154">
        <v>0</v>
      </c>
      <c r="N12" s="154">
        <v>0</v>
      </c>
      <c r="O12" s="154">
        <v>0</v>
      </c>
      <c r="P12" s="154">
        <f>SUM(L12:O12)</f>
        <v>0</v>
      </c>
      <c r="Q12" s="76">
        <v>0</v>
      </c>
      <c r="R12" s="154">
        <v>0</v>
      </c>
      <c r="S12" s="154">
        <v>0</v>
      </c>
      <c r="T12" s="154">
        <f t="shared" si="0"/>
        <v>0</v>
      </c>
      <c r="U12" s="154">
        <v>0</v>
      </c>
      <c r="V12" s="154">
        <v>0</v>
      </c>
      <c r="W12" s="154">
        <f>ROUND([91]Summary!$C$9/1000,0)</f>
        <v>217</v>
      </c>
      <c r="X12" s="154">
        <f>ROUND([92]Summary!$C$8/1000,0)</f>
        <v>169</v>
      </c>
      <c r="Y12" s="154">
        <f t="shared" si="1"/>
        <v>0</v>
      </c>
      <c r="Z12" s="154">
        <f>ROUND([91]Summary!$C$9/1000,0)+ROUND([92]Summary!$C$8/1000,0)</f>
        <v>386</v>
      </c>
      <c r="AA12" s="154">
        <v>0</v>
      </c>
      <c r="AB12" s="154">
        <v>0</v>
      </c>
      <c r="AC12" s="154">
        <v>0</v>
      </c>
      <c r="AD12" s="154">
        <f t="shared" si="2"/>
        <v>895</v>
      </c>
      <c r="AE12" s="154">
        <f>ROUND(SUM('[93]Expected Claim'!$C$5,'[93]Legal Expenses'!$D$7)/1000,0)</f>
        <v>895</v>
      </c>
      <c r="AF12" s="217">
        <v>0</v>
      </c>
      <c r="AG12" s="154">
        <f>ROUND('[94]Adjusted EPS-Post stock split'!$K$13,0)</f>
        <v>1412</v>
      </c>
      <c r="AH12" s="212"/>
      <c r="AI12"/>
      <c r="AJ12" s="275">
        <f>SUM('[11]Non-GAAP'!B12:AF12)-SUM(B12:AF12)</f>
        <v>0</v>
      </c>
      <c r="AK12" s="263"/>
      <c r="AS12" s="10"/>
      <c r="AT12" s="10"/>
      <c r="AU12" s="10"/>
      <c r="AV12" s="10"/>
      <c r="AW12" s="10"/>
      <c r="AX12" s="10"/>
      <c r="AY12" s="10"/>
      <c r="AZ12" s="10"/>
      <c r="BA12" s="10"/>
      <c r="BB12" s="10"/>
      <c r="BC12" s="10"/>
      <c r="BD12" s="10"/>
      <c r="BE12" s="10"/>
      <c r="BF12" s="10"/>
      <c r="BG12" s="10"/>
      <c r="BH12" s="10"/>
      <c r="BI12" s="10"/>
    </row>
    <row r="13" spans="1:61" x14ac:dyDescent="0.2">
      <c r="A13" s="49" t="s">
        <v>129</v>
      </c>
      <c r="B13" s="154">
        <v>363</v>
      </c>
      <c r="C13" s="154">
        <v>841</v>
      </c>
      <c r="D13" s="154">
        <f>ROUND([95]Summary!$G$46/1000,0)</f>
        <v>855</v>
      </c>
      <c r="E13" s="130">
        <f>+F13-SUM(B13:D13)</f>
        <v>236</v>
      </c>
      <c r="F13" s="154">
        <f>ROUND('[96]Adjusted EPS Working'!$B$15,0)</f>
        <v>2295</v>
      </c>
      <c r="G13" s="154">
        <v>0</v>
      </c>
      <c r="H13" s="154">
        <v>0</v>
      </c>
      <c r="I13" s="154">
        <v>0</v>
      </c>
      <c r="J13" s="130">
        <f>+K13-SUM(G13:I13)</f>
        <v>0</v>
      </c>
      <c r="K13" s="154">
        <v>0</v>
      </c>
      <c r="L13" s="154">
        <v>0</v>
      </c>
      <c r="M13" s="154">
        <v>0</v>
      </c>
      <c r="N13" s="154">
        <v>0</v>
      </c>
      <c r="O13" s="154">
        <v>0</v>
      </c>
      <c r="P13" s="154">
        <v>0</v>
      </c>
      <c r="Q13" s="154">
        <v>0</v>
      </c>
      <c r="R13" s="154">
        <v>0</v>
      </c>
      <c r="S13" s="154">
        <v>0</v>
      </c>
      <c r="T13" s="154">
        <f t="shared" si="0"/>
        <v>761</v>
      </c>
      <c r="U13" s="154">
        <f>ROUND(SUM('[97]Adjusted EPS Working'!$B$19:$B$19),0)</f>
        <v>761</v>
      </c>
      <c r="V13" s="154">
        <f>ROUND('[98]Adjusted EPS Working'!$O$10,0)</f>
        <v>134</v>
      </c>
      <c r="W13" s="154">
        <f>'[99]Adjusted EPS Working'!$K$10</f>
        <v>0</v>
      </c>
      <c r="X13" s="154">
        <f>'[100]Adjusted EPS Working'!$G$10</f>
        <v>0</v>
      </c>
      <c r="Y13" s="241">
        <f t="shared" si="1"/>
        <v>0</v>
      </c>
      <c r="Z13" s="154">
        <f>ROUND('[101]Adjusted EPS Working'!$B$10,0)</f>
        <v>134</v>
      </c>
      <c r="AA13" s="154">
        <v>0</v>
      </c>
      <c r="AB13" s="154">
        <v>0</v>
      </c>
      <c r="AC13" s="154">
        <v>0</v>
      </c>
      <c r="AD13" s="241">
        <f t="shared" si="2"/>
        <v>0</v>
      </c>
      <c r="AE13" s="154">
        <v>0</v>
      </c>
      <c r="AF13" s="154">
        <v>0</v>
      </c>
      <c r="AG13" s="154">
        <v>0</v>
      </c>
      <c r="AH13" s="212"/>
      <c r="AI13"/>
      <c r="AJ13" s="275">
        <f>SUM('[11]Non-GAAP'!B13:AF13)-SUM(B13:AF13)</f>
        <v>0</v>
      </c>
      <c r="AK13" s="263"/>
      <c r="AS13" s="10"/>
      <c r="AT13" s="10"/>
      <c r="AU13" s="10"/>
      <c r="AV13" s="10"/>
      <c r="AW13" s="10"/>
      <c r="AX13" s="10"/>
      <c r="AY13" s="10"/>
      <c r="AZ13" s="10"/>
      <c r="BA13" s="10"/>
      <c r="BB13" s="10"/>
      <c r="BC13" s="10"/>
      <c r="BD13" s="10"/>
      <c r="BE13" s="10"/>
      <c r="BF13" s="10"/>
      <c r="BG13" s="10"/>
      <c r="BH13" s="10"/>
      <c r="BI13" s="10"/>
    </row>
    <row r="14" spans="1:61" x14ac:dyDescent="0.2">
      <c r="A14" s="49" t="s">
        <v>166</v>
      </c>
      <c r="B14" s="154"/>
      <c r="C14" s="154"/>
      <c r="D14" s="154"/>
      <c r="E14" s="130"/>
      <c r="F14" s="154">
        <v>0</v>
      </c>
      <c r="G14" s="154">
        <v>0</v>
      </c>
      <c r="H14" s="154">
        <v>0</v>
      </c>
      <c r="I14" s="154">
        <v>0</v>
      </c>
      <c r="J14" s="130">
        <v>0</v>
      </c>
      <c r="K14" s="154">
        <v>0</v>
      </c>
      <c r="L14" s="154">
        <v>0</v>
      </c>
      <c r="M14" s="154">
        <v>0</v>
      </c>
      <c r="N14" s="154">
        <v>0</v>
      </c>
      <c r="O14" s="154">
        <v>0</v>
      </c>
      <c r="P14" s="154">
        <v>0</v>
      </c>
      <c r="Q14" s="154">
        <v>0</v>
      </c>
      <c r="R14" s="154">
        <v>0</v>
      </c>
      <c r="S14" s="154">
        <v>0</v>
      </c>
      <c r="T14" s="154">
        <f t="shared" si="0"/>
        <v>551</v>
      </c>
      <c r="U14" s="154">
        <f>ROUND(SUM('[97]Adjusted EPS Working'!$B$20:$B$20),0)</f>
        <v>551</v>
      </c>
      <c r="V14" s="154">
        <v>0</v>
      </c>
      <c r="W14" s="154">
        <v>0</v>
      </c>
      <c r="X14" s="154">
        <v>0</v>
      </c>
      <c r="Y14" s="154">
        <f>Y43+Y42</f>
        <v>-560</v>
      </c>
      <c r="Z14" s="154">
        <f>Z43+Z42</f>
        <v>-560</v>
      </c>
      <c r="AA14" s="154">
        <f>AA43+AA42</f>
        <v>-89</v>
      </c>
      <c r="AB14" s="154">
        <f>AB43+AB42</f>
        <v>578</v>
      </c>
      <c r="AC14" s="154">
        <f>AC43+AC42</f>
        <v>1700</v>
      </c>
      <c r="AD14" s="52">
        <f t="shared" si="2"/>
        <v>-264</v>
      </c>
      <c r="AE14" s="154">
        <f>AE43+AE42</f>
        <v>1925</v>
      </c>
      <c r="AF14" s="154">
        <f>AF43+AF42</f>
        <v>0</v>
      </c>
      <c r="AG14" s="154">
        <f>AG43+AG42</f>
        <v>0</v>
      </c>
      <c r="AH14" s="212"/>
      <c r="AI14"/>
      <c r="AJ14" s="275">
        <f>SUM('[11]Non-GAAP'!B14:AF14)-SUM(B14:AF14)</f>
        <v>0</v>
      </c>
      <c r="AK14" s="263"/>
      <c r="AS14" s="10"/>
      <c r="AT14" s="10"/>
      <c r="AU14" s="10"/>
      <c r="AV14" s="10"/>
      <c r="AW14" s="10"/>
      <c r="AX14" s="10"/>
      <c r="AY14" s="10"/>
      <c r="AZ14" s="10"/>
      <c r="BA14" s="10"/>
      <c r="BB14" s="10"/>
      <c r="BC14" s="10"/>
      <c r="BD14" s="10"/>
      <c r="BE14" s="10"/>
      <c r="BF14" s="10"/>
      <c r="BG14" s="10"/>
      <c r="BH14" s="10"/>
      <c r="BI14" s="10"/>
    </row>
    <row r="15" spans="1:61" x14ac:dyDescent="0.2">
      <c r="A15" s="245" t="s">
        <v>228</v>
      </c>
      <c r="B15" s="171">
        <v>0</v>
      </c>
      <c r="C15" s="171">
        <v>0</v>
      </c>
      <c r="D15" s="171">
        <v>0</v>
      </c>
      <c r="E15" s="173">
        <f>+F15-SUM(B15:D15)</f>
        <v>20056</v>
      </c>
      <c r="F15" s="171">
        <f>'[96]Adjusted EPS Working'!$B$18</f>
        <v>20056</v>
      </c>
      <c r="G15" s="171">
        <f>-'Income Statement'!G26</f>
        <v>1227</v>
      </c>
      <c r="H15" s="171">
        <f>-'Income Statement'!H26</f>
        <v>5580</v>
      </c>
      <c r="I15" s="171">
        <f>-'Income Statement'!I26</f>
        <v>489</v>
      </c>
      <c r="J15" s="173">
        <f>+K15-SUM(G15:I15)</f>
        <v>1375</v>
      </c>
      <c r="K15" s="171">
        <f>-'Income Statement'!K26</f>
        <v>8671</v>
      </c>
      <c r="L15" s="171">
        <f>-'Income Statement'!L26</f>
        <v>0</v>
      </c>
      <c r="M15" s="171">
        <f>-'Income Statement'!M26</f>
        <v>0</v>
      </c>
      <c r="N15" s="171">
        <f>-'Income Statement'!N26</f>
        <v>0</v>
      </c>
      <c r="O15" s="218">
        <f>+P15-SUM(L15:N15)</f>
        <v>0</v>
      </c>
      <c r="P15" s="171">
        <f>-'Income Statement'!P26</f>
        <v>0</v>
      </c>
      <c r="Q15" s="171">
        <f>-'Income Statement'!Q26</f>
        <v>0</v>
      </c>
      <c r="R15" s="171">
        <f>-'Income Statement'!R26</f>
        <v>0</v>
      </c>
      <c r="S15" s="171">
        <f>-'Income Statement'!S26</f>
        <v>0</v>
      </c>
      <c r="T15" s="154">
        <f t="shared" si="0"/>
        <v>0</v>
      </c>
      <c r="U15" s="171">
        <f>-'Income Statement'!U26</f>
        <v>0</v>
      </c>
      <c r="V15" s="171">
        <f>-'Income Statement'!V26</f>
        <v>0</v>
      </c>
      <c r="W15" s="171">
        <f>-'Income Statement'!W26</f>
        <v>0</v>
      </c>
      <c r="X15" s="171">
        <f>-'Income Statement'!X26</f>
        <v>0</v>
      </c>
      <c r="Y15" s="27">
        <f t="shared" si="1"/>
        <v>0</v>
      </c>
      <c r="Z15" s="171">
        <f>-'Income Statement'!Z26</f>
        <v>0</v>
      </c>
      <c r="AA15" s="171">
        <f>-'Income Statement'!AA26</f>
        <v>0</v>
      </c>
      <c r="AB15" s="171">
        <f>-'Income Statement'!AB26</f>
        <v>0</v>
      </c>
      <c r="AC15" s="262">
        <f>-'Income Statement'!AC26</f>
        <v>0</v>
      </c>
      <c r="AD15" s="27">
        <f t="shared" si="2"/>
        <v>0</v>
      </c>
      <c r="AE15" s="262">
        <f>-'Income Statement'!AE26</f>
        <v>0</v>
      </c>
      <c r="AF15" s="171">
        <f>-'Income Statement'!AF26</f>
        <v>0</v>
      </c>
      <c r="AG15" s="171">
        <f>'[94]Adjusted EPS-Post stock split'!K14</f>
        <v>4762</v>
      </c>
      <c r="AH15" s="171">
        <f>ROUND('[102]Pivot for EPS'!$B$7/1000,0)-AG15</f>
        <v>0</v>
      </c>
      <c r="AI15"/>
      <c r="AJ15" s="275">
        <f>SUM('[11]Non-GAAP'!B15:AF15)-SUM(B15:AF15)</f>
        <v>0</v>
      </c>
      <c r="AK15" s="263"/>
      <c r="AS15" s="10"/>
      <c r="AT15" s="10"/>
      <c r="AU15" s="10"/>
      <c r="AV15" s="10"/>
      <c r="AW15" s="10"/>
      <c r="AX15" s="10"/>
      <c r="AY15" s="10"/>
      <c r="AZ15" s="10"/>
      <c r="BA15" s="10"/>
      <c r="BB15" s="10"/>
      <c r="BC15" s="10"/>
      <c r="BD15" s="10"/>
      <c r="BE15" s="10"/>
      <c r="BF15" s="10"/>
      <c r="BG15" s="10"/>
      <c r="BH15" s="10"/>
      <c r="BI15" s="10"/>
    </row>
    <row r="16" spans="1:61" s="10" customFormat="1" ht="13" x14ac:dyDescent="0.15">
      <c r="A16" s="45" t="s">
        <v>199</v>
      </c>
      <c r="B16" s="33">
        <f t="shared" ref="B16:AB16" si="3">SUM(B9:B15)</f>
        <v>26934</v>
      </c>
      <c r="C16" s="33">
        <f t="shared" si="3"/>
        <v>28585</v>
      </c>
      <c r="D16" s="33">
        <f t="shared" si="3"/>
        <v>32591</v>
      </c>
      <c r="E16" s="33">
        <f t="shared" si="3"/>
        <v>30740</v>
      </c>
      <c r="F16" s="33">
        <f t="shared" si="3"/>
        <v>118850</v>
      </c>
      <c r="G16" s="33">
        <f t="shared" si="3"/>
        <v>30572</v>
      </c>
      <c r="H16" s="33">
        <f t="shared" si="3"/>
        <v>32145</v>
      </c>
      <c r="I16" s="33">
        <f t="shared" si="3"/>
        <v>35840</v>
      </c>
      <c r="J16" s="33">
        <f t="shared" si="3"/>
        <v>34195</v>
      </c>
      <c r="K16" s="33">
        <f t="shared" si="3"/>
        <v>132752</v>
      </c>
      <c r="L16" s="33">
        <f t="shared" si="3"/>
        <v>36419</v>
      </c>
      <c r="M16" s="33">
        <f t="shared" si="3"/>
        <v>21022</v>
      </c>
      <c r="N16" s="33">
        <f t="shared" si="3"/>
        <v>46165</v>
      </c>
      <c r="O16" s="33">
        <f t="shared" si="3"/>
        <v>49063</v>
      </c>
      <c r="P16" s="33">
        <f t="shared" si="3"/>
        <v>152669</v>
      </c>
      <c r="Q16" s="33">
        <f t="shared" si="3"/>
        <v>52748</v>
      </c>
      <c r="R16" s="33">
        <f t="shared" si="3"/>
        <v>49297</v>
      </c>
      <c r="S16" s="33">
        <f t="shared" si="3"/>
        <v>56354</v>
      </c>
      <c r="T16" s="33">
        <f t="shared" si="3"/>
        <v>50193</v>
      </c>
      <c r="U16" s="33">
        <f t="shared" si="3"/>
        <v>208592</v>
      </c>
      <c r="V16" s="33">
        <f t="shared" si="3"/>
        <v>59819</v>
      </c>
      <c r="W16" s="33">
        <f t="shared" si="3"/>
        <v>64784</v>
      </c>
      <c r="X16" s="33">
        <f t="shared" si="3"/>
        <v>66709</v>
      </c>
      <c r="Y16" s="33">
        <f t="shared" ref="Y16" si="4">SUM(Y9:Y15)</f>
        <v>67285</v>
      </c>
      <c r="Z16" s="33">
        <f>SUM(Z9:Z15)</f>
        <v>258597</v>
      </c>
      <c r="AA16" s="33">
        <f t="shared" si="3"/>
        <v>77915</v>
      </c>
      <c r="AB16" s="33">
        <f t="shared" si="3"/>
        <v>81104</v>
      </c>
      <c r="AC16" s="33">
        <f t="shared" ref="AC16:AF16" si="5">SUM(AC9:AC15)</f>
        <v>82154</v>
      </c>
      <c r="AD16" s="33">
        <f t="shared" si="5"/>
        <v>73517</v>
      </c>
      <c r="AE16" s="33">
        <f t="shared" si="5"/>
        <v>314690</v>
      </c>
      <c r="AF16" s="33">
        <f t="shared" si="5"/>
        <v>82456</v>
      </c>
      <c r="AG16" s="33">
        <f t="shared" ref="AG16" si="6">SUM(AG9:AG15)</f>
        <v>88795</v>
      </c>
      <c r="AH16" s="281">
        <f>ROUND('[103]SEC P&amp;L'!$AF$31,0)-AG16</f>
        <v>1</v>
      </c>
      <c r="AJ16" s="275">
        <f>SUM('[11]Non-GAAP'!B16:AF16)-SUM(B16:AF16)</f>
        <v>0</v>
      </c>
      <c r="AK16" s="263"/>
    </row>
    <row r="17" spans="1:61" x14ac:dyDescent="0.2">
      <c r="A17" s="79" t="s">
        <v>200</v>
      </c>
      <c r="B17" s="78">
        <f>IF(B16/'Income Statement'!B8&lt;0, "NM",B16/'Income Statement'!B8)</f>
        <v>0.13013291588757953</v>
      </c>
      <c r="C17" s="78">
        <f>IF(C16/'Income Statement'!C8&lt;0, "NM",C16/'Income Statement'!C8)</f>
        <v>0.13604648949131892</v>
      </c>
      <c r="D17" s="78">
        <f>IF(D16/'Income Statement'!D8&lt;0, "NM",D16/'Income Statement'!D8)</f>
        <v>0.14101088593136152</v>
      </c>
      <c r="E17" s="78">
        <f>IF(E16/'Income Statement'!E8&lt;0, "NM",E16/'Income Statement'!E8)</f>
        <v>0.13086252623423286</v>
      </c>
      <c r="F17" s="78">
        <f>IF(F16/'Income Statement'!F8&lt;0, "NM",F16/'Income Statement'!F8)</f>
        <v>0.13458089121198671</v>
      </c>
      <c r="G17" s="78">
        <f>IF(G16/'Income Statement'!G8&lt;0, "NM",G16/'Income Statement'!G8)</f>
        <v>0.12761037345610732</v>
      </c>
      <c r="H17" s="78">
        <f>IF(H16/'Income Statement'!H8&lt;0, "NM",H16/'Income Statement'!H8)</f>
        <v>0.13200744120340521</v>
      </c>
      <c r="I17" s="176">
        <f>IF(I16/'Income Statement'!I8&lt;0, "NM",I16/'Income Statement'!I8)</f>
        <v>0.1425661914460285</v>
      </c>
      <c r="J17" s="176">
        <f>IF(J16/'Income Statement'!J8&lt;0, "NM",J16/'Income Statement'!J8)</f>
        <v>0.13312077610638762</v>
      </c>
      <c r="K17" s="78">
        <f>IF(K16/'Income Statement'!K8&lt;0, "NM",K16/'Income Statement'!K8)</f>
        <v>0.13391086462244262</v>
      </c>
      <c r="L17" s="78">
        <f>IF(L16/'Income Statement'!L8&lt;0, "NM",L16/'Income Statement'!L8)</f>
        <v>0.14805073376966543</v>
      </c>
      <c r="M17" s="78">
        <f>IF(M16/'Income Statement'!M8&lt;0, "NM",M16/'Income Statement'!M8)</f>
        <v>9.4492365365684824E-2</v>
      </c>
      <c r="N17" s="78">
        <f>IF(N16/'Income Statement'!N8&lt;0, "NM",N16/'Income Statement'!N8)</f>
        <v>0.1915417105776332</v>
      </c>
      <c r="O17" s="78">
        <f>IF(O16/'Income Statement'!O8&lt;0, "NM",O16/'Income Statement'!O8)</f>
        <v>0.19707735998361137</v>
      </c>
      <c r="P17" s="78">
        <f>IF(P16/'Income Statement'!P8&lt;0, "NM",P16/'Income Statement'!P8)</f>
        <v>0.15929005022776738</v>
      </c>
      <c r="Q17" s="78">
        <f>IF(Q16/'Income Statement'!Q8&lt;0, "NM",Q16/'Income Statement'!Q8)</f>
        <v>0.20177878086567336</v>
      </c>
      <c r="R17" s="78">
        <f>IF(R16/'Income Statement'!R8&lt;0, "NM",R16/'Income Statement'!R8)</f>
        <v>0.17922010877468517</v>
      </c>
      <c r="S17" s="78">
        <f>IF(S16/'Income Statement'!S8&lt;0, "NM",S16/'Income Statement'!S8)</f>
        <v>0.19410660466718332</v>
      </c>
      <c r="T17" s="78">
        <f>IF(T16/'Income Statement'!T8&lt;0, "NM",T16/'Income Statement'!T8)</f>
        <v>0.16986419122200827</v>
      </c>
      <c r="U17" s="78">
        <f>IF(U16/'Income Statement'!U8&lt;0, "NM",U16/'Income Statement'!U8)</f>
        <v>0.18586233719714906</v>
      </c>
      <c r="V17" s="78">
        <f>IF(V16/'Income Statement'!V8&lt;0, "NM",V16/'Income Statement'!V8)</f>
        <v>0.18170579086777963</v>
      </c>
      <c r="W17" s="78">
        <f>IF(W16/'Income Statement'!W8&lt;0, "NM",W16/'Income Statement'!W8)</f>
        <v>0.18681477123956838</v>
      </c>
      <c r="X17" s="78">
        <f>IF(X16/'Income Statement'!X8&lt;0, "NM",X16/'Income Statement'!X8)</f>
        <v>0.1846099775564479</v>
      </c>
      <c r="Y17" s="78">
        <f>IF(Y16/'Income Statement'!Y8&lt;0, "NM",Y16/'Income Statement'!Y8)</f>
        <v>0.17956888522376388</v>
      </c>
      <c r="Z17" s="78">
        <f>IF(Z16/'Income Statement'!Z8&lt;0, "NM",Z16/'Income Statement'!Z8)</f>
        <v>0.18313664446716957</v>
      </c>
      <c r="AA17" s="78">
        <f>IF(AA16/'Income Statement'!AA8&lt;0, "NM",AA16/'Income Statement'!AA8)</f>
        <v>0.19447488162778334</v>
      </c>
      <c r="AB17" s="78">
        <f>IF(AB16/'Income Statement'!AB8&lt;0, "NM",AB16/'Income Statement'!AB8)</f>
        <v>0.20025876798783199</v>
      </c>
      <c r="AC17" s="78">
        <f>IF(AC16/'Income Statement'!AC8&lt;0, "NM",AC16/'Income Statement'!AC8)</f>
        <v>0.19990218287908393</v>
      </c>
      <c r="AD17" s="78">
        <f>IF(AD16/'Income Statement'!AD8&lt;0, "NM",AD16/'Income Statement'!AD8)</f>
        <v>0.17755242019234022</v>
      </c>
      <c r="AE17" s="78">
        <f>IF(AE16/'Income Statement'!AE8&lt;0, "NM",AE16/'Income Statement'!AE8)</f>
        <v>0.19298226248384098</v>
      </c>
      <c r="AF17" s="78">
        <f>IF(AF16/'Income Statement'!AF8&lt;0, "NM",AF16/'Income Statement'!AF8)</f>
        <v>0.18889960527551677</v>
      </c>
      <c r="AG17" s="78">
        <f>IF(AG16/'Income Statement'!AG8&lt;0, "NM",AG16/'Income Statement'!AG8)</f>
        <v>0.19804133230441201</v>
      </c>
      <c r="AH17" s="210"/>
      <c r="AI17"/>
      <c r="AJ17" s="229">
        <f>SUM('[11]Non-GAAP'!B17:AF17)-SUM(B17:AF17)</f>
        <v>0</v>
      </c>
      <c r="AK17" s="263"/>
      <c r="AS17" s="10"/>
      <c r="AT17" s="10"/>
      <c r="AU17" s="10"/>
      <c r="AV17" s="10"/>
      <c r="AW17" s="10"/>
      <c r="AX17" s="10"/>
      <c r="AY17" s="10"/>
      <c r="AZ17" s="10"/>
      <c r="BA17" s="10"/>
      <c r="BB17" s="10"/>
      <c r="BC17" s="10"/>
      <c r="BD17" s="10"/>
      <c r="BE17" s="10"/>
      <c r="BF17" s="10"/>
      <c r="BG17" s="10"/>
      <c r="BH17" s="10"/>
      <c r="BI17" s="10"/>
    </row>
    <row r="18" spans="1:61" s="10" customFormat="1" ht="13" x14ac:dyDescent="0.15">
      <c r="A18" s="46" t="s">
        <v>84</v>
      </c>
      <c r="B18" s="29">
        <v>2.123303253203912E-2</v>
      </c>
      <c r="C18" s="29">
        <f>C16/B16-1</f>
        <v>6.1297987673572418E-2</v>
      </c>
      <c r="D18" s="29">
        <f>D16/C16-1</f>
        <v>0.14014343186986178</v>
      </c>
      <c r="E18" s="29">
        <f>E16/D16-1</f>
        <v>-5.6794820656009382E-2</v>
      </c>
      <c r="F18" s="29" t="s">
        <v>53</v>
      </c>
      <c r="G18" s="106">
        <f>G16/E16-1</f>
        <v>-5.4651919323357445E-3</v>
      </c>
      <c r="H18" s="106">
        <f>H16/G16-1</f>
        <v>5.1452309302629784E-2</v>
      </c>
      <c r="I18" s="106">
        <f>I16/H16-1</f>
        <v>0.1149478923627314</v>
      </c>
      <c r="J18" s="106">
        <f>J16/I16-1</f>
        <v>-4.58984375E-2</v>
      </c>
      <c r="K18" s="29" t="s">
        <v>53</v>
      </c>
      <c r="L18" s="106">
        <f>L16/J16-1</f>
        <v>6.5038748355022769E-2</v>
      </c>
      <c r="M18" s="106">
        <f>M16/L16-1</f>
        <v>-0.42277382684862297</v>
      </c>
      <c r="N18" s="106">
        <f>N16/M16-1</f>
        <v>1.1960327276186851</v>
      </c>
      <c r="O18" s="106">
        <f>O16/N16-1</f>
        <v>6.2774829416224476E-2</v>
      </c>
      <c r="P18" s="194" t="s">
        <v>53</v>
      </c>
      <c r="Q18" s="106">
        <f>Q16/O16-1</f>
        <v>7.5107514827874367E-2</v>
      </c>
      <c r="R18" s="106">
        <f>R16/Q16-1</f>
        <v>-6.5424281489345537E-2</v>
      </c>
      <c r="S18" s="106">
        <f>S16/R16-1</f>
        <v>0.14315272734649165</v>
      </c>
      <c r="T18" s="106">
        <f>T16/S16-1</f>
        <v>-0.1093267558647123</v>
      </c>
      <c r="U18" s="194" t="s">
        <v>53</v>
      </c>
      <c r="V18" s="106">
        <f>V16/T16-1</f>
        <v>0.19177973024126871</v>
      </c>
      <c r="W18" s="106">
        <f>W16/V16-1</f>
        <v>8.3000384493221224E-2</v>
      </c>
      <c r="X18" s="106">
        <f>X16/W16-1</f>
        <v>2.971412694492459E-2</v>
      </c>
      <c r="Y18" s="106">
        <f>Y16/X16-1</f>
        <v>8.6345170816530814E-3</v>
      </c>
      <c r="Z18" s="194" t="s">
        <v>53</v>
      </c>
      <c r="AA18" s="106">
        <f>AA16/Y16-1</f>
        <v>0.15798469198186815</v>
      </c>
      <c r="AB18" s="106">
        <f>AB16/AA16-1</f>
        <v>4.0929217737277757E-2</v>
      </c>
      <c r="AC18" s="106">
        <f>AC16/AB16-1</f>
        <v>1.2946340501085007E-2</v>
      </c>
      <c r="AD18" s="106">
        <f>AD16/AC16-1</f>
        <v>-0.10513182559583223</v>
      </c>
      <c r="AE18" s="194" t="s">
        <v>53</v>
      </c>
      <c r="AF18" s="106">
        <f>AF16/AD16-1</f>
        <v>0.12159092454806375</v>
      </c>
      <c r="AG18" s="106">
        <f>AG16/AF16-1</f>
        <v>7.6877364897642408E-2</v>
      </c>
      <c r="AH18" s="210"/>
      <c r="AJ18" s="229">
        <f>SUM('[11]Non-GAAP'!B18:AF18)-SUM(B18:AF18)</f>
        <v>0</v>
      </c>
      <c r="AK18" s="263"/>
    </row>
    <row r="19" spans="1:61" ht="16" thickBot="1" x14ac:dyDescent="0.25">
      <c r="A19" s="80" t="s">
        <v>85</v>
      </c>
      <c r="B19" s="62">
        <v>1.0050251256281451E-2</v>
      </c>
      <c r="C19" s="62">
        <v>6.1455625696249516E-2</v>
      </c>
      <c r="D19" s="62">
        <v>6.5169787887701336E-2</v>
      </c>
      <c r="E19" s="62">
        <v>0.16554182149086216</v>
      </c>
      <c r="F19" s="62">
        <v>7.4913853138820707E-2</v>
      </c>
      <c r="G19" s="62">
        <f t="shared" ref="G19:AG19" si="7">G16/B16-1</f>
        <v>0.13507091408628491</v>
      </c>
      <c r="H19" s="62">
        <f t="shared" si="7"/>
        <v>0.12454084309952762</v>
      </c>
      <c r="I19" s="62">
        <f t="shared" si="7"/>
        <v>9.9690098493449009E-2</v>
      </c>
      <c r="J19" s="62">
        <f t="shared" si="7"/>
        <v>0.11239427456083284</v>
      </c>
      <c r="K19" s="62">
        <f t="shared" si="7"/>
        <v>0.11697097181320992</v>
      </c>
      <c r="L19" s="62">
        <f t="shared" si="7"/>
        <v>0.19125343451524279</v>
      </c>
      <c r="M19" s="62">
        <f t="shared" si="7"/>
        <v>-0.34602582050085551</v>
      </c>
      <c r="N19" s="62">
        <f t="shared" si="7"/>
        <v>0.2880859375</v>
      </c>
      <c r="O19" s="62">
        <f t="shared" si="7"/>
        <v>0.43480040941658138</v>
      </c>
      <c r="P19" s="62">
        <f t="shared" si="7"/>
        <v>0.1500316379414246</v>
      </c>
      <c r="Q19" s="62">
        <f t="shared" si="7"/>
        <v>0.44836486449380808</v>
      </c>
      <c r="R19" s="62">
        <f t="shared" si="7"/>
        <v>1.3450195033774142</v>
      </c>
      <c r="S19" s="62">
        <f t="shared" si="7"/>
        <v>0.22070832882053493</v>
      </c>
      <c r="T19" s="62">
        <f t="shared" si="7"/>
        <v>2.3031612416688718E-2</v>
      </c>
      <c r="U19" s="62">
        <f t="shared" si="7"/>
        <v>0.3663022617558247</v>
      </c>
      <c r="V19" s="62">
        <f t="shared" si="7"/>
        <v>0.13405247592325775</v>
      </c>
      <c r="W19" s="62">
        <f t="shared" si="7"/>
        <v>0.31415704809623302</v>
      </c>
      <c r="X19" s="62">
        <f t="shared" si="7"/>
        <v>0.18374915711395823</v>
      </c>
      <c r="Y19" s="62">
        <f t="shared" si="7"/>
        <v>0.3405255712948021</v>
      </c>
      <c r="Z19" s="62">
        <f>Z16/U16-1</f>
        <v>0.23972635575669243</v>
      </c>
      <c r="AA19" s="62">
        <f t="shared" si="7"/>
        <v>0.30251257961517242</v>
      </c>
      <c r="AB19" s="62">
        <f t="shared" si="7"/>
        <v>0.25191405285255608</v>
      </c>
      <c r="AC19" s="62">
        <f t="shared" si="7"/>
        <v>0.23152797973286954</v>
      </c>
      <c r="AD19" s="62">
        <f t="shared" si="7"/>
        <v>9.262094077431815E-2</v>
      </c>
      <c r="AE19" s="62">
        <f>AE16/Z16-1</f>
        <v>0.2169128025460465</v>
      </c>
      <c r="AF19" s="62">
        <f t="shared" si="7"/>
        <v>5.8281460566001364E-2</v>
      </c>
      <c r="AG19" s="62">
        <f t="shared" si="7"/>
        <v>9.4828861708423862E-2</v>
      </c>
      <c r="AH19" s="210"/>
      <c r="AI19"/>
      <c r="AJ19" s="229">
        <f>SUM('[11]Non-GAAP'!B19:AF19)-SUM(B19:AF19)</f>
        <v>0</v>
      </c>
      <c r="AK19" s="263"/>
      <c r="AS19" s="10"/>
      <c r="AT19" s="10"/>
      <c r="AU19" s="10"/>
      <c r="AV19" s="10"/>
      <c r="AW19" s="10"/>
      <c r="AX19" s="10"/>
      <c r="AY19" s="10"/>
      <c r="AZ19" s="10"/>
      <c r="BA19" s="10"/>
      <c r="BB19" s="10"/>
      <c r="BC19" s="10"/>
      <c r="BD19" s="10"/>
      <c r="BE19" s="10"/>
      <c r="BF19" s="10"/>
      <c r="BG19" s="10"/>
      <c r="BH19" s="10"/>
      <c r="BI19" s="10"/>
    </row>
    <row r="20" spans="1:61" ht="6" customHeight="1" x14ac:dyDescent="0.2">
      <c r="A20" s="81"/>
      <c r="AH20" s="208"/>
      <c r="AI20"/>
      <c r="AJ20" s="223"/>
      <c r="AK20" s="263"/>
      <c r="AS20" s="10"/>
      <c r="AT20" s="10"/>
      <c r="AU20" s="10"/>
      <c r="AV20" s="10"/>
      <c r="AW20" s="10"/>
      <c r="AX20" s="10"/>
      <c r="AY20" s="10"/>
      <c r="AZ20" s="10"/>
      <c r="BA20" s="10"/>
      <c r="BB20" s="10"/>
      <c r="BC20" s="10"/>
      <c r="BD20" s="10"/>
      <c r="BE20" s="10"/>
      <c r="BF20" s="10"/>
      <c r="BG20" s="10"/>
      <c r="BH20" s="10"/>
      <c r="BI20" s="10"/>
    </row>
    <row r="21" spans="1:61" x14ac:dyDescent="0.2">
      <c r="A21" s="45" t="s">
        <v>198</v>
      </c>
      <c r="B21" s="33">
        <f t="shared" ref="B21:AF21" si="8">B9</f>
        <v>15150</v>
      </c>
      <c r="C21" s="33">
        <f t="shared" si="8"/>
        <v>17090</v>
      </c>
      <c r="D21" s="33">
        <f t="shared" si="8"/>
        <v>19674</v>
      </c>
      <c r="E21" s="33">
        <f t="shared" si="8"/>
        <v>-2093</v>
      </c>
      <c r="F21" s="33">
        <f t="shared" si="8"/>
        <v>49821</v>
      </c>
      <c r="G21" s="33">
        <f t="shared" si="8"/>
        <v>16861</v>
      </c>
      <c r="H21" s="33">
        <f t="shared" si="8"/>
        <v>13856</v>
      </c>
      <c r="I21" s="33">
        <f t="shared" si="8"/>
        <v>22422</v>
      </c>
      <c r="J21" s="33">
        <f t="shared" si="8"/>
        <v>23314</v>
      </c>
      <c r="K21" s="33">
        <f t="shared" si="8"/>
        <v>76453</v>
      </c>
      <c r="L21" s="33">
        <f t="shared" si="8"/>
        <v>27487</v>
      </c>
      <c r="M21" s="33">
        <f t="shared" si="8"/>
        <v>9866</v>
      </c>
      <c r="N21" s="33">
        <f t="shared" si="8"/>
        <v>34406</v>
      </c>
      <c r="O21" s="33">
        <f t="shared" si="8"/>
        <v>38263</v>
      </c>
      <c r="P21" s="33">
        <f t="shared" si="8"/>
        <v>110022</v>
      </c>
      <c r="Q21" s="33">
        <f t="shared" si="8"/>
        <v>41555</v>
      </c>
      <c r="R21" s="33">
        <f t="shared" si="8"/>
        <v>35830</v>
      </c>
      <c r="S21" s="33">
        <f t="shared" si="8"/>
        <v>42438</v>
      </c>
      <c r="T21" s="33">
        <f t="shared" si="8"/>
        <v>36058</v>
      </c>
      <c r="U21" s="33">
        <f t="shared" si="8"/>
        <v>155881</v>
      </c>
      <c r="V21" s="33">
        <f t="shared" si="8"/>
        <v>43975</v>
      </c>
      <c r="W21" s="33">
        <f t="shared" si="8"/>
        <v>47081</v>
      </c>
      <c r="X21" s="33">
        <f t="shared" si="8"/>
        <v>50111</v>
      </c>
      <c r="Y21" s="33">
        <f t="shared" si="8"/>
        <v>50995</v>
      </c>
      <c r="Z21" s="33">
        <f t="shared" si="8"/>
        <v>192162</v>
      </c>
      <c r="AA21" s="33">
        <f t="shared" si="8"/>
        <v>59448</v>
      </c>
      <c r="AB21" s="33">
        <f t="shared" si="8"/>
        <v>64811</v>
      </c>
      <c r="AC21" s="33">
        <f t="shared" si="8"/>
        <v>60230</v>
      </c>
      <c r="AD21" s="33">
        <f t="shared" si="8"/>
        <v>54266</v>
      </c>
      <c r="AE21" s="33">
        <f t="shared" si="8"/>
        <v>238755</v>
      </c>
      <c r="AF21" s="33">
        <f t="shared" si="8"/>
        <v>61524</v>
      </c>
      <c r="AG21" s="33">
        <f t="shared" ref="AG21" si="9">AG9</f>
        <v>61449</v>
      </c>
      <c r="AH21" s="209"/>
      <c r="AI21"/>
      <c r="AJ21" s="275">
        <f>SUM('[11]Non-GAAP'!B21:AF21)-SUM(B21:AF21)</f>
        <v>0</v>
      </c>
      <c r="AK21" s="263"/>
      <c r="AS21" s="10"/>
      <c r="AT21" s="10"/>
      <c r="AU21" s="10"/>
      <c r="AV21" s="10"/>
      <c r="AW21" s="10"/>
      <c r="AX21" s="10"/>
      <c r="AY21" s="10"/>
      <c r="AZ21" s="10"/>
      <c r="BA21" s="10"/>
      <c r="BB21" s="10"/>
      <c r="BC21" s="10"/>
      <c r="BD21" s="10"/>
      <c r="BE21" s="10"/>
      <c r="BF21" s="10"/>
      <c r="BG21" s="10"/>
      <c r="BH21" s="10"/>
      <c r="BI21" s="10"/>
    </row>
    <row r="22" spans="1:61" x14ac:dyDescent="0.2">
      <c r="A22" s="49" t="s">
        <v>81</v>
      </c>
      <c r="B22" s="67">
        <f>-'Income Statement'!B23-B10</f>
        <v>6557</v>
      </c>
      <c r="C22" s="67">
        <f>-'Income Statement'!C23-C10</f>
        <v>6821</v>
      </c>
      <c r="D22" s="24">
        <f>-'Income Statement'!D23-D10</f>
        <v>7381</v>
      </c>
      <c r="E22" s="24">
        <f>-'Income Statement'!E23-E10</f>
        <v>7430</v>
      </c>
      <c r="F22" s="67">
        <f>-'Income Statement'!F23-F10</f>
        <v>28189</v>
      </c>
      <c r="G22" s="67">
        <f>-'Income Statement'!G23-G10</f>
        <v>8139</v>
      </c>
      <c r="H22" s="67">
        <f>-'Income Statement'!H23-H10</f>
        <v>7198</v>
      </c>
      <c r="I22" s="67">
        <f>-'Income Statement'!I23-I10</f>
        <v>7545</v>
      </c>
      <c r="J22" s="67">
        <f>-'Income Statement'!J23-J10</f>
        <v>7541</v>
      </c>
      <c r="K22" s="67">
        <f>-'Income Statement'!K23-K10</f>
        <v>30423</v>
      </c>
      <c r="L22" s="67">
        <f>-'Income Statement'!L23-L10</f>
        <v>8296</v>
      </c>
      <c r="M22" s="67">
        <f>-'Income Statement'!M23-M10</f>
        <v>8975</v>
      </c>
      <c r="N22" s="67">
        <f>-'Income Statement'!N23-N10</f>
        <v>9012</v>
      </c>
      <c r="O22" s="67">
        <f>-'Income Statement'!O23-O10</f>
        <v>9767</v>
      </c>
      <c r="P22" s="67">
        <f>-'Income Statement'!P23-P10</f>
        <v>36050</v>
      </c>
      <c r="Q22" s="67">
        <f>-'Income Statement'!Q23-Q10</f>
        <v>8740</v>
      </c>
      <c r="R22" s="67">
        <f>-'Income Statement'!R23-R10</f>
        <v>8913</v>
      </c>
      <c r="S22" s="67">
        <f>-'Income Statement'!S23-S10</f>
        <v>9283</v>
      </c>
      <c r="T22" s="67">
        <f>-'Income Statement'!T23-T10</f>
        <v>9418</v>
      </c>
      <c r="U22" s="67">
        <f>-'Income Statement'!U23-U10</f>
        <v>36354</v>
      </c>
      <c r="V22" s="67">
        <f>-'Income Statement'!V23-V10</f>
        <v>9116</v>
      </c>
      <c r="W22" s="67">
        <f>-'Income Statement'!W23-W10</f>
        <v>9929</v>
      </c>
      <c r="X22" s="67">
        <f>-'Income Statement'!X23-X10</f>
        <v>10137</v>
      </c>
      <c r="Y22" s="67">
        <f t="shared" ref="Y22:Y28" si="10">+Z22-SUM(V22:X22)</f>
        <v>9991</v>
      </c>
      <c r="Z22" s="67">
        <f>-'Income Statement'!Z23-Z10</f>
        <v>39173</v>
      </c>
      <c r="AA22" s="67">
        <f>-'Income Statement'!AA23-AA10</f>
        <v>9338</v>
      </c>
      <c r="AB22" s="67">
        <f>-'Income Statement'!AB23-AB10</f>
        <v>8918</v>
      </c>
      <c r="AC22" s="67">
        <f>-'Income Statement'!AC23-AC10</f>
        <v>8426</v>
      </c>
      <c r="AD22" s="67">
        <f t="shared" ref="AD22:AD28" si="11">+AE22-SUM(AA22:AC22)</f>
        <v>9130</v>
      </c>
      <c r="AE22" s="67">
        <f>-'Income Statement'!AE23-AE10</f>
        <v>35812</v>
      </c>
      <c r="AF22" s="67">
        <f>-'Income Statement'!AF23-AF10</f>
        <v>9266</v>
      </c>
      <c r="AG22" s="67">
        <f>-'Income Statement'!AG23-AG10</f>
        <v>9833</v>
      </c>
      <c r="AH22" s="27">
        <f>[10]FA!$E$35-AG22</f>
        <v>0</v>
      </c>
      <c r="AI22"/>
      <c r="AJ22" s="275">
        <f>SUM('[11]Non-GAAP'!B22:AF22)-SUM(B22:AF22)</f>
        <v>0</v>
      </c>
      <c r="AK22" s="263"/>
      <c r="AS22" s="10"/>
      <c r="AT22" s="10"/>
      <c r="AU22" s="10"/>
      <c r="AV22" s="10"/>
      <c r="AW22" s="10"/>
      <c r="AX22" s="10"/>
      <c r="AY22" s="10"/>
      <c r="AZ22" s="10"/>
      <c r="BA22" s="10"/>
      <c r="BB22" s="10"/>
      <c r="BC22" s="10"/>
      <c r="BD22" s="10"/>
      <c r="BE22" s="10"/>
      <c r="BF22" s="10"/>
      <c r="BG22" s="10"/>
      <c r="BH22" s="10"/>
      <c r="BI22" s="10"/>
    </row>
    <row r="23" spans="1:61" x14ac:dyDescent="0.2">
      <c r="A23" s="49" t="s">
        <v>125</v>
      </c>
      <c r="B23" s="67">
        <f t="shared" ref="B23:AF28" si="12">B10</f>
        <v>3947</v>
      </c>
      <c r="C23" s="67">
        <f t="shared" si="12"/>
        <v>3761</v>
      </c>
      <c r="D23" s="24">
        <f t="shared" si="12"/>
        <v>6718</v>
      </c>
      <c r="E23" s="24">
        <f t="shared" si="12"/>
        <v>5951</v>
      </c>
      <c r="F23" s="67">
        <f t="shared" si="12"/>
        <v>20377</v>
      </c>
      <c r="G23" s="67">
        <f t="shared" si="12"/>
        <v>5528</v>
      </c>
      <c r="H23" s="67">
        <f t="shared" si="12"/>
        <v>5554</v>
      </c>
      <c r="I23" s="67">
        <f t="shared" si="12"/>
        <v>5502</v>
      </c>
      <c r="J23" s="67">
        <f t="shared" si="12"/>
        <v>4974</v>
      </c>
      <c r="K23" s="67">
        <f t="shared" si="12"/>
        <v>21558</v>
      </c>
      <c r="L23" s="67">
        <f t="shared" si="12"/>
        <v>4154</v>
      </c>
      <c r="M23" s="67">
        <f t="shared" si="12"/>
        <v>3430</v>
      </c>
      <c r="N23" s="67">
        <f t="shared" si="12"/>
        <v>3413</v>
      </c>
      <c r="O23" s="67">
        <f t="shared" si="12"/>
        <v>3415</v>
      </c>
      <c r="P23" s="67">
        <f t="shared" si="12"/>
        <v>14412</v>
      </c>
      <c r="Q23" s="67">
        <f t="shared" si="12"/>
        <v>3361</v>
      </c>
      <c r="R23" s="67">
        <f t="shared" si="12"/>
        <v>3397</v>
      </c>
      <c r="S23" s="67">
        <f t="shared" si="12"/>
        <v>3022</v>
      </c>
      <c r="T23" s="67">
        <f t="shared" si="12"/>
        <v>2998</v>
      </c>
      <c r="U23" s="67">
        <f t="shared" si="12"/>
        <v>12778</v>
      </c>
      <c r="V23" s="67">
        <f t="shared" si="12"/>
        <v>4486</v>
      </c>
      <c r="W23" s="67">
        <f t="shared" si="12"/>
        <v>4146</v>
      </c>
      <c r="X23" s="67">
        <f t="shared" si="12"/>
        <v>4243</v>
      </c>
      <c r="Y23" s="67">
        <f t="shared" si="10"/>
        <v>4234</v>
      </c>
      <c r="Z23" s="67">
        <f t="shared" si="12"/>
        <v>17109</v>
      </c>
      <c r="AA23" s="67">
        <f t="shared" si="12"/>
        <v>4149</v>
      </c>
      <c r="AB23" s="67">
        <f t="shared" si="12"/>
        <v>4204</v>
      </c>
      <c r="AC23" s="67">
        <f t="shared" si="12"/>
        <v>3157</v>
      </c>
      <c r="AD23" s="67">
        <f t="shared" si="11"/>
        <v>3168</v>
      </c>
      <c r="AE23" s="67">
        <f t="shared" si="12"/>
        <v>14678</v>
      </c>
      <c r="AF23" s="67">
        <f t="shared" si="12"/>
        <v>3080</v>
      </c>
      <c r="AG23" s="67">
        <f t="shared" ref="AG23" si="13">AG10</f>
        <v>3077</v>
      </c>
      <c r="AH23" s="27">
        <f>AG10-AG23</f>
        <v>0</v>
      </c>
      <c r="AI23"/>
      <c r="AJ23" s="275">
        <f>SUM('[11]Non-GAAP'!B23:AF23)-SUM(B23:AF23)</f>
        <v>0</v>
      </c>
      <c r="AK23" s="263"/>
      <c r="AS23" s="10"/>
      <c r="AT23" s="10"/>
      <c r="AU23" s="10"/>
      <c r="AV23" s="10"/>
      <c r="AW23" s="10"/>
      <c r="AX23" s="10"/>
      <c r="AY23" s="10"/>
      <c r="AZ23" s="10"/>
      <c r="BA23" s="10"/>
      <c r="BB23" s="10"/>
      <c r="BC23" s="10"/>
      <c r="BD23" s="10"/>
      <c r="BE23" s="10"/>
      <c r="BF23" s="10"/>
      <c r="BG23" s="10"/>
      <c r="BH23" s="10"/>
      <c r="BI23" s="10"/>
    </row>
    <row r="24" spans="1:61" x14ac:dyDescent="0.2">
      <c r="A24" s="49" t="s">
        <v>126</v>
      </c>
      <c r="B24" s="67">
        <f t="shared" si="12"/>
        <v>5074</v>
      </c>
      <c r="C24" s="67">
        <f t="shared" si="12"/>
        <v>6893</v>
      </c>
      <c r="D24" s="24">
        <f t="shared" si="12"/>
        <v>5344</v>
      </c>
      <c r="E24" s="24">
        <f t="shared" si="12"/>
        <v>6590</v>
      </c>
      <c r="F24" s="67">
        <f t="shared" si="12"/>
        <v>23901</v>
      </c>
      <c r="G24" s="67">
        <f t="shared" si="12"/>
        <v>6956</v>
      </c>
      <c r="H24" s="67">
        <f t="shared" si="12"/>
        <v>7155</v>
      </c>
      <c r="I24" s="67">
        <f t="shared" si="12"/>
        <v>7427</v>
      </c>
      <c r="J24" s="67">
        <f t="shared" si="12"/>
        <v>4532</v>
      </c>
      <c r="K24" s="67">
        <f t="shared" si="12"/>
        <v>26070</v>
      </c>
      <c r="L24" s="67">
        <f t="shared" si="12"/>
        <v>4778</v>
      </c>
      <c r="M24" s="67">
        <f t="shared" si="12"/>
        <v>7726</v>
      </c>
      <c r="N24" s="67">
        <f t="shared" si="12"/>
        <v>8346</v>
      </c>
      <c r="O24" s="67">
        <f t="shared" si="12"/>
        <v>7385</v>
      </c>
      <c r="P24" s="67">
        <f t="shared" si="12"/>
        <v>28235</v>
      </c>
      <c r="Q24" s="67">
        <f t="shared" si="12"/>
        <v>7832</v>
      </c>
      <c r="R24" s="67">
        <f t="shared" si="12"/>
        <v>10070</v>
      </c>
      <c r="S24" s="67">
        <f t="shared" si="12"/>
        <v>10894</v>
      </c>
      <c r="T24" s="67">
        <f t="shared" si="12"/>
        <v>9825</v>
      </c>
      <c r="U24" s="67">
        <f t="shared" si="12"/>
        <v>38621</v>
      </c>
      <c r="V24" s="67">
        <f t="shared" si="12"/>
        <v>11224</v>
      </c>
      <c r="W24" s="67">
        <f t="shared" si="12"/>
        <v>13340</v>
      </c>
      <c r="X24" s="67">
        <f t="shared" si="12"/>
        <v>12186</v>
      </c>
      <c r="Y24" s="67">
        <f t="shared" si="10"/>
        <v>12616</v>
      </c>
      <c r="Z24" s="67">
        <f t="shared" si="12"/>
        <v>49366</v>
      </c>
      <c r="AA24" s="67">
        <f t="shared" si="12"/>
        <v>14407</v>
      </c>
      <c r="AB24" s="67">
        <f t="shared" si="12"/>
        <v>11511</v>
      </c>
      <c r="AC24" s="67">
        <f t="shared" si="12"/>
        <v>17067</v>
      </c>
      <c r="AD24" s="67">
        <f t="shared" si="11"/>
        <v>15452</v>
      </c>
      <c r="AE24" s="67">
        <f t="shared" si="12"/>
        <v>58437</v>
      </c>
      <c r="AF24" s="67">
        <f t="shared" si="12"/>
        <v>17852</v>
      </c>
      <c r="AG24" s="67">
        <f t="shared" ref="AG24" si="14">AG11</f>
        <v>18095</v>
      </c>
      <c r="AH24" s="27">
        <f>AG11-AG24</f>
        <v>0</v>
      </c>
      <c r="AI24"/>
      <c r="AJ24" s="275">
        <f>SUM('[11]Non-GAAP'!B24:AF24)-SUM(B24:AF24)</f>
        <v>0</v>
      </c>
      <c r="AK24" s="263"/>
      <c r="AS24" s="10"/>
      <c r="AT24" s="10"/>
      <c r="AU24" s="10"/>
      <c r="AV24" s="10"/>
      <c r="AW24" s="10"/>
      <c r="AX24" s="10"/>
      <c r="AY24" s="10"/>
      <c r="AZ24" s="10"/>
      <c r="BA24" s="10"/>
      <c r="BB24" s="10"/>
      <c r="BC24" s="10"/>
      <c r="BD24" s="10"/>
      <c r="BE24" s="10"/>
      <c r="BF24" s="10"/>
      <c r="BG24" s="10"/>
      <c r="BH24" s="10"/>
      <c r="BI24" s="10"/>
    </row>
    <row r="25" spans="1:61" x14ac:dyDescent="0.2">
      <c r="A25" s="49" t="s">
        <v>172</v>
      </c>
      <c r="B25" s="24">
        <f t="shared" si="12"/>
        <v>2400</v>
      </c>
      <c r="C25" s="24">
        <f t="shared" si="12"/>
        <v>0</v>
      </c>
      <c r="D25" s="24">
        <f t="shared" si="12"/>
        <v>0</v>
      </c>
      <c r="E25" s="24">
        <f t="shared" si="12"/>
        <v>0</v>
      </c>
      <c r="F25" s="24">
        <f t="shared" si="12"/>
        <v>2400</v>
      </c>
      <c r="G25" s="24">
        <f t="shared" si="12"/>
        <v>0</v>
      </c>
      <c r="H25" s="24">
        <f t="shared" si="12"/>
        <v>0</v>
      </c>
      <c r="I25" s="24">
        <f t="shared" si="12"/>
        <v>0</v>
      </c>
      <c r="J25" s="24">
        <f t="shared" si="12"/>
        <v>0</v>
      </c>
      <c r="K25" s="24">
        <f t="shared" si="12"/>
        <v>0</v>
      </c>
      <c r="L25" s="24">
        <f t="shared" si="12"/>
        <v>0</v>
      </c>
      <c r="M25" s="24">
        <f t="shared" si="12"/>
        <v>0</v>
      </c>
      <c r="N25" s="24">
        <f t="shared" si="12"/>
        <v>0</v>
      </c>
      <c r="O25" s="24">
        <f t="shared" si="12"/>
        <v>0</v>
      </c>
      <c r="P25" s="24">
        <f t="shared" si="12"/>
        <v>0</v>
      </c>
      <c r="Q25" s="24">
        <f t="shared" si="12"/>
        <v>0</v>
      </c>
      <c r="R25" s="24">
        <f t="shared" si="12"/>
        <v>0</v>
      </c>
      <c r="S25" s="24">
        <f t="shared" si="12"/>
        <v>0</v>
      </c>
      <c r="T25" s="24">
        <f t="shared" si="12"/>
        <v>0</v>
      </c>
      <c r="U25" s="24">
        <f t="shared" si="12"/>
        <v>0</v>
      </c>
      <c r="V25" s="24">
        <f t="shared" si="12"/>
        <v>0</v>
      </c>
      <c r="W25" s="67">
        <f t="shared" si="12"/>
        <v>217</v>
      </c>
      <c r="X25" s="67">
        <f t="shared" si="12"/>
        <v>169</v>
      </c>
      <c r="Y25" s="24">
        <f t="shared" si="10"/>
        <v>0</v>
      </c>
      <c r="Z25" s="24">
        <f>Z12</f>
        <v>386</v>
      </c>
      <c r="AA25" s="24">
        <v>0</v>
      </c>
      <c r="AB25" s="24">
        <v>0</v>
      </c>
      <c r="AC25" s="24">
        <v>0</v>
      </c>
      <c r="AD25" s="24">
        <f t="shared" si="11"/>
        <v>895</v>
      </c>
      <c r="AE25" s="24">
        <f>AE12</f>
        <v>895</v>
      </c>
      <c r="AF25" s="24">
        <f>AF12</f>
        <v>0</v>
      </c>
      <c r="AG25" s="24">
        <f>AG12</f>
        <v>1412</v>
      </c>
      <c r="AH25" s="207"/>
      <c r="AI25"/>
      <c r="AJ25" s="275">
        <f>SUM('[11]Non-GAAP'!B25:AF25)-SUM(B25:AF25)</f>
        <v>0</v>
      </c>
      <c r="AK25" s="263"/>
      <c r="AS25" s="10"/>
      <c r="AT25" s="10"/>
      <c r="AU25" s="10"/>
      <c r="AV25" s="10"/>
      <c r="AW25" s="10"/>
      <c r="AX25" s="10"/>
      <c r="AY25" s="10"/>
      <c r="AZ25" s="10"/>
      <c r="BA25" s="10"/>
      <c r="BB25" s="10"/>
      <c r="BC25" s="10"/>
      <c r="BD25" s="10"/>
      <c r="BE25" s="10"/>
      <c r="BF25" s="10"/>
      <c r="BG25" s="10"/>
      <c r="BH25" s="10"/>
      <c r="BI25" s="10"/>
    </row>
    <row r="26" spans="1:61" x14ac:dyDescent="0.2">
      <c r="A26" s="49" t="s">
        <v>129</v>
      </c>
      <c r="B26" s="154">
        <f t="shared" si="12"/>
        <v>363</v>
      </c>
      <c r="C26" s="154">
        <f t="shared" si="12"/>
        <v>841</v>
      </c>
      <c r="D26" s="154">
        <f t="shared" si="12"/>
        <v>855</v>
      </c>
      <c r="E26" s="154">
        <f t="shared" si="12"/>
        <v>236</v>
      </c>
      <c r="F26" s="24">
        <f t="shared" si="12"/>
        <v>2295</v>
      </c>
      <c r="G26" s="24">
        <f t="shared" si="12"/>
        <v>0</v>
      </c>
      <c r="H26" s="24">
        <f t="shared" si="12"/>
        <v>0</v>
      </c>
      <c r="I26" s="24">
        <f t="shared" si="12"/>
        <v>0</v>
      </c>
      <c r="J26" s="24">
        <f t="shared" si="12"/>
        <v>0</v>
      </c>
      <c r="K26" s="24">
        <f t="shared" si="12"/>
        <v>0</v>
      </c>
      <c r="L26" s="24">
        <f t="shared" si="12"/>
        <v>0</v>
      </c>
      <c r="M26" s="24">
        <f t="shared" si="12"/>
        <v>0</v>
      </c>
      <c r="N26" s="24">
        <f t="shared" si="12"/>
        <v>0</v>
      </c>
      <c r="O26" s="24">
        <f t="shared" si="12"/>
        <v>0</v>
      </c>
      <c r="P26" s="24">
        <f t="shared" si="12"/>
        <v>0</v>
      </c>
      <c r="Q26" s="24">
        <f t="shared" si="12"/>
        <v>0</v>
      </c>
      <c r="R26" s="24">
        <f t="shared" si="12"/>
        <v>0</v>
      </c>
      <c r="S26" s="24">
        <f t="shared" si="12"/>
        <v>0</v>
      </c>
      <c r="T26" s="24">
        <f t="shared" si="12"/>
        <v>761</v>
      </c>
      <c r="U26" s="24">
        <f t="shared" si="12"/>
        <v>761</v>
      </c>
      <c r="V26" s="24">
        <f t="shared" si="12"/>
        <v>134</v>
      </c>
      <c r="W26" s="24">
        <f t="shared" si="12"/>
        <v>0</v>
      </c>
      <c r="X26" s="24">
        <f t="shared" si="12"/>
        <v>0</v>
      </c>
      <c r="Y26" s="24">
        <f t="shared" si="10"/>
        <v>0</v>
      </c>
      <c r="Z26" s="24">
        <f t="shared" si="12"/>
        <v>134</v>
      </c>
      <c r="AA26" s="24">
        <v>0</v>
      </c>
      <c r="AB26" s="24">
        <v>0</v>
      </c>
      <c r="AC26" s="24">
        <v>0</v>
      </c>
      <c r="AD26" s="24">
        <f t="shared" si="11"/>
        <v>0</v>
      </c>
      <c r="AE26" s="24">
        <v>0</v>
      </c>
      <c r="AF26" s="24">
        <v>0</v>
      </c>
      <c r="AG26" s="24">
        <v>0</v>
      </c>
      <c r="AH26" s="207"/>
      <c r="AI26"/>
      <c r="AJ26" s="275">
        <f>SUM('[11]Non-GAAP'!B26:AF26)-SUM(B26:AF26)</f>
        <v>0</v>
      </c>
      <c r="AK26" s="263"/>
      <c r="AS26" s="10"/>
      <c r="AT26" s="10"/>
      <c r="AU26" s="10"/>
      <c r="AV26" s="10"/>
      <c r="AW26" s="10"/>
      <c r="AX26" s="10"/>
      <c r="AY26" s="10"/>
      <c r="AZ26" s="10"/>
      <c r="BA26" s="10"/>
      <c r="BB26" s="10"/>
      <c r="BC26" s="10"/>
      <c r="BD26" s="10"/>
      <c r="BE26" s="10"/>
      <c r="BF26" s="10"/>
      <c r="BG26" s="10"/>
      <c r="BH26" s="10"/>
      <c r="BI26" s="10"/>
    </row>
    <row r="27" spans="1:61" x14ac:dyDescent="0.2">
      <c r="A27" s="49" t="s">
        <v>166</v>
      </c>
      <c r="B27" s="154"/>
      <c r="C27" s="154"/>
      <c r="D27" s="154"/>
      <c r="E27" s="154"/>
      <c r="F27" s="24">
        <f t="shared" si="12"/>
        <v>0</v>
      </c>
      <c r="G27" s="24">
        <f t="shared" si="12"/>
        <v>0</v>
      </c>
      <c r="H27" s="24">
        <f t="shared" si="12"/>
        <v>0</v>
      </c>
      <c r="I27" s="24">
        <f t="shared" si="12"/>
        <v>0</v>
      </c>
      <c r="J27" s="24">
        <f t="shared" si="12"/>
        <v>0</v>
      </c>
      <c r="K27" s="24">
        <f t="shared" si="12"/>
        <v>0</v>
      </c>
      <c r="L27" s="24">
        <f t="shared" si="12"/>
        <v>0</v>
      </c>
      <c r="M27" s="24">
        <f t="shared" si="12"/>
        <v>0</v>
      </c>
      <c r="N27" s="24">
        <f t="shared" si="12"/>
        <v>0</v>
      </c>
      <c r="O27" s="24">
        <f t="shared" si="12"/>
        <v>0</v>
      </c>
      <c r="P27" s="24">
        <f t="shared" si="12"/>
        <v>0</v>
      </c>
      <c r="Q27" s="24">
        <f t="shared" si="12"/>
        <v>0</v>
      </c>
      <c r="R27" s="24">
        <f t="shared" si="12"/>
        <v>0</v>
      </c>
      <c r="S27" s="24">
        <f t="shared" si="12"/>
        <v>0</v>
      </c>
      <c r="T27" s="24">
        <f t="shared" si="12"/>
        <v>551</v>
      </c>
      <c r="U27" s="24">
        <f t="shared" si="12"/>
        <v>551</v>
      </c>
      <c r="V27" s="24">
        <f t="shared" si="12"/>
        <v>0</v>
      </c>
      <c r="W27" s="24">
        <f t="shared" si="12"/>
        <v>0</v>
      </c>
      <c r="X27" s="24">
        <f t="shared" si="12"/>
        <v>0</v>
      </c>
      <c r="Y27" s="24">
        <f t="shared" si="10"/>
        <v>-864</v>
      </c>
      <c r="Z27" s="24">
        <f>ROUND(SUM('[104]Closed Ctr Summary V2'!$M$19,'[104]Closed Ctr Summary V2'!$U$19,'[104]Closed Ctr Summary V2'!$X$19,'[104]Closed Ctr Summary V2'!$Y$19)/1000,0)</f>
        <v>-864</v>
      </c>
      <c r="AA27" s="24">
        <f>ROUND(SUM('[105]SEC P&amp;L with remarks'!$AF$32,'[105]SEC P&amp;L with remarks'!$AF$30),0)</f>
        <v>-838</v>
      </c>
      <c r="AB27" s="24">
        <f>ROUND(SUM('[106]SEC P&amp;L with remarks'!$AH$32,'[106]SEC P&amp;L with remarks'!$AH$30),0)</f>
        <v>-51</v>
      </c>
      <c r="AC27" s="24">
        <f>ROUND(SUM('[107]Adjusted EPS-Post stock split'!$G$12,'[107]Adjusted EPS-Post stock split'!$G$23),0)</f>
        <v>1700</v>
      </c>
      <c r="AD27" s="24">
        <f t="shared" si="11"/>
        <v>-264</v>
      </c>
      <c r="AE27" s="154">
        <f>ROUND(SUM('[108]SEC P&amp;L with remarks'!$AO$26,'[108]SEC P&amp;L with remarks'!$AO$30,'[108]SEC P&amp;L with remarks'!$AO$32),0)</f>
        <v>547</v>
      </c>
      <c r="AF27" s="154">
        <v>0</v>
      </c>
      <c r="AG27" s="154">
        <v>0</v>
      </c>
      <c r="AH27" s="207"/>
      <c r="AI27"/>
      <c r="AJ27" s="275">
        <f>SUM('[11]Non-GAAP'!B27:AF27)-SUM(B27:AF27)</f>
        <v>0</v>
      </c>
      <c r="AK27" s="263"/>
      <c r="AS27" s="10"/>
      <c r="AT27" s="10"/>
      <c r="AU27" s="10"/>
      <c r="AV27" s="10"/>
      <c r="AW27" s="10"/>
      <c r="AX27" s="10"/>
      <c r="AY27" s="10"/>
      <c r="AZ27" s="10"/>
      <c r="BA27" s="10"/>
      <c r="BB27" s="10"/>
      <c r="BC27" s="10"/>
      <c r="BD27" s="10"/>
      <c r="BE27" s="10"/>
      <c r="BF27" s="10"/>
      <c r="BG27" s="10"/>
      <c r="BH27" s="10"/>
      <c r="BI27" s="10"/>
    </row>
    <row r="28" spans="1:61" x14ac:dyDescent="0.2">
      <c r="A28" s="245" t="s">
        <v>228</v>
      </c>
      <c r="B28" s="171">
        <v>0</v>
      </c>
      <c r="C28" s="171">
        <v>0</v>
      </c>
      <c r="D28" s="171">
        <v>0</v>
      </c>
      <c r="E28" s="171">
        <f>E15</f>
        <v>20056</v>
      </c>
      <c r="F28" s="172">
        <f t="shared" si="12"/>
        <v>20056</v>
      </c>
      <c r="G28" s="172">
        <f t="shared" si="12"/>
        <v>1227</v>
      </c>
      <c r="H28" s="172">
        <f t="shared" si="12"/>
        <v>5580</v>
      </c>
      <c r="I28" s="172">
        <f t="shared" si="12"/>
        <v>489</v>
      </c>
      <c r="J28" s="172">
        <f t="shared" si="12"/>
        <v>1375</v>
      </c>
      <c r="K28" s="172">
        <f t="shared" si="12"/>
        <v>8671</v>
      </c>
      <c r="L28" s="172">
        <f t="shared" si="12"/>
        <v>0</v>
      </c>
      <c r="M28" s="172">
        <f t="shared" si="12"/>
        <v>0</v>
      </c>
      <c r="N28" s="172">
        <f t="shared" si="12"/>
        <v>0</v>
      </c>
      <c r="O28" s="172">
        <f t="shared" si="12"/>
        <v>0</v>
      </c>
      <c r="P28" s="172">
        <f t="shared" si="12"/>
        <v>0</v>
      </c>
      <c r="Q28" s="172">
        <f t="shared" si="12"/>
        <v>0</v>
      </c>
      <c r="R28" s="172">
        <f t="shared" si="12"/>
        <v>0</v>
      </c>
      <c r="S28" s="172">
        <f t="shared" si="12"/>
        <v>0</v>
      </c>
      <c r="T28" s="172">
        <f t="shared" si="12"/>
        <v>0</v>
      </c>
      <c r="U28" s="172">
        <f t="shared" si="12"/>
        <v>0</v>
      </c>
      <c r="V28" s="172">
        <f t="shared" si="12"/>
        <v>0</v>
      </c>
      <c r="W28" s="172">
        <f t="shared" si="12"/>
        <v>0</v>
      </c>
      <c r="X28" s="172">
        <f>Z15</f>
        <v>0</v>
      </c>
      <c r="Y28" s="172">
        <f t="shared" si="10"/>
        <v>0</v>
      </c>
      <c r="Z28" s="172">
        <f t="shared" si="12"/>
        <v>0</v>
      </c>
      <c r="AA28" s="24">
        <v>0</v>
      </c>
      <c r="AB28" s="24">
        <v>0</v>
      </c>
      <c r="AC28" s="24">
        <v>0</v>
      </c>
      <c r="AD28" s="172">
        <f t="shared" si="11"/>
        <v>0</v>
      </c>
      <c r="AE28" s="24">
        <v>0</v>
      </c>
      <c r="AF28" s="24">
        <v>0</v>
      </c>
      <c r="AG28" s="26">
        <f>AG15</f>
        <v>4762</v>
      </c>
      <c r="AH28" s="213"/>
      <c r="AI28"/>
      <c r="AJ28" s="275">
        <f>SUM('[11]Non-GAAP'!B28:AF28)-SUM(B28:AF28)</f>
        <v>0</v>
      </c>
      <c r="AK28" s="263"/>
      <c r="AS28" s="10"/>
      <c r="AT28" s="10"/>
      <c r="AU28" s="10"/>
      <c r="AV28" s="10"/>
      <c r="AW28" s="10"/>
      <c r="AX28" s="10"/>
      <c r="AY28" s="10"/>
      <c r="AZ28" s="10"/>
      <c r="BA28" s="10"/>
      <c r="BB28" s="10"/>
      <c r="BC28" s="10"/>
      <c r="BD28" s="10"/>
      <c r="BE28" s="10"/>
      <c r="BF28" s="10"/>
      <c r="BG28" s="10"/>
      <c r="BH28" s="10"/>
      <c r="BI28" s="10"/>
    </row>
    <row r="29" spans="1:61" x14ac:dyDescent="0.2">
      <c r="A29" s="45" t="s">
        <v>78</v>
      </c>
      <c r="B29" s="33">
        <f t="shared" ref="B29:W29" si="15">SUM(B21:B28)</f>
        <v>33491</v>
      </c>
      <c r="C29" s="33">
        <f t="shared" si="15"/>
        <v>35406</v>
      </c>
      <c r="D29" s="33">
        <f t="shared" si="15"/>
        <v>39972</v>
      </c>
      <c r="E29" s="33">
        <f t="shared" si="15"/>
        <v>38170</v>
      </c>
      <c r="F29" s="33">
        <f t="shared" si="15"/>
        <v>147039</v>
      </c>
      <c r="G29" s="33">
        <f t="shared" si="15"/>
        <v>38711</v>
      </c>
      <c r="H29" s="33">
        <f t="shared" si="15"/>
        <v>39343</v>
      </c>
      <c r="I29" s="33">
        <f t="shared" si="15"/>
        <v>43385</v>
      </c>
      <c r="J29" s="33">
        <f t="shared" si="15"/>
        <v>41736</v>
      </c>
      <c r="K29" s="33">
        <f t="shared" si="15"/>
        <v>163175</v>
      </c>
      <c r="L29" s="33">
        <f t="shared" si="15"/>
        <v>44715</v>
      </c>
      <c r="M29" s="33">
        <f t="shared" si="15"/>
        <v>29997</v>
      </c>
      <c r="N29" s="33">
        <f t="shared" si="15"/>
        <v>55177</v>
      </c>
      <c r="O29" s="33">
        <f t="shared" si="15"/>
        <v>58830</v>
      </c>
      <c r="P29" s="33">
        <f t="shared" si="15"/>
        <v>188719</v>
      </c>
      <c r="Q29" s="33">
        <f t="shared" si="15"/>
        <v>61488</v>
      </c>
      <c r="R29" s="33">
        <f t="shared" si="15"/>
        <v>58210</v>
      </c>
      <c r="S29" s="33">
        <f t="shared" si="15"/>
        <v>65637</v>
      </c>
      <c r="T29" s="33">
        <f t="shared" si="15"/>
        <v>59611</v>
      </c>
      <c r="U29" s="33">
        <f t="shared" si="15"/>
        <v>244946</v>
      </c>
      <c r="V29" s="33">
        <f t="shared" si="15"/>
        <v>68935</v>
      </c>
      <c r="W29" s="33">
        <f t="shared" si="15"/>
        <v>74713</v>
      </c>
      <c r="X29" s="33">
        <f t="shared" ref="X29:AF29" si="16">SUM(X21:X28)</f>
        <v>76846</v>
      </c>
      <c r="Y29" s="33">
        <f t="shared" si="16"/>
        <v>76972</v>
      </c>
      <c r="Z29" s="33">
        <f t="shared" si="16"/>
        <v>297466</v>
      </c>
      <c r="AA29" s="33">
        <f t="shared" si="16"/>
        <v>86504</v>
      </c>
      <c r="AB29" s="33">
        <f t="shared" si="16"/>
        <v>89393</v>
      </c>
      <c r="AC29" s="33">
        <f t="shared" si="16"/>
        <v>90580</v>
      </c>
      <c r="AD29" s="33">
        <f t="shared" si="16"/>
        <v>82647</v>
      </c>
      <c r="AE29" s="33">
        <f t="shared" si="16"/>
        <v>349124</v>
      </c>
      <c r="AF29" s="33">
        <f t="shared" si="16"/>
        <v>91722</v>
      </c>
      <c r="AG29" s="33">
        <f t="shared" ref="AG29" si="17">SUM(AG21:AG28)</f>
        <v>98628</v>
      </c>
      <c r="AH29" s="281">
        <f>ROUND('[109]SEC P&amp;L'!$AF$33,0)-AG29</f>
        <v>1</v>
      </c>
      <c r="AI29"/>
      <c r="AJ29" s="275">
        <f>SUM('[11]Non-GAAP'!B29:AF29)-SUM(B29:AF29)</f>
        <v>0</v>
      </c>
      <c r="AK29" s="265"/>
      <c r="AL29" s="198"/>
      <c r="AS29" s="10"/>
      <c r="AT29" s="10"/>
      <c r="AU29" s="10"/>
      <c r="AV29" s="10"/>
      <c r="AW29" s="10"/>
      <c r="AX29" s="10"/>
      <c r="AY29" s="10"/>
      <c r="AZ29" s="10"/>
      <c r="BA29" s="10"/>
      <c r="BB29" s="10"/>
      <c r="BC29" s="10"/>
      <c r="BD29" s="10"/>
      <c r="BE29" s="10"/>
      <c r="BF29" s="10"/>
      <c r="BG29" s="10"/>
      <c r="BH29" s="10"/>
      <c r="BI29" s="10"/>
    </row>
    <row r="30" spans="1:61" x14ac:dyDescent="0.2">
      <c r="A30" s="79" t="s">
        <v>79</v>
      </c>
      <c r="B30" s="75">
        <f>IF(B29/'Income Statement'!B8&lt;0, "NM",B29/'Income Statement'!B8)</f>
        <v>0.16181337662400411</v>
      </c>
      <c r="C30" s="75">
        <f>IF(C29/'Income Statement'!C8&lt;0, "NM",C29/'Income Statement'!C8)</f>
        <v>0.16851012793176973</v>
      </c>
      <c r="D30" s="75">
        <f>IF(D29/'Income Statement'!D8&lt;0, "NM",D29/'Income Statement'!D8)</f>
        <v>0.17294612415846039</v>
      </c>
      <c r="E30" s="75">
        <f>IF(E29/'Income Statement'!E8&lt;0, "NM",E29/'Income Statement'!E8)</f>
        <v>0.1624926033298851</v>
      </c>
      <c r="F30" s="75">
        <f>IF(F29/'Income Statement'!F8&lt;0, "NM",F29/'Income Statement'!F8)</f>
        <v>0.1665009647700405</v>
      </c>
      <c r="G30" s="75">
        <f>IF(G29/'Income Statement'!G8&lt;0, "NM",G29/'Income Statement'!G8)</f>
        <v>0.16158331698480213</v>
      </c>
      <c r="H30" s="75">
        <f>IF(H29/'Income Statement'!H8&lt;0, "NM",H29/'Income Statement'!H8)</f>
        <v>0.16156692360446637</v>
      </c>
      <c r="I30" s="75">
        <f>IF(I29/'Income Statement'!I8&lt;0, "NM",I29/'Income Statement'!I8)</f>
        <v>0.17257907968431771</v>
      </c>
      <c r="J30" s="75">
        <f>IF(J29/'Income Statement'!J8&lt;0, "NM",J29/'Income Statement'!J8)</f>
        <v>0.16247780995982436</v>
      </c>
      <c r="K30" s="75">
        <f>IF(K29/'Income Statement'!K8&lt;0, "NM",K29/'Income Statement'!K8)</f>
        <v>0.16459944358478271</v>
      </c>
      <c r="L30" s="75">
        <f>IF(L29/'Income Statement'!L8&lt;0, "NM",L29/'Income Statement'!L8)</f>
        <v>0.18177568193829016</v>
      </c>
      <c r="M30" s="75">
        <f>IF(M29/'Income Statement'!M8&lt;0, "NM",M29/'Income Statement'!M8)</f>
        <v>0.13483433944793299</v>
      </c>
      <c r="N30" s="75">
        <f>IF(N29/'Income Statement'!N8&lt;0, "NM",N29/'Income Statement'!N8)</f>
        <v>0.22893310873046827</v>
      </c>
      <c r="O30" s="75">
        <f>IF(O29/'Income Statement'!O8&lt;0, "NM",O29/'Income Statement'!O8)</f>
        <v>0.23630966487650279</v>
      </c>
      <c r="P30" s="75">
        <f>IF(P29/'Income Statement'!P8&lt;0, "NM",P29/'Income Statement'!P8)</f>
        <v>0.19690349048552117</v>
      </c>
      <c r="Q30" s="75">
        <f>IF(Q29/'Income Statement'!Q8&lt;0, "NM",Q29/'Income Statement'!Q8)</f>
        <v>0.23521221046994242</v>
      </c>
      <c r="R30" s="75">
        <f>IF(R29/'Income Statement'!R8&lt;0, "NM",R29/'Income Statement'!R8)</f>
        <v>0.2116234767181456</v>
      </c>
      <c r="S30" s="75">
        <f>IF(S29/'Income Statement'!S8&lt;0, "NM",S29/'Income Statement'!S8)</f>
        <v>0.22608111599070008</v>
      </c>
      <c r="T30" s="75">
        <f>IF(T29/'Income Statement'!T8&lt;0, "NM",T29/'Income Statement'!T8)</f>
        <v>0.20173678207987439</v>
      </c>
      <c r="U30" s="75">
        <f>IF(U29/'Income Statement'!U8&lt;0, "NM",U29/'Income Statement'!U8)</f>
        <v>0.21825494768300258</v>
      </c>
      <c r="V30" s="75">
        <f>IF(V29/'Income Statement'!V8&lt;0, "NM",V29/'Income Statement'!V8)</f>
        <v>0.20939649097227284</v>
      </c>
      <c r="W30" s="75">
        <f>IF(W29/'Income Statement'!W8&lt;0, "NM",W29/'Income Statement'!W8)</f>
        <v>0.21544659180695652</v>
      </c>
      <c r="X30" s="75">
        <f>IF(X29/'Income Statement'!X8&lt;0, "NM",X29/'Income Statement'!X8)</f>
        <v>0.21266303400295003</v>
      </c>
      <c r="Y30" s="75">
        <f>IF(Y29/'Income Statement'!Y8&lt;0, "NM",Y29/'Income Statement'!Y8)</f>
        <v>0.20542136038409087</v>
      </c>
      <c r="Z30" s="75">
        <f>IF(Z29/'Income Statement'!Z8&lt;0, "NM",Z29/'Income Statement'!Z8)</f>
        <v>0.21066340708929751</v>
      </c>
      <c r="AA30" s="75">
        <f>IF(AA29/'Income Statement'!AA8&lt;0, "NM",AA29/'Income Statement'!AA8)</f>
        <v>0.21591291998113032</v>
      </c>
      <c r="AB30" s="75">
        <f>IF(AB29/'Income Statement'!AB8&lt;0, "NM",AB29/'Income Statement'!AB8)</f>
        <v>0.2207256367964128</v>
      </c>
      <c r="AC30" s="75">
        <f>IF(AC29/'Income Statement'!AC8&lt;0, "NM",AC29/'Income Statement'!AC8)</f>
        <v>0.22040484608403027</v>
      </c>
      <c r="AD30" s="75">
        <f>IF(AD29/'Income Statement'!AD8&lt;0, "NM",AD29/'Income Statement'!AD8)</f>
        <v>0.19960247115138458</v>
      </c>
      <c r="AE30" s="75">
        <f>IF(AE29/'Income Statement'!AE8&lt;0, "NM",AE29/'Income Statement'!AE8)</f>
        <v>0.21409876197975308</v>
      </c>
      <c r="AF30" s="75">
        <f>IF(AF29/'Income Statement'!AF8&lt;0, "NM",AF29/'Income Statement'!AF8)</f>
        <v>0.21012721445475102</v>
      </c>
      <c r="AG30" s="75">
        <f>IF(AG29/'Income Statement'!AG8&lt;0, "NM",AG29/'Income Statement'!AG8)</f>
        <v>0.21997207638402555</v>
      </c>
      <c r="AH30" s="211"/>
      <c r="AI30"/>
      <c r="AJ30" s="229">
        <f>SUM('[11]Non-GAAP'!B30:AF30)-SUM(B30:AF30)</f>
        <v>0</v>
      </c>
      <c r="AK30" s="263"/>
      <c r="AS30" s="10"/>
      <c r="AT30" s="10"/>
      <c r="AU30" s="10"/>
      <c r="AV30" s="10"/>
      <c r="AW30" s="10"/>
      <c r="AX30" s="10"/>
      <c r="AY30" s="10"/>
      <c r="AZ30" s="10"/>
      <c r="BA30" s="10"/>
      <c r="BB30" s="10"/>
      <c r="BC30" s="10"/>
      <c r="BD30" s="10"/>
      <c r="BE30" s="10"/>
      <c r="BF30" s="10"/>
      <c r="BG30" s="10"/>
      <c r="BH30" s="10"/>
      <c r="BI30" s="10"/>
    </row>
    <row r="31" spans="1:61" x14ac:dyDescent="0.2">
      <c r="A31" s="46" t="s">
        <v>84</v>
      </c>
      <c r="B31" s="75">
        <v>1.6387970016084497E-2</v>
      </c>
      <c r="C31" s="75">
        <f>C29/B29-1</f>
        <v>5.7179540772147819E-2</v>
      </c>
      <c r="D31" s="75">
        <f>D29/C29-1</f>
        <v>0.12896119301813247</v>
      </c>
      <c r="E31" s="75">
        <f>E29/D29-1</f>
        <v>-4.5081557089962976E-2</v>
      </c>
      <c r="F31" s="75" t="s">
        <v>53</v>
      </c>
      <c r="G31" s="166">
        <f>G29/E29-1</f>
        <v>1.4173434634529691E-2</v>
      </c>
      <c r="H31" s="166">
        <f>H29/G29-1</f>
        <v>1.6326108857947386E-2</v>
      </c>
      <c r="I31" s="166">
        <f>I29/H29-1</f>
        <v>0.10273746282693241</v>
      </c>
      <c r="J31" s="166">
        <f>J29/I29-1</f>
        <v>-3.8008528293188903E-2</v>
      </c>
      <c r="K31" s="75" t="s">
        <v>53</v>
      </c>
      <c r="L31" s="166">
        <f>L29/J29-1</f>
        <v>7.1377228292121897E-2</v>
      </c>
      <c r="M31" s="166">
        <f>M29/L29-1</f>
        <v>-0.32915129151291511</v>
      </c>
      <c r="N31" s="166">
        <f>N29/M29-1</f>
        <v>0.83941727506083952</v>
      </c>
      <c r="O31" s="166">
        <f>O29/N29-1</f>
        <v>6.620512169925874E-2</v>
      </c>
      <c r="P31" s="166" t="s">
        <v>53</v>
      </c>
      <c r="Q31" s="166">
        <f>Q29/O29-1</f>
        <v>4.5181030086690388E-2</v>
      </c>
      <c r="R31" s="166">
        <f>R29/Q29-1</f>
        <v>-5.3311215196461093E-2</v>
      </c>
      <c r="S31" s="166">
        <f>S29/R29-1</f>
        <v>0.12758976120941412</v>
      </c>
      <c r="T31" s="166">
        <f>T29/S29-1</f>
        <v>-9.1807974160915351E-2</v>
      </c>
      <c r="U31" s="166" t="s">
        <v>53</v>
      </c>
      <c r="V31" s="166">
        <f>V29/T29-1</f>
        <v>0.15641408464880646</v>
      </c>
      <c r="W31" s="166">
        <f>W29/V29-1</f>
        <v>8.3818089504605897E-2</v>
      </c>
      <c r="X31" s="166">
        <f>X29/W29-1</f>
        <v>2.8549248457430343E-2</v>
      </c>
      <c r="Y31" s="166">
        <f>Y29/X29-1</f>
        <v>1.6396429222080844E-3</v>
      </c>
      <c r="Z31" s="166" t="s">
        <v>53</v>
      </c>
      <c r="AA31" s="166">
        <f>AA29/Y29-1</f>
        <v>0.12383723951566794</v>
      </c>
      <c r="AB31" s="166">
        <f>AB29/AA29-1</f>
        <v>3.3397299546841674E-2</v>
      </c>
      <c r="AC31" s="166">
        <f>AC29/AB29-1</f>
        <v>1.3278444620943519E-2</v>
      </c>
      <c r="AD31" s="166">
        <f>AD29/AC29-1</f>
        <v>-8.7580039743872851E-2</v>
      </c>
      <c r="AE31" s="166" t="s">
        <v>53</v>
      </c>
      <c r="AF31" s="166">
        <f>AF29/AD29-1</f>
        <v>0.10980434861519472</v>
      </c>
      <c r="AG31" s="166">
        <f>AG29/AF29-1</f>
        <v>7.5292732386995409E-2</v>
      </c>
      <c r="AH31" s="211"/>
      <c r="AI31"/>
      <c r="AJ31" s="229">
        <f>SUM('[11]Non-GAAP'!B31:AF31)-SUM(B31:AF31)</f>
        <v>0</v>
      </c>
      <c r="AK31" s="263"/>
      <c r="AS31" s="10"/>
      <c r="AT31" s="10"/>
      <c r="AU31" s="10"/>
      <c r="AV31" s="10"/>
      <c r="AW31" s="10"/>
      <c r="AX31" s="10"/>
      <c r="AY31" s="10"/>
      <c r="AZ31" s="10"/>
      <c r="BA31" s="10"/>
      <c r="BB31" s="10"/>
      <c r="BC31" s="10"/>
      <c r="BD31" s="10"/>
      <c r="BE31" s="10"/>
      <c r="BF31" s="10"/>
      <c r="BG31" s="10"/>
      <c r="BH31" s="10"/>
      <c r="BI31" s="10"/>
    </row>
    <row r="32" spans="1:61" ht="16" thickBot="1" x14ac:dyDescent="0.25">
      <c r="A32" s="80" t="s">
        <v>85</v>
      </c>
      <c r="B32" s="62">
        <v>2.9225568531038748E-2</v>
      </c>
      <c r="C32" s="62">
        <v>7.4276351720371281E-2</v>
      </c>
      <c r="D32" s="62">
        <v>8.939278316799304E-2</v>
      </c>
      <c r="E32" s="62">
        <v>0.15838669539619432</v>
      </c>
      <c r="F32" s="62">
        <v>8.804137900415121E-2</v>
      </c>
      <c r="G32" s="62">
        <f t="shared" ref="G32:M32" si="18">G29/B29-1</f>
        <v>0.1558627691021468</v>
      </c>
      <c r="H32" s="62">
        <f t="shared" si="18"/>
        <v>0.11119584251256853</v>
      </c>
      <c r="I32" s="62">
        <f t="shared" si="18"/>
        <v>8.5384769338537003E-2</v>
      </c>
      <c r="J32" s="62">
        <f t="shared" si="18"/>
        <v>9.3424155095624739E-2</v>
      </c>
      <c r="K32" s="62">
        <f t="shared" si="18"/>
        <v>0.10973959289712254</v>
      </c>
      <c r="L32" s="62">
        <f t="shared" si="18"/>
        <v>0.15509803415049994</v>
      </c>
      <c r="M32" s="62">
        <f t="shared" si="18"/>
        <v>-0.23755178811986888</v>
      </c>
      <c r="N32" s="62">
        <f>N29/I29-1</f>
        <v>0.27179900887403474</v>
      </c>
      <c r="O32" s="62">
        <f>O29/J29-1</f>
        <v>0.40957446808510634</v>
      </c>
      <c r="P32" s="62">
        <f>P29/K29-1</f>
        <v>0.1565435881722077</v>
      </c>
      <c r="Q32" s="62">
        <f t="shared" ref="Q32:S32" si="19">Q29/L29-1</f>
        <v>0.37510902381751099</v>
      </c>
      <c r="R32" s="62">
        <f t="shared" si="19"/>
        <v>0.94052738607194053</v>
      </c>
      <c r="S32" s="62">
        <f t="shared" si="19"/>
        <v>0.18957174184895886</v>
      </c>
      <c r="T32" s="62">
        <f>T29/O29-1</f>
        <v>1.3275539690634108E-2</v>
      </c>
      <c r="U32" s="62">
        <f>U29/P29-1</f>
        <v>0.29794032397373882</v>
      </c>
      <c r="V32" s="62">
        <f t="shared" ref="V32:X32" si="20">V29/Q29-1</f>
        <v>0.12111306271142341</v>
      </c>
      <c r="W32" s="62">
        <f t="shared" si="20"/>
        <v>0.28350798831815838</v>
      </c>
      <c r="X32" s="62">
        <f t="shared" si="20"/>
        <v>0.17077258253728833</v>
      </c>
      <c r="Y32" s="62">
        <f>Y29/T29-1</f>
        <v>0.29123819429299957</v>
      </c>
      <c r="Z32" s="62">
        <f>Z29/U29-1</f>
        <v>0.21441460566818815</v>
      </c>
      <c r="AA32" s="62">
        <f t="shared" ref="AA32" si="21">AA29/V29-1</f>
        <v>0.2548632770000725</v>
      </c>
      <c r="AB32" s="62">
        <f>AB29/W29-1</f>
        <v>0.19648521676281239</v>
      </c>
      <c r="AC32" s="62">
        <f>AC29/X29-1</f>
        <v>0.17872107852067765</v>
      </c>
      <c r="AD32" s="62">
        <f>AD29/Y29-1</f>
        <v>7.3728108922725077E-2</v>
      </c>
      <c r="AE32" s="62">
        <f>AE29/Z29-1</f>
        <v>0.1736601830125124</v>
      </c>
      <c r="AF32" s="62">
        <f t="shared" ref="AF32:AG32" si="22">AF29/AA29-1</f>
        <v>6.0320910015721818E-2</v>
      </c>
      <c r="AG32" s="62">
        <f t="shared" si="22"/>
        <v>0.10330786526909264</v>
      </c>
      <c r="AH32" s="210"/>
      <c r="AI32"/>
      <c r="AJ32" s="229">
        <f>SUM('[11]Non-GAAP'!B32:AF32)-SUM(B32:AF32)</f>
        <v>0</v>
      </c>
      <c r="AK32" s="263"/>
      <c r="AS32" s="10"/>
      <c r="AT32" s="10"/>
      <c r="AU32" s="10"/>
      <c r="AV32" s="10"/>
      <c r="AW32" s="10"/>
      <c r="AX32" s="10"/>
      <c r="AY32" s="10"/>
      <c r="AZ32" s="10"/>
      <c r="BA32" s="10"/>
      <c r="BB32" s="10"/>
      <c r="BC32" s="10"/>
      <c r="BD32" s="10"/>
      <c r="BE32" s="10"/>
      <c r="BF32" s="10"/>
      <c r="BG32" s="10"/>
      <c r="BH32" s="10"/>
      <c r="BI32" s="10"/>
    </row>
    <row r="33" spans="1:61" ht="6" customHeight="1" x14ac:dyDescent="0.2">
      <c r="A33" s="79"/>
      <c r="AH33" s="208"/>
      <c r="AI33"/>
      <c r="AJ33" s="223"/>
      <c r="AK33" s="263"/>
      <c r="AS33" s="10"/>
      <c r="AT33" s="10"/>
      <c r="AU33" s="10"/>
      <c r="AV33" s="10"/>
      <c r="AW33" s="10"/>
      <c r="AX33" s="10"/>
      <c r="AY33" s="10"/>
      <c r="AZ33" s="10"/>
      <c r="BA33" s="10"/>
      <c r="BB33" s="10"/>
      <c r="BC33" s="10"/>
      <c r="BD33" s="10"/>
      <c r="BE33" s="10"/>
      <c r="BF33" s="10"/>
      <c r="BG33" s="10"/>
      <c r="BH33" s="10"/>
      <c r="BI33" s="10"/>
    </row>
    <row r="34" spans="1:61" ht="13" x14ac:dyDescent="0.15">
      <c r="A34" s="45" t="s">
        <v>80</v>
      </c>
      <c r="B34" s="77">
        <f>'Income Statement'!B45</f>
        <v>23158</v>
      </c>
      <c r="C34" s="77">
        <f>'Income Statement'!C45</f>
        <v>14462</v>
      </c>
      <c r="D34" s="77">
        <f>'Income Statement'!D45</f>
        <v>15249</v>
      </c>
      <c r="E34" s="77">
        <f>'Income Statement'!E45</f>
        <v>3857</v>
      </c>
      <c r="F34" s="77">
        <f>'Income Statement'!F45</f>
        <v>56726</v>
      </c>
      <c r="G34" s="77">
        <f>'Income Statement'!G45</f>
        <v>14695</v>
      </c>
      <c r="H34" s="77">
        <f>'Income Statement'!H45</f>
        <v>12564</v>
      </c>
      <c r="I34" s="77">
        <f>'Income Statement'!I45</f>
        <v>19044</v>
      </c>
      <c r="J34" s="77">
        <f>'Income Statement'!J45</f>
        <v>21356</v>
      </c>
      <c r="K34" s="77">
        <f>'Income Statement'!K45</f>
        <v>67659</v>
      </c>
      <c r="L34" s="77">
        <f>'Income Statement'!L45</f>
        <v>22411</v>
      </c>
      <c r="M34" s="77">
        <f>'Income Statement'!M45</f>
        <v>8429</v>
      </c>
      <c r="N34" s="77">
        <f>'Income Statement'!N45</f>
        <v>26418</v>
      </c>
      <c r="O34" s="77">
        <f>'Income Statement'!O45</f>
        <v>32218</v>
      </c>
      <c r="P34" s="77">
        <f>'Income Statement'!P45</f>
        <v>89476</v>
      </c>
      <c r="Q34" s="77">
        <f>'Income Statement'!Q45</f>
        <v>31931</v>
      </c>
      <c r="R34" s="77">
        <f>'Income Statement'!R45</f>
        <v>28021</v>
      </c>
      <c r="S34" s="77">
        <f>'Income Statement'!S45</f>
        <v>26507</v>
      </c>
      <c r="T34" s="77">
        <f>'Income Statement'!T45</f>
        <v>28299</v>
      </c>
      <c r="U34" s="77">
        <f>'Income Statement'!U45</f>
        <v>114758</v>
      </c>
      <c r="V34" s="77">
        <f>'Income Statement'!V45</f>
        <v>36178</v>
      </c>
      <c r="W34" s="77">
        <f>'Income Statement'!W45</f>
        <v>35846</v>
      </c>
      <c r="X34" s="77">
        <f>'Income Statement'!X45</f>
        <v>39095</v>
      </c>
      <c r="Y34" s="77">
        <f>'Income Statement'!Y45</f>
        <v>31849</v>
      </c>
      <c r="Z34" s="77">
        <f>'Income Statement'!Z45</f>
        <v>142968</v>
      </c>
      <c r="AA34" s="77">
        <f>'Income Statement'!AA45</f>
        <v>51331</v>
      </c>
      <c r="AB34" s="77">
        <f>'Income Statement'!AB45</f>
        <v>49068</v>
      </c>
      <c r="AC34" s="77">
        <f>'Income Statement'!AC45</f>
        <v>43876</v>
      </c>
      <c r="AD34" s="77">
        <f>'Income Statement'!AD45</f>
        <v>40283</v>
      </c>
      <c r="AE34" s="77">
        <f>'Income Statement'!AE45</f>
        <v>184558</v>
      </c>
      <c r="AF34" s="77">
        <f>'Income Statement'!AF45</f>
        <v>48763</v>
      </c>
      <c r="AG34" s="77">
        <f>'Income Statement'!AG45</f>
        <v>45825</v>
      </c>
      <c r="AH34" s="236">
        <f>AG34-ROUND('[94]Adjusted EPS-Post stock split'!$K$6,0)</f>
        <v>0</v>
      </c>
      <c r="AI34" s="236">
        <f>AG34+AF34-ROUND('[94]Adjusted EPS-Post stock split'!$B$6,0)</f>
        <v>0</v>
      </c>
      <c r="AJ34" s="275">
        <f>SUM('[11]Non-GAAP'!B34:AF34)-SUM(B34:AF34)</f>
        <v>0</v>
      </c>
      <c r="AK34" s="263"/>
      <c r="AS34" s="10"/>
      <c r="AT34" s="10"/>
      <c r="AU34" s="10"/>
      <c r="AV34" s="10"/>
      <c r="AW34" s="10"/>
      <c r="AX34" s="10"/>
      <c r="AY34" s="10"/>
      <c r="AZ34" s="10"/>
      <c r="BA34" s="10"/>
      <c r="BB34" s="10"/>
      <c r="BC34" s="10"/>
      <c r="BD34" s="10"/>
      <c r="BE34" s="10"/>
      <c r="BF34" s="10"/>
      <c r="BG34" s="10"/>
      <c r="BH34" s="10"/>
      <c r="BI34" s="10"/>
    </row>
    <row r="35" spans="1:61" ht="13" x14ac:dyDescent="0.15">
      <c r="A35" s="49" t="s">
        <v>126</v>
      </c>
      <c r="B35" s="76">
        <f t="shared" ref="B35:AE35" si="23">B11</f>
        <v>5074</v>
      </c>
      <c r="C35" s="76">
        <f t="shared" si="23"/>
        <v>6893</v>
      </c>
      <c r="D35" s="76">
        <f t="shared" si="23"/>
        <v>5344</v>
      </c>
      <c r="E35" s="76">
        <f t="shared" si="23"/>
        <v>6590</v>
      </c>
      <c r="F35" s="76">
        <f t="shared" si="23"/>
        <v>23901</v>
      </c>
      <c r="G35" s="76">
        <f t="shared" si="23"/>
        <v>6956</v>
      </c>
      <c r="H35" s="76">
        <f t="shared" si="23"/>
        <v>7155</v>
      </c>
      <c r="I35" s="76">
        <f t="shared" si="23"/>
        <v>7427</v>
      </c>
      <c r="J35" s="76">
        <f t="shared" si="23"/>
        <v>4532</v>
      </c>
      <c r="K35" s="154">
        <f t="shared" si="23"/>
        <v>26070</v>
      </c>
      <c r="L35" s="76">
        <f t="shared" si="23"/>
        <v>4778</v>
      </c>
      <c r="M35" s="76">
        <f t="shared" si="23"/>
        <v>7726</v>
      </c>
      <c r="N35" s="76">
        <f t="shared" si="23"/>
        <v>8346</v>
      </c>
      <c r="O35" s="76">
        <f t="shared" si="23"/>
        <v>7385</v>
      </c>
      <c r="P35" s="76">
        <f t="shared" si="23"/>
        <v>28235</v>
      </c>
      <c r="Q35" s="76">
        <f t="shared" si="23"/>
        <v>7832</v>
      </c>
      <c r="R35" s="76">
        <f t="shared" si="23"/>
        <v>10070</v>
      </c>
      <c r="S35" s="76">
        <f t="shared" si="23"/>
        <v>10894</v>
      </c>
      <c r="T35" s="154">
        <f t="shared" si="23"/>
        <v>9825</v>
      </c>
      <c r="U35" s="154">
        <f t="shared" si="23"/>
        <v>38621</v>
      </c>
      <c r="V35" s="154">
        <f t="shared" si="23"/>
        <v>11224</v>
      </c>
      <c r="W35" s="154">
        <f t="shared" si="23"/>
        <v>13340</v>
      </c>
      <c r="X35" s="154">
        <f t="shared" si="23"/>
        <v>12186</v>
      </c>
      <c r="Y35" s="154">
        <f>+Z35-SUM(V35:X35)</f>
        <v>12616</v>
      </c>
      <c r="Z35" s="154">
        <f t="shared" si="23"/>
        <v>49366</v>
      </c>
      <c r="AA35" s="154">
        <f t="shared" si="23"/>
        <v>14407</v>
      </c>
      <c r="AB35" s="154">
        <f t="shared" si="23"/>
        <v>11511</v>
      </c>
      <c r="AC35" s="154">
        <f t="shared" si="23"/>
        <v>17067</v>
      </c>
      <c r="AD35" s="154">
        <f t="shared" ref="AD35:AD45" si="24">+ROUND(AE35-SUM(AA35:AC35),0)</f>
        <v>15452</v>
      </c>
      <c r="AE35" s="154">
        <f t="shared" si="23"/>
        <v>58437</v>
      </c>
      <c r="AF35" s="154">
        <f t="shared" ref="AF35:AG35" si="25">AF11</f>
        <v>17852</v>
      </c>
      <c r="AG35" s="154">
        <f t="shared" si="25"/>
        <v>18095</v>
      </c>
      <c r="AH35" s="277">
        <f>AG35-ROUND('[94]Adjusted EPS-Post stock split'!$K$8,0)</f>
        <v>0</v>
      </c>
      <c r="AI35" s="277">
        <f>AG35+AF35-ROUND('[94]Adjusted EPS-Post stock split'!$B$8,0)</f>
        <v>0</v>
      </c>
      <c r="AJ35" s="275">
        <f>SUM('[11]Non-GAAP'!B35:AF35)-SUM(B35:AF35)</f>
        <v>0</v>
      </c>
      <c r="AK35" s="263"/>
      <c r="AS35" s="10"/>
      <c r="AT35" s="10"/>
      <c r="AU35" s="10"/>
      <c r="AV35" s="10"/>
      <c r="AW35" s="10"/>
      <c r="AX35" s="10"/>
      <c r="AY35" s="10"/>
      <c r="AZ35" s="10"/>
      <c r="BA35" s="10"/>
      <c r="BB35" s="10"/>
      <c r="BC35" s="10"/>
      <c r="BD35" s="10"/>
      <c r="BE35" s="10"/>
      <c r="BF35" s="10"/>
      <c r="BG35" s="10"/>
      <c r="BH35" s="10"/>
      <c r="BI35" s="10"/>
    </row>
    <row r="36" spans="1:61" ht="13" x14ac:dyDescent="0.15">
      <c r="A36" s="49" t="s">
        <v>125</v>
      </c>
      <c r="B36" s="76">
        <f t="shared" ref="B36:AE36" si="26">B10</f>
        <v>3947</v>
      </c>
      <c r="C36" s="76">
        <f t="shared" si="26"/>
        <v>3761</v>
      </c>
      <c r="D36" s="76">
        <f t="shared" si="26"/>
        <v>6718</v>
      </c>
      <c r="E36" s="76">
        <f t="shared" si="26"/>
        <v>5951</v>
      </c>
      <c r="F36" s="76">
        <f t="shared" si="26"/>
        <v>20377</v>
      </c>
      <c r="G36" s="76">
        <f t="shared" si="26"/>
        <v>5528</v>
      </c>
      <c r="H36" s="76">
        <f t="shared" si="26"/>
        <v>5554</v>
      </c>
      <c r="I36" s="76">
        <f t="shared" si="26"/>
        <v>5502</v>
      </c>
      <c r="J36" s="76">
        <f t="shared" si="26"/>
        <v>4974</v>
      </c>
      <c r="K36" s="154">
        <f t="shared" si="26"/>
        <v>21558</v>
      </c>
      <c r="L36" s="76">
        <f t="shared" si="26"/>
        <v>4154</v>
      </c>
      <c r="M36" s="76">
        <f t="shared" si="26"/>
        <v>3430</v>
      </c>
      <c r="N36" s="76">
        <f t="shared" si="26"/>
        <v>3413</v>
      </c>
      <c r="O36" s="76">
        <f t="shared" si="26"/>
        <v>3415</v>
      </c>
      <c r="P36" s="76">
        <f t="shared" si="26"/>
        <v>14412</v>
      </c>
      <c r="Q36" s="76">
        <f t="shared" si="26"/>
        <v>3361</v>
      </c>
      <c r="R36" s="76">
        <f t="shared" si="26"/>
        <v>3397</v>
      </c>
      <c r="S36" s="76">
        <f t="shared" si="26"/>
        <v>3022</v>
      </c>
      <c r="T36" s="154">
        <f t="shared" si="26"/>
        <v>2998</v>
      </c>
      <c r="U36" s="154">
        <f t="shared" si="26"/>
        <v>12778</v>
      </c>
      <c r="V36" s="154">
        <f t="shared" si="26"/>
        <v>4486</v>
      </c>
      <c r="W36" s="154">
        <f t="shared" si="26"/>
        <v>4146</v>
      </c>
      <c r="X36" s="154">
        <f t="shared" si="26"/>
        <v>4243</v>
      </c>
      <c r="Y36" s="154">
        <f>+Z36-SUM(V36:X36)</f>
        <v>4234</v>
      </c>
      <c r="Z36" s="154">
        <f t="shared" si="26"/>
        <v>17109</v>
      </c>
      <c r="AA36" s="154">
        <f t="shared" si="26"/>
        <v>4149</v>
      </c>
      <c r="AB36" s="154">
        <f t="shared" si="26"/>
        <v>4204</v>
      </c>
      <c r="AC36" s="154">
        <f t="shared" si="26"/>
        <v>3157</v>
      </c>
      <c r="AD36" s="154">
        <f t="shared" si="24"/>
        <v>3168</v>
      </c>
      <c r="AE36" s="154">
        <f t="shared" si="26"/>
        <v>14678</v>
      </c>
      <c r="AF36" s="154">
        <f t="shared" ref="AF36:AG36" si="27">AF10</f>
        <v>3080</v>
      </c>
      <c r="AG36" s="154">
        <f t="shared" si="27"/>
        <v>3077</v>
      </c>
      <c r="AH36" s="277">
        <f>AG36-ROUND('[94]Adjusted EPS-Post stock split'!$K$9,0)</f>
        <v>-1</v>
      </c>
      <c r="AI36" s="277">
        <f>AG36+AF36-ROUND('[94]Adjusted EPS-Post stock split'!$B$9,0)</f>
        <v>-1</v>
      </c>
      <c r="AJ36" s="275">
        <f>SUM('[11]Non-GAAP'!B36:AF36)-SUM(B36:AF36)</f>
        <v>0</v>
      </c>
      <c r="AK36" s="263"/>
      <c r="AM36" s="130"/>
      <c r="AS36" s="10"/>
      <c r="AT36" s="10"/>
      <c r="AU36" s="10"/>
      <c r="AV36" s="10"/>
      <c r="AW36" s="10"/>
      <c r="AX36" s="10"/>
      <c r="AY36" s="10"/>
      <c r="AZ36" s="10"/>
      <c r="BA36" s="10"/>
      <c r="BB36" s="10"/>
      <c r="BC36" s="10"/>
      <c r="BD36" s="10"/>
      <c r="BE36" s="10"/>
      <c r="BF36" s="10"/>
      <c r="BG36" s="10"/>
      <c r="BH36" s="10"/>
      <c r="BI36" s="10"/>
    </row>
    <row r="37" spans="1:61" x14ac:dyDescent="0.2">
      <c r="A37" s="49" t="s">
        <v>172</v>
      </c>
      <c r="B37" s="76">
        <f>B25</f>
        <v>2400</v>
      </c>
      <c r="C37" s="76">
        <v>0</v>
      </c>
      <c r="D37" s="76">
        <v>0</v>
      </c>
      <c r="E37" s="76">
        <v>0</v>
      </c>
      <c r="F37" s="76">
        <f>SUM(B37:E37)</f>
        <v>2400</v>
      </c>
      <c r="G37" s="76">
        <v>0</v>
      </c>
      <c r="H37" s="76">
        <v>0</v>
      </c>
      <c r="I37" s="76">
        <v>0</v>
      </c>
      <c r="J37" s="76">
        <v>0</v>
      </c>
      <c r="K37" s="76">
        <f>SUM(G37:J37)</f>
        <v>0</v>
      </c>
      <c r="L37" s="76">
        <v>0</v>
      </c>
      <c r="M37" s="76">
        <v>0</v>
      </c>
      <c r="N37" s="76">
        <v>0</v>
      </c>
      <c r="O37" s="76">
        <v>0</v>
      </c>
      <c r="P37" s="76">
        <f>SUM(L37:O37)</f>
        <v>0</v>
      </c>
      <c r="Q37" s="76">
        <v>0</v>
      </c>
      <c r="R37" s="76">
        <v>0</v>
      </c>
      <c r="S37" s="76">
        <v>0</v>
      </c>
      <c r="T37" s="154">
        <f>+U37-SUM(Q37:S37)</f>
        <v>0</v>
      </c>
      <c r="U37" s="154">
        <v>0</v>
      </c>
      <c r="V37" s="154">
        <v>0</v>
      </c>
      <c r="W37" s="154">
        <f>ROUND('[99]Adjusted EPS Working'!$K$12,0)</f>
        <v>580</v>
      </c>
      <c r="X37" s="154">
        <f>ROUND('[100]Adjusted EPS Working'!$G$12,0)</f>
        <v>481</v>
      </c>
      <c r="Y37" s="154">
        <f>+Z37-SUM(V37:X37)</f>
        <v>0</v>
      </c>
      <c r="Z37" s="154">
        <f>ROUND('[101]Adjusted EPS Working'!$B$13,0)</f>
        <v>1061</v>
      </c>
      <c r="AA37" s="154">
        <f>ROUND('[110]Adjusted EPS Working'!$O$13,0)</f>
        <v>0</v>
      </c>
      <c r="AB37" s="154">
        <f>ROUND('[111]Adjusted EPS Working'!$K$13,0)</f>
        <v>0</v>
      </c>
      <c r="AC37" s="154">
        <f>ROUND('[107]Adjusted EPS-Post stock split'!$G$13,0)</f>
        <v>0</v>
      </c>
      <c r="AD37" s="154">
        <f t="shared" si="24"/>
        <v>613</v>
      </c>
      <c r="AE37" s="154">
        <f>ROUND('[112]Adjusted EPS-Post stock split'!$B$13,0)</f>
        <v>613</v>
      </c>
      <c r="AF37" s="154">
        <f>ROUND('[113]Adjusted EPS-Post stock split'!$O$13,0)</f>
        <v>0</v>
      </c>
      <c r="AG37" s="154">
        <f>AG12</f>
        <v>1412</v>
      </c>
      <c r="AH37" s="216"/>
      <c r="AI37"/>
      <c r="AJ37" s="275">
        <f>SUM('[11]Non-GAAP'!B37:AF37)-SUM(B37:AF37)</f>
        <v>0</v>
      </c>
      <c r="AK37" s="263"/>
      <c r="AM37" s="130"/>
      <c r="AS37" s="10"/>
      <c r="AT37" s="10"/>
      <c r="AU37" s="10"/>
      <c r="AV37" s="10"/>
      <c r="AW37" s="10"/>
      <c r="AX37" s="10"/>
      <c r="AY37" s="10"/>
      <c r="AZ37" s="10"/>
      <c r="BA37" s="10"/>
      <c r="BB37" s="10"/>
      <c r="BC37" s="10"/>
      <c r="BD37" s="10"/>
      <c r="BE37" s="10"/>
      <c r="BF37" s="10"/>
      <c r="BG37" s="10"/>
      <c r="BH37" s="10"/>
      <c r="BI37" s="10"/>
    </row>
    <row r="38" spans="1:61" s="243" customFormat="1" x14ac:dyDescent="0.2">
      <c r="A38" s="49" t="s">
        <v>134</v>
      </c>
      <c r="B38" s="154">
        <v>-4836</v>
      </c>
      <c r="C38" s="154">
        <v>0</v>
      </c>
      <c r="D38" s="154">
        <v>0</v>
      </c>
      <c r="E38" s="130">
        <f>+F38-SUM(B38:D38)</f>
        <v>-2974</v>
      </c>
      <c r="F38" s="154">
        <f>'[96]Adjusted EPS Working'!$B$11+'[96]Adjusted EPS Working'!$B$23</f>
        <v>-7810</v>
      </c>
      <c r="G38" s="154">
        <v>0</v>
      </c>
      <c r="H38" s="154">
        <v>0</v>
      </c>
      <c r="I38" s="154">
        <v>0</v>
      </c>
      <c r="J38" s="130">
        <f>+K38-SUM(G38:I38)</f>
        <v>0</v>
      </c>
      <c r="K38" s="154">
        <v>0</v>
      </c>
      <c r="L38" s="154">
        <v>0</v>
      </c>
      <c r="M38" s="154">
        <v>0</v>
      </c>
      <c r="N38" s="154">
        <v>0</v>
      </c>
      <c r="O38" s="154">
        <v>0</v>
      </c>
      <c r="P38" s="154">
        <v>0</v>
      </c>
      <c r="Q38" s="154">
        <v>0</v>
      </c>
      <c r="R38" s="154">
        <v>0</v>
      </c>
      <c r="S38" s="154">
        <v>0</v>
      </c>
      <c r="T38" s="154">
        <v>0</v>
      </c>
      <c r="U38" s="154">
        <v>0</v>
      </c>
      <c r="V38" s="154">
        <v>0</v>
      </c>
      <c r="W38" s="154">
        <v>0</v>
      </c>
      <c r="X38" s="154">
        <v>0</v>
      </c>
      <c r="Y38" s="154">
        <v>0</v>
      </c>
      <c r="Z38" s="154">
        <v>0</v>
      </c>
      <c r="AA38" s="154">
        <v>0</v>
      </c>
      <c r="AB38" s="154">
        <v>0</v>
      </c>
      <c r="AC38" s="154">
        <v>0</v>
      </c>
      <c r="AD38" s="154">
        <f t="shared" si="24"/>
        <v>0</v>
      </c>
      <c r="AE38" s="154">
        <v>0</v>
      </c>
      <c r="AF38" s="154">
        <v>0</v>
      </c>
      <c r="AG38" s="154">
        <v>0</v>
      </c>
      <c r="AH38" s="216"/>
      <c r="AI38"/>
      <c r="AJ38" s="275">
        <f>SUM('[11]Non-GAAP'!B38:AF38)-SUM(B38:AF38)</f>
        <v>0</v>
      </c>
      <c r="AK38" s="263"/>
      <c r="AM38" s="130"/>
      <c r="AS38" s="244"/>
      <c r="AT38" s="244"/>
      <c r="AU38" s="244"/>
      <c r="AV38" s="244"/>
      <c r="AW38" s="244"/>
      <c r="AX38" s="244"/>
      <c r="AY38" s="244"/>
      <c r="AZ38" s="244"/>
      <c r="BA38" s="244"/>
      <c r="BB38" s="244"/>
      <c r="BC38" s="244"/>
      <c r="BD38" s="244"/>
      <c r="BE38" s="244"/>
      <c r="BF38" s="244"/>
      <c r="BG38" s="244"/>
      <c r="BH38" s="244"/>
      <c r="BI38" s="244"/>
    </row>
    <row r="39" spans="1:61" x14ac:dyDescent="0.2">
      <c r="A39" s="49" t="s">
        <v>204</v>
      </c>
      <c r="B39" s="154">
        <f>B13</f>
        <v>363</v>
      </c>
      <c r="C39" s="154">
        <f>C13</f>
        <v>841</v>
      </c>
      <c r="D39" s="154">
        <f>D13</f>
        <v>855</v>
      </c>
      <c r="E39" s="130">
        <f>+F39-SUM(B39:D39)</f>
        <v>-1014</v>
      </c>
      <c r="F39" s="154">
        <f>F13+'[96]Adjusted EPS Working'!$B$19</f>
        <v>1045</v>
      </c>
      <c r="G39" s="154">
        <v>0</v>
      </c>
      <c r="H39" s="154">
        <v>0</v>
      </c>
      <c r="I39" s="154">
        <f>ROUND('[114]Adjusted EPS Working'!$G$19,0)</f>
        <v>-761</v>
      </c>
      <c r="J39" s="130">
        <f>+K39-SUM(G39:I39)</f>
        <v>0</v>
      </c>
      <c r="K39" s="154">
        <f>ROUND('[115]Adjusted EPS Working'!$B$19,0)</f>
        <v>-761</v>
      </c>
      <c r="L39" s="154">
        <v>0</v>
      </c>
      <c r="M39" s="154">
        <v>0</v>
      </c>
      <c r="N39" s="154">
        <v>0</v>
      </c>
      <c r="O39" s="154">
        <f>+P39-SUM(L39:N39)</f>
        <v>0</v>
      </c>
      <c r="P39" s="76">
        <v>0</v>
      </c>
      <c r="Q39" s="154">
        <v>0</v>
      </c>
      <c r="R39" s="154">
        <v>0</v>
      </c>
      <c r="S39" s="154">
        <v>0</v>
      </c>
      <c r="T39" s="154">
        <f>+U39-SUM(Q39:S39)</f>
        <v>761</v>
      </c>
      <c r="U39" s="154">
        <f>ROUND('[97]Adjusted EPS Working'!$B$19,0)</f>
        <v>761</v>
      </c>
      <c r="V39" s="154">
        <f>ROUND('[98]Adjusted EPS Working'!$O$10,0)</f>
        <v>134</v>
      </c>
      <c r="W39" s="154">
        <f>'[99]Adjusted EPS Working'!$K$10</f>
        <v>0</v>
      </c>
      <c r="X39" s="154">
        <f>ROUND('[100]Adjusted EPS Working'!$G$10,0)</f>
        <v>0</v>
      </c>
      <c r="Y39" s="154">
        <f>+Z39-SUM(V39:X39)</f>
        <v>0</v>
      </c>
      <c r="Z39" s="154">
        <f>Z13</f>
        <v>134</v>
      </c>
      <c r="AA39" s="154">
        <f>ROUND('[110]Adjusted EPS Working'!$O$10,0)</f>
        <v>0</v>
      </c>
      <c r="AB39" s="154">
        <f>ROUND('[111]Adjusted EPS Working'!$K$10,0)</f>
        <v>0</v>
      </c>
      <c r="AC39" s="154">
        <f>ROUND('[107]Adjusted EPS-Post stock split'!$G$10,0)</f>
        <v>0</v>
      </c>
      <c r="AD39" s="154">
        <f t="shared" si="24"/>
        <v>0</v>
      </c>
      <c r="AE39" s="154">
        <f>ROUND('[112]Adjusted EPS-Post stock split'!$B$10,0)</f>
        <v>0</v>
      </c>
      <c r="AF39" s="154">
        <f>ROUND('[113]Adjusted EPS-Post stock split'!$O$10,0)</f>
        <v>0</v>
      </c>
      <c r="AG39" s="154">
        <f>ROUND('[94]Adjusted EPS-Post stock split'!$K$10,0)</f>
        <v>0</v>
      </c>
      <c r="AH39" s="216"/>
      <c r="AI39"/>
      <c r="AJ39" s="275">
        <f>SUM('[11]Non-GAAP'!B39:AF39)-SUM(B39:AF39)</f>
        <v>0</v>
      </c>
      <c r="AK39" s="263"/>
      <c r="AM39" s="130"/>
      <c r="AS39" s="10"/>
      <c r="AT39" s="10"/>
      <c r="AU39" s="10"/>
      <c r="AV39" s="10"/>
      <c r="AW39" s="10"/>
      <c r="AX39" s="10"/>
      <c r="AY39" s="10"/>
      <c r="AZ39" s="10"/>
      <c r="BA39" s="10"/>
      <c r="BB39" s="10"/>
      <c r="BC39" s="10"/>
      <c r="BD39" s="10"/>
      <c r="BE39" s="10"/>
      <c r="BF39" s="10"/>
      <c r="BG39" s="10"/>
      <c r="BH39" s="10"/>
      <c r="BI39" s="10"/>
    </row>
    <row r="40" spans="1:61" x14ac:dyDescent="0.2">
      <c r="A40" s="49" t="s">
        <v>132</v>
      </c>
      <c r="B40" s="154">
        <v>0</v>
      </c>
      <c r="C40" s="154">
        <v>0</v>
      </c>
      <c r="D40" s="154">
        <v>0</v>
      </c>
      <c r="E40" s="130">
        <f>+F40-SUM(B40:D40)</f>
        <v>600</v>
      </c>
      <c r="F40" s="154">
        <f>'[96]Adjusted EPS Working'!$B$17</f>
        <v>600</v>
      </c>
      <c r="G40" s="154">
        <f>'[116]Adjusted EPS Working'!$O$13</f>
        <v>600</v>
      </c>
      <c r="H40" s="154">
        <f>ROUND('[117]Adjusted EPS Working'!$K$13,0)</f>
        <v>618</v>
      </c>
      <c r="I40" s="154">
        <f>ROUND('[114]Adjusted EPS Working'!$G$14,0)</f>
        <v>618</v>
      </c>
      <c r="J40" s="130">
        <f>+K40-SUM(G40:I40)</f>
        <v>636</v>
      </c>
      <c r="K40" s="154">
        <f>'[115]Adjusted EPS Working'!$B$14</f>
        <v>2472</v>
      </c>
      <c r="L40" s="130">
        <f>'[118]Adjusted EPS Working'!$O$14</f>
        <v>635</v>
      </c>
      <c r="M40" s="130">
        <f>'[119]Adjusted EPS Working'!$K$14</f>
        <v>654</v>
      </c>
      <c r="N40" s="130">
        <f>'[120]Adjusted EPS Working'!$G$14</f>
        <v>654</v>
      </c>
      <c r="O40" s="130">
        <f>+P40-SUM(L40:N40)</f>
        <v>673</v>
      </c>
      <c r="P40" s="130">
        <f>'[121]Adjusted EPS Working'!$B$14</f>
        <v>2616</v>
      </c>
      <c r="Q40" s="130">
        <f>ROUND('[122]Adjusted EPS Working'!$O$14,0)</f>
        <v>673</v>
      </c>
      <c r="R40" s="130">
        <f>ROUND('[123]Adjusted EPS Working'!$K$14,0)</f>
        <v>691</v>
      </c>
      <c r="S40" s="130">
        <f>ROUND('[124]Adjusted EPS Working'!$G$14,0)</f>
        <v>431</v>
      </c>
      <c r="T40" s="154">
        <f>+U40-SUM(Q40:S40)</f>
        <v>0</v>
      </c>
      <c r="U40" s="130">
        <f>'[97]Adjusted EPS Working'!$B$14</f>
        <v>1795</v>
      </c>
      <c r="V40" s="130">
        <v>0</v>
      </c>
      <c r="W40" s="26">
        <v>0</v>
      </c>
      <c r="X40" s="26">
        <v>0</v>
      </c>
      <c r="Y40" s="154">
        <f>+Z40-SUM(V40:X40)</f>
        <v>0</v>
      </c>
      <c r="Z40" s="26">
        <v>0</v>
      </c>
      <c r="AA40" s="26">
        <v>0</v>
      </c>
      <c r="AB40" s="26">
        <v>0</v>
      </c>
      <c r="AC40" s="26">
        <v>0</v>
      </c>
      <c r="AD40" s="154">
        <f t="shared" si="24"/>
        <v>0</v>
      </c>
      <c r="AE40" s="26">
        <v>0</v>
      </c>
      <c r="AF40" s="26">
        <v>0</v>
      </c>
      <c r="AG40" s="26">
        <v>0</v>
      </c>
      <c r="AH40" s="67"/>
      <c r="AI40"/>
      <c r="AJ40" s="275">
        <f>SUM('[11]Non-GAAP'!B40:AF40)-SUM(B40:AF40)</f>
        <v>0</v>
      </c>
      <c r="AK40" s="263"/>
      <c r="AM40" s="130"/>
      <c r="AS40" s="10"/>
      <c r="AT40" s="10"/>
      <c r="AU40" s="10"/>
      <c r="AV40" s="10"/>
      <c r="AW40" s="10"/>
      <c r="AX40" s="10"/>
      <c r="AY40" s="10"/>
      <c r="AZ40" s="10"/>
      <c r="BA40" s="10"/>
      <c r="BB40" s="10"/>
      <c r="BC40" s="10"/>
      <c r="BD40" s="10"/>
      <c r="BE40" s="10"/>
      <c r="BF40" s="10"/>
      <c r="BG40" s="10"/>
      <c r="BH40" s="10"/>
      <c r="BI40" s="10"/>
    </row>
    <row r="41" spans="1:61" x14ac:dyDescent="0.2">
      <c r="A41" s="245" t="s">
        <v>228</v>
      </c>
      <c r="B41" s="171">
        <v>0</v>
      </c>
      <c r="C41" s="171">
        <v>0</v>
      </c>
      <c r="D41" s="171">
        <v>0</v>
      </c>
      <c r="E41" s="171">
        <f>E28</f>
        <v>20056</v>
      </c>
      <c r="F41" s="171">
        <f>F28</f>
        <v>20056</v>
      </c>
      <c r="G41" s="171">
        <f>G28</f>
        <v>1227</v>
      </c>
      <c r="H41" s="171">
        <f>H28*0+ROUND('[117]Adjusted EPS Working'!$K$15,0)</f>
        <v>5580</v>
      </c>
      <c r="I41" s="171">
        <f t="shared" ref="I41:Q41" si="28">I28</f>
        <v>489</v>
      </c>
      <c r="J41" s="171">
        <f t="shared" si="28"/>
        <v>1375</v>
      </c>
      <c r="K41" s="171">
        <f t="shared" si="28"/>
        <v>8671</v>
      </c>
      <c r="L41" s="154">
        <f t="shared" si="28"/>
        <v>0</v>
      </c>
      <c r="M41" s="154">
        <f t="shared" si="28"/>
        <v>0</v>
      </c>
      <c r="N41" s="154">
        <f t="shared" si="28"/>
        <v>0</v>
      </c>
      <c r="O41" s="154">
        <f t="shared" si="28"/>
        <v>0</v>
      </c>
      <c r="P41" s="154">
        <f t="shared" si="28"/>
        <v>0</v>
      </c>
      <c r="Q41" s="154">
        <f t="shared" si="28"/>
        <v>0</v>
      </c>
      <c r="R41" s="154">
        <v>0</v>
      </c>
      <c r="S41" s="154">
        <v>0</v>
      </c>
      <c r="T41" s="154">
        <f t="shared" ref="T41:AF41" si="29">T28</f>
        <v>0</v>
      </c>
      <c r="U41" s="154">
        <f t="shared" si="29"/>
        <v>0</v>
      </c>
      <c r="V41" s="154">
        <f t="shared" si="29"/>
        <v>0</v>
      </c>
      <c r="W41" s="154">
        <f t="shared" si="29"/>
        <v>0</v>
      </c>
      <c r="X41" s="154">
        <f t="shared" si="29"/>
        <v>0</v>
      </c>
      <c r="Y41" s="154">
        <f>+Z41-SUM(V41:X41)</f>
        <v>0</v>
      </c>
      <c r="Z41" s="154">
        <f t="shared" si="29"/>
        <v>0</v>
      </c>
      <c r="AA41" s="154">
        <f t="shared" si="29"/>
        <v>0</v>
      </c>
      <c r="AB41" s="154">
        <f t="shared" si="29"/>
        <v>0</v>
      </c>
      <c r="AC41" s="154">
        <f t="shared" si="29"/>
        <v>0</v>
      </c>
      <c r="AD41" s="154">
        <f t="shared" si="24"/>
        <v>0</v>
      </c>
      <c r="AE41" s="154">
        <f t="shared" si="29"/>
        <v>0</v>
      </c>
      <c r="AF41" s="154">
        <f t="shared" si="29"/>
        <v>0</v>
      </c>
      <c r="AG41" s="154">
        <f t="shared" ref="AG41" si="30">AG28</f>
        <v>4762</v>
      </c>
      <c r="AH41" s="216"/>
      <c r="AI41"/>
      <c r="AJ41" s="275">
        <f>SUM('[11]Non-GAAP'!B41:AF41)-SUM(B41:AF41)</f>
        <v>0</v>
      </c>
      <c r="AK41" s="263"/>
      <c r="AM41" s="130"/>
      <c r="AS41" s="10"/>
      <c r="AT41" s="10"/>
      <c r="AU41" s="10"/>
      <c r="AV41" s="10"/>
      <c r="AW41" s="10"/>
      <c r="AX41" s="10"/>
      <c r="AY41" s="10"/>
      <c r="AZ41" s="10"/>
      <c r="BA41" s="10"/>
      <c r="BB41" s="10"/>
      <c r="BC41" s="10"/>
      <c r="BD41" s="10"/>
      <c r="BE41" s="10"/>
      <c r="BF41" s="10"/>
      <c r="BG41" s="10"/>
      <c r="BH41" s="10"/>
      <c r="BI41" s="10"/>
    </row>
    <row r="42" spans="1:61" s="156" customFormat="1" x14ac:dyDescent="0.2">
      <c r="A42" s="245" t="s">
        <v>224</v>
      </c>
      <c r="B42" s="171">
        <v>0</v>
      </c>
      <c r="C42" s="171">
        <v>0</v>
      </c>
      <c r="D42" s="171">
        <v>0</v>
      </c>
      <c r="E42" s="171">
        <v>0</v>
      </c>
      <c r="F42" s="171">
        <v>0</v>
      </c>
      <c r="G42" s="171">
        <v>0</v>
      </c>
      <c r="H42" s="171">
        <v>0</v>
      </c>
      <c r="I42" s="171">
        <v>0</v>
      </c>
      <c r="J42" s="171">
        <v>0</v>
      </c>
      <c r="K42" s="171">
        <v>0</v>
      </c>
      <c r="L42" s="171">
        <v>0</v>
      </c>
      <c r="M42" s="171">
        <v>0</v>
      </c>
      <c r="N42" s="171">
        <v>0</v>
      </c>
      <c r="O42" s="171">
        <v>0</v>
      </c>
      <c r="P42" s="171">
        <v>0</v>
      </c>
      <c r="Q42" s="171">
        <v>0</v>
      </c>
      <c r="R42" s="171">
        <v>0</v>
      </c>
      <c r="S42" s="171">
        <v>0</v>
      </c>
      <c r="T42" s="171">
        <v>0</v>
      </c>
      <c r="U42" s="171">
        <v>0</v>
      </c>
      <c r="V42" s="171">
        <v>0</v>
      </c>
      <c r="W42" s="171">
        <v>0</v>
      </c>
      <c r="X42" s="171">
        <v>0</v>
      </c>
      <c r="Y42" s="171">
        <v>0</v>
      </c>
      <c r="Z42" s="171">
        <v>0</v>
      </c>
      <c r="AA42" s="171">
        <v>0</v>
      </c>
      <c r="AB42" s="171">
        <v>0</v>
      </c>
      <c r="AC42" s="154">
        <f>ROUND(SUM('[107]Adjusted EPS-Post stock split'!$G$12),0)</f>
        <v>1700</v>
      </c>
      <c r="AD42" s="154">
        <f t="shared" si="24"/>
        <v>-264</v>
      </c>
      <c r="AE42" s="171">
        <f>ROUND(SUM('[112]Adjusted EPS-Post stock split'!$B$12),0)</f>
        <v>1436</v>
      </c>
      <c r="AF42" s="154">
        <f>ROUND('[113]Adjusted EPS-Post stock split'!$O$12,0)</f>
        <v>0</v>
      </c>
      <c r="AG42" s="154">
        <f>ROUND('[94]Adjusted EPS-Post stock split'!$K$12,0)</f>
        <v>0</v>
      </c>
      <c r="AH42" s="267"/>
      <c r="AI42" s="268"/>
      <c r="AJ42" s="275">
        <f>SUM('[11]Non-GAAP'!B42:AF42)-SUM(B42:AF42)</f>
        <v>0</v>
      </c>
      <c r="AK42" s="269"/>
      <c r="AM42" s="270"/>
      <c r="AS42" s="237"/>
      <c r="AT42" s="237"/>
      <c r="AU42" s="237"/>
      <c r="AV42" s="237"/>
      <c r="AW42" s="237"/>
      <c r="AX42" s="237"/>
      <c r="AY42" s="237"/>
      <c r="AZ42" s="237"/>
      <c r="BA42" s="237"/>
      <c r="BB42" s="237"/>
      <c r="BC42" s="237"/>
      <c r="BD42" s="237"/>
      <c r="BE42" s="237"/>
      <c r="BF42" s="237"/>
      <c r="BG42" s="237"/>
      <c r="BH42" s="237"/>
      <c r="BI42" s="237"/>
    </row>
    <row r="43" spans="1:61" s="243" customFormat="1" x14ac:dyDescent="0.2">
      <c r="A43" s="49" t="s">
        <v>166</v>
      </c>
      <c r="B43" s="154">
        <v>0</v>
      </c>
      <c r="C43" s="154">
        <v>0</v>
      </c>
      <c r="D43" s="154">
        <v>0</v>
      </c>
      <c r="E43" s="154">
        <v>0</v>
      </c>
      <c r="F43" s="154">
        <v>0</v>
      </c>
      <c r="G43" s="154">
        <v>0</v>
      </c>
      <c r="H43" s="154">
        <v>0</v>
      </c>
      <c r="I43" s="154">
        <v>0</v>
      </c>
      <c r="J43" s="154">
        <v>0</v>
      </c>
      <c r="K43" s="154">
        <v>0</v>
      </c>
      <c r="L43" s="154">
        <v>0</v>
      </c>
      <c r="M43" s="154">
        <f>'[119]Adjusted EPS Working'!$K$16</f>
        <v>-556</v>
      </c>
      <c r="N43" s="154">
        <f>'[120]Adjusted EPS Working'!$G$16</f>
        <v>0</v>
      </c>
      <c r="O43" s="154">
        <f>+P43-SUM(L43:N43)</f>
        <v>0</v>
      </c>
      <c r="P43" s="154">
        <f>'[121]Adjusted EPS Working'!$B$16</f>
        <v>-556</v>
      </c>
      <c r="Q43" s="154">
        <v>0</v>
      </c>
      <c r="R43" s="154">
        <v>0</v>
      </c>
      <c r="S43" s="154">
        <v>0</v>
      </c>
      <c r="T43" s="154">
        <f>+U43-SUM(Q43:S43)</f>
        <v>551</v>
      </c>
      <c r="U43" s="154">
        <f>ROUND('[97]Adjusted EPS Working'!$B$20,0)</f>
        <v>551</v>
      </c>
      <c r="V43" s="154">
        <v>0</v>
      </c>
      <c r="W43" s="154">
        <v>0</v>
      </c>
      <c r="X43" s="154">
        <v>0</v>
      </c>
      <c r="Y43" s="154">
        <f>+Z43-SUM(V43:X43)</f>
        <v>-560</v>
      </c>
      <c r="Z43" s="154">
        <f>ROUND('[101]Adjusted EPS Working'!$B$23,0)</f>
        <v>-560</v>
      </c>
      <c r="AA43" s="154">
        <f>ROUND('[110]Adjusted EPS Working'!$O$23,0)</f>
        <v>-89</v>
      </c>
      <c r="AB43" s="154">
        <f>ROUND('[111]Adjusted EPS Working'!$K$23,0)</f>
        <v>578</v>
      </c>
      <c r="AC43" s="154">
        <f>ROUND(SUM('[107]Adjusted EPS-Post stock split'!$G$23),0)</f>
        <v>0</v>
      </c>
      <c r="AD43" s="154">
        <f t="shared" si="24"/>
        <v>0</v>
      </c>
      <c r="AE43" s="154">
        <f>ROUND(SUM('[112]Adjusted EPS-Post stock split'!$B$23),0)</f>
        <v>489</v>
      </c>
      <c r="AF43" s="154">
        <v>0</v>
      </c>
      <c r="AG43" s="154">
        <v>0</v>
      </c>
      <c r="AH43" s="216"/>
      <c r="AI43"/>
      <c r="AJ43" s="275">
        <f>SUM('[11]Non-GAAP'!B43:AF43)-SUM(B43:AF43)</f>
        <v>0</v>
      </c>
      <c r="AK43" s="263"/>
      <c r="AM43" s="130"/>
      <c r="AS43" s="244"/>
      <c r="AT43" s="244"/>
      <c r="AU43" s="244"/>
      <c r="AV43" s="244"/>
      <c r="AW43" s="244"/>
      <c r="AX43" s="244"/>
      <c r="AY43" s="244"/>
      <c r="AZ43" s="244"/>
      <c r="BA43" s="244"/>
      <c r="BB43" s="244"/>
      <c r="BC43" s="244"/>
      <c r="BD43" s="244"/>
      <c r="BE43" s="244"/>
      <c r="BF43" s="244"/>
      <c r="BG43" s="244"/>
      <c r="BH43" s="244"/>
      <c r="BI43" s="244"/>
    </row>
    <row r="44" spans="1:61" ht="13" x14ac:dyDescent="0.15">
      <c r="A44" s="49" t="s">
        <v>82</v>
      </c>
      <c r="B44" s="24">
        <v>-5913.4848000000002</v>
      </c>
      <c r="C44" s="24">
        <v>-1891</v>
      </c>
      <c r="D44" s="24">
        <f>ROUND(SUM('[125]Adjusted EPS Working'!$G$9,'[125]Adjusted EPS Working'!$G$13,'[125]Adjusted EPS Working'!$G$14),0)</f>
        <v>-1460</v>
      </c>
      <c r="E44" s="130">
        <f>+F44-SUM(B44:D44)</f>
        <v>-2836.5151999999998</v>
      </c>
      <c r="F44" s="24">
        <f>ROUND(SUM('[96]Adjusted EPS Working'!$B$9,'[96]Adjusted EPS Working'!$B$13,'[96]Adjusted EPS Working'!$B$14),0)</f>
        <v>-12101</v>
      </c>
      <c r="G44" s="24">
        <f>ROUND(SUM('[116]Adjusted EPS Working'!$O$9+'[116]Adjusted EPS Working'!$O$11+'[116]Adjusted EPS Working'!$O$12),0)</f>
        <v>-2481</v>
      </c>
      <c r="H44" s="24">
        <f>ROUND(SUM('[117]Adjusted EPS Working'!$K$9+'[117]Adjusted EPS Working'!$K$11+'[117]Adjusted EPS Working'!$K$12),0)</f>
        <v>-1571</v>
      </c>
      <c r="I44" s="24">
        <f>ROUND(SUM('[114]Adjusted EPS Working'!$G$10,'[114]Adjusted EPS Working'!$G$12,'[114]Adjusted EPS Working'!$G$13),0)</f>
        <v>-1790</v>
      </c>
      <c r="J44" s="130">
        <f>+K44-SUM(G44:I44)</f>
        <v>-2144</v>
      </c>
      <c r="K44" s="24">
        <f>ROUND(SUM('[115]Adjusted EPS Working'!$B$10,'[115]Adjusted EPS Working'!$B$12,'[115]Adjusted EPS Working'!$B$13),0)</f>
        <v>-7986</v>
      </c>
      <c r="L44" s="130">
        <f>ROUND(SUM('[118]Adjusted EPS Working'!$O$10+'[118]Adjusted EPS Working'!$O$12+'[118]Adjusted EPS Working'!$O$13),0)</f>
        <v>-2733</v>
      </c>
      <c r="M44" s="130">
        <f>ROUND(SUM('[119]Adjusted EPS Working'!$K$10+'[119]Adjusted EPS Working'!$K$12+'[119]Adjusted EPS Working'!$K$13),0)</f>
        <v>-1662</v>
      </c>
      <c r="N44" s="130">
        <f>ROUND(SUM('[120]Adjusted EPS Working'!$G$10,'[120]Adjusted EPS Working'!$G$12,'[120]Adjusted EPS Working'!$G$13),0)</f>
        <v>-1836</v>
      </c>
      <c r="O44" s="130">
        <f>+P44-SUM(L44:N44)</f>
        <v>-2099</v>
      </c>
      <c r="P44" s="130">
        <f>ROUND(SUM('[121]Adjusted EPS Working'!$B$10,'[121]Adjusted EPS Working'!$B$12,'[121]Adjusted EPS Working'!$B$13),0)</f>
        <v>-8330</v>
      </c>
      <c r="Q44" s="130">
        <f>ROUND(SUM('[122]Adjusted EPS Working'!$O$10+'[122]Adjusted EPS Working'!$O$12+'[122]Adjusted EPS Working'!$O$13),0)</f>
        <v>-2358</v>
      </c>
      <c r="R44" s="130">
        <f>ROUND(SUM('[123]Adjusted EPS Working'!$K$10+'[123]Adjusted EPS Working'!$K$12+'[123]Adjusted EPS Working'!$K$13),0)</f>
        <v>-2074</v>
      </c>
      <c r="S44" s="130">
        <f>ROUND(SUM('[124]Adjusted EPS Working'!$G$10+'[124]Adjusted EPS Working'!$G$12+'[124]Adjusted EPS Working'!$G$13),0)</f>
        <v>-2697</v>
      </c>
      <c r="T44" s="154">
        <f>+U44-SUM(Q44:S44)</f>
        <v>-2406</v>
      </c>
      <c r="U44" s="130">
        <f>ROUND(SUM('[97]Adjusted EPS Working'!$B$10,'[97]Adjusted EPS Working'!$B$12,'[97]Adjusted EPS Working'!$B$13),0)</f>
        <v>-9535</v>
      </c>
      <c r="V44" s="130">
        <f>SUM('[98]Adjusted EPS Working'!$O$14,'[98]Adjusted EPS Working'!$O$15,'[98]Adjusted EPS Working'!$O$17)</f>
        <v>-2806</v>
      </c>
      <c r="W44" s="26">
        <f>ROUND(SUM('[99]Adjusted EPS Working'!$K$14,'[99]Adjusted EPS Working'!$K$15,'[99]Adjusted EPS Working'!$K$17),0)</f>
        <v>-3216</v>
      </c>
      <c r="X44" s="26">
        <f>ROUND(SUM('[100]Adjusted EPS Working'!$G$14,'[100]Adjusted EPS Working'!$G$15,'[100]Adjusted EPS Working'!$G$17),0)</f>
        <v>-2833</v>
      </c>
      <c r="Y44" s="154">
        <f>+Z44-SUM(V44:X44)</f>
        <v>-930</v>
      </c>
      <c r="Z44" s="130">
        <f>ROUND(SUM('[101]Adjusted EPS Working'!$B$15,'[101]Adjusted EPS Working'!$B$16,'[101]Adjusted EPS Working'!$B$18),0)</f>
        <v>-9785</v>
      </c>
      <c r="AA44" s="130">
        <f>ROUND(SUM('[110]Adjusted EPS Working'!$O$15,'[110]Adjusted EPS Working'!$O$16,'[110]Adjusted EPS Working'!$B$18),0)</f>
        <v>-9830</v>
      </c>
      <c r="AB44" s="130">
        <f>ROUND(SUM('[111]Adjusted EPS Working'!$K$15,'[111]Adjusted EPS Working'!$K$16,'[111]Adjusted EPS Working'!$K$18,'[111]Adjusted EPS Working'!$K$22),0)</f>
        <v>-2789</v>
      </c>
      <c r="AC44" s="130">
        <f>ROUND(SUM('[107]Adjusted EPS-Post stock split'!$G$15,'[107]Adjusted EPS-Post stock split'!$G$16,'[107]Adjusted EPS-Post stock split'!$G$18,'[107]Adjusted EPS-Post stock split'!$G$22),0)</f>
        <v>-4340</v>
      </c>
      <c r="AD44" s="154">
        <f t="shared" si="24"/>
        <v>-374</v>
      </c>
      <c r="AE44" s="154">
        <f>ROUND(SUM('[112]Adjusted EPS-Post stock split'!$B$15,'[112]Adjusted EPS-Post stock split'!$B$16,'[112]Adjusted EPS-Post stock split'!$B$18,'[112]Adjusted EPS-Post stock split'!$B$22),0)</f>
        <v>-17333</v>
      </c>
      <c r="AF44" s="154">
        <f>ROUND(SUM('[113]Adjusted EPS-Post stock split'!$O$15,'[113]Adjusted EPS-Post stock split'!$O$16,'[113]Adjusted EPS-Post stock split'!$O$18,'[113]Adjusted EPS-Post stock split'!$O$22),0)</f>
        <v>-5358</v>
      </c>
      <c r="AG44" s="154">
        <f>ROUND(SUM('[94]Adjusted EPS-Post stock split'!$K$15:$K$16,'[94]Adjusted EPS-Post stock split'!$K$18,'[94]Adjusted EPS-Post stock split'!$K$22),0)</f>
        <v>-4619</v>
      </c>
      <c r="AH44" s="278"/>
      <c r="AI44" s="236"/>
      <c r="AJ44" s="275">
        <f>SUM('[11]Non-GAAP'!B44:AF44)-SUM(B44:AF44)</f>
        <v>0</v>
      </c>
      <c r="AK44" s="263"/>
      <c r="AM44" s="130"/>
      <c r="AS44" s="10"/>
      <c r="AT44" s="10"/>
      <c r="AU44" s="10"/>
      <c r="AV44" s="10"/>
      <c r="AW44" s="10"/>
      <c r="AX44" s="10"/>
      <c r="AY44" s="10"/>
      <c r="AZ44" s="10"/>
      <c r="BA44" s="10"/>
      <c r="BB44" s="10"/>
      <c r="BC44" s="10"/>
      <c r="BD44" s="10"/>
      <c r="BE44" s="10"/>
      <c r="BF44" s="10"/>
      <c r="BG44" s="10"/>
      <c r="BH44" s="10"/>
      <c r="BI44" s="10"/>
    </row>
    <row r="45" spans="1:61" ht="13" x14ac:dyDescent="0.15">
      <c r="A45" s="49" t="s">
        <v>127</v>
      </c>
      <c r="B45" s="24">
        <v>-725.53359999999998</v>
      </c>
      <c r="C45" s="24">
        <v>-679</v>
      </c>
      <c r="D45" s="24">
        <f>ROUND('[125]Adjusted EPS Working'!$G$10,0)</f>
        <v>-1435</v>
      </c>
      <c r="E45" s="130">
        <f>+F45-SUM(B45:D45)</f>
        <v>-1511.4664000000002</v>
      </c>
      <c r="F45" s="24">
        <f>ROUND('[96]Adjusted EPS Working'!$B$10,0)</f>
        <v>-4351</v>
      </c>
      <c r="G45" s="24">
        <f>ROUND('[116]Adjusted EPS Working'!$O$10,0)</f>
        <v>-1193</v>
      </c>
      <c r="H45" s="24">
        <f>ROUND('[117]Adjusted EPS Working'!$K$10,0)</f>
        <v>-1198</v>
      </c>
      <c r="I45" s="24">
        <f>ROUND('[114]Adjusted EPS Working'!$G$11,0)</f>
        <v>-1188</v>
      </c>
      <c r="J45" s="130">
        <f>+K45-SUM(G45:I45)</f>
        <v>-1042</v>
      </c>
      <c r="K45" s="24">
        <f>ROUND('[115]Adjusted EPS Working'!$B$11,0)</f>
        <v>-4621</v>
      </c>
      <c r="L45" s="130">
        <f>'[118]Adjusted EPS Working'!$O$11</f>
        <v>-897.048</v>
      </c>
      <c r="M45" s="130">
        <f>'[119]Adjusted EPS Working'!$K$11</f>
        <v>-880.15879999999993</v>
      </c>
      <c r="N45" s="130">
        <f>'[120]Adjusted EPS Working'!$G$11</f>
        <v>-798.30714506593904</v>
      </c>
      <c r="O45" s="130">
        <f>+ROUND(P45-SUM(L45:N45),0)</f>
        <v>-798</v>
      </c>
      <c r="P45" s="130">
        <f>'[121]Adjusted EPS Working'!$B$11</f>
        <v>-3374</v>
      </c>
      <c r="Q45" s="130">
        <f>'[122]Adjusted EPS Working'!$O$11</f>
        <v>-757.9736190000001</v>
      </c>
      <c r="R45" s="130">
        <f>'[123]Adjusted EPS Working'!$K$11</f>
        <v>-765.89167199999997</v>
      </c>
      <c r="S45" s="130">
        <f>ROUND('[124]Adjusted EPS Working'!$G$11,0)</f>
        <v>-699</v>
      </c>
      <c r="T45" s="154">
        <f>+ROUND(U45-SUM(Q45:S45),0)</f>
        <v>-770</v>
      </c>
      <c r="U45" s="130">
        <f>ROUND('[97]Adjusted EPS Working'!$B$11,0)</f>
        <v>-2993</v>
      </c>
      <c r="V45" s="130">
        <f>'[98]Adjusted EPS Working'!$O$16</f>
        <v>-1052</v>
      </c>
      <c r="W45" s="26">
        <f>ROUND('[99]Adjusted EPS Working'!$K$16,0)</f>
        <v>-971</v>
      </c>
      <c r="X45" s="26">
        <f>ROUND('[100]Adjusted EPS Working'!$G$16,0)</f>
        <v>-994</v>
      </c>
      <c r="Y45" s="154">
        <f>+ROUND(Z45-SUM(V45:X45),0)</f>
        <v>-1134</v>
      </c>
      <c r="Z45" s="130">
        <f>ROUND('[101]Adjusted EPS Working'!$B$17,0)</f>
        <v>-4151</v>
      </c>
      <c r="AA45" s="154">
        <f>ROUND('[110]Adjusted EPS Working'!$O$17,0)</f>
        <v>-1023</v>
      </c>
      <c r="AB45" s="154">
        <f>ROUND('[111]Adjusted EPS Working'!$K$17,0)</f>
        <v>-1036</v>
      </c>
      <c r="AC45" s="154">
        <f>ROUND('[107]Adjusted EPS-Post stock split'!$G$17,0)</f>
        <v>-771</v>
      </c>
      <c r="AD45" s="154">
        <f t="shared" si="24"/>
        <v>-792</v>
      </c>
      <c r="AE45" s="154">
        <f>ROUND('[112]Adjusted EPS-Post stock split'!$B$17,0)</f>
        <v>-3622</v>
      </c>
      <c r="AF45" s="154">
        <f>ROUND('[113]Adjusted EPS-Post stock split'!$O$17,0)</f>
        <v>-766</v>
      </c>
      <c r="AG45" s="154">
        <f>ROUND('[94]Adjusted EPS-Post stock split'!$K$17,0)</f>
        <v>-765</v>
      </c>
      <c r="AH45" s="278"/>
      <c r="AI45" s="236"/>
      <c r="AJ45" s="275">
        <f>SUM('[11]Non-GAAP'!B45:AF45)-SUM(B45:AF45)</f>
        <v>0</v>
      </c>
      <c r="AK45" s="263"/>
      <c r="AM45" s="130"/>
      <c r="AS45" s="10"/>
      <c r="AT45" s="10"/>
      <c r="AU45" s="10"/>
      <c r="AV45" s="10"/>
      <c r="AW45" s="10"/>
      <c r="AX45" s="10"/>
      <c r="AY45" s="10"/>
      <c r="AZ45" s="10"/>
      <c r="BA45" s="10"/>
      <c r="BB45" s="10"/>
      <c r="BC45" s="10"/>
      <c r="BD45" s="10"/>
      <c r="BE45" s="10"/>
      <c r="BF45" s="10"/>
      <c r="BG45" s="10"/>
      <c r="BH45" s="10"/>
      <c r="BI45" s="10"/>
    </row>
    <row r="46" spans="1:61" x14ac:dyDescent="0.2">
      <c r="A46" s="49" t="s">
        <v>173</v>
      </c>
      <c r="B46" s="76">
        <v>0</v>
      </c>
      <c r="C46" s="76">
        <v>0</v>
      </c>
      <c r="D46" s="76">
        <v>0</v>
      </c>
      <c r="E46" s="76">
        <v>0</v>
      </c>
      <c r="F46" s="76">
        <v>0</v>
      </c>
      <c r="G46" s="76">
        <v>0</v>
      </c>
      <c r="H46" s="76">
        <v>0</v>
      </c>
      <c r="I46" s="76">
        <v>0</v>
      </c>
      <c r="J46" s="76">
        <v>0</v>
      </c>
      <c r="K46" s="76">
        <v>0</v>
      </c>
      <c r="L46" s="76">
        <v>0</v>
      </c>
      <c r="M46" s="76">
        <v>0</v>
      </c>
      <c r="N46" s="76">
        <v>0</v>
      </c>
      <c r="O46" s="76">
        <v>0</v>
      </c>
      <c r="P46" s="76">
        <v>0</v>
      </c>
      <c r="Q46" s="154">
        <v>0</v>
      </c>
      <c r="R46" s="154">
        <v>0</v>
      </c>
      <c r="S46" s="154">
        <v>0</v>
      </c>
      <c r="T46" s="154">
        <v>0</v>
      </c>
      <c r="U46" s="154">
        <v>0</v>
      </c>
      <c r="V46" s="154">
        <v>0</v>
      </c>
      <c r="W46" s="154">
        <f>'[99]Adjusted EPS Working'!$K$11</f>
        <v>1000</v>
      </c>
      <c r="X46" s="26">
        <f>ROUND('[100]Adjusted EPS Working'!$G$11,0)</f>
        <v>0</v>
      </c>
      <c r="Y46" s="154">
        <f>+ROUND(Z46-SUM(V46:X46),0)</f>
        <v>7500</v>
      </c>
      <c r="Z46" s="154">
        <f>ROUND('[101]Adjusted EPS Working'!$B$11,0)</f>
        <v>8500</v>
      </c>
      <c r="AA46" s="154">
        <f>ROUND('[110]Adjusted EPS Working'!$O$11,0)</f>
        <v>0</v>
      </c>
      <c r="AB46" s="154">
        <f>ROUND('[111]Adjusted EPS Working'!$K$11,0)</f>
        <v>0</v>
      </c>
      <c r="AC46" s="154">
        <f>ROUND('[107]Adjusted EPS-Post stock split'!$G$11,0)</f>
        <v>2500</v>
      </c>
      <c r="AD46" s="154">
        <f>+ROUND(AE46-SUM(AA46:AC46),0)</f>
        <v>-600</v>
      </c>
      <c r="AE46" s="154">
        <f>ROUND('[112]Adjusted EPS-Post stock split'!$B$11,0)</f>
        <v>1900</v>
      </c>
      <c r="AF46" s="154">
        <f>ROUND('[113]Adjusted EPS-Post stock split'!$O$11,0)</f>
        <v>-589</v>
      </c>
      <c r="AG46" s="154">
        <f>ROUND('[94]Adjusted EPS-Post stock split'!$K$11,0)</f>
        <v>0</v>
      </c>
      <c r="AH46" s="216"/>
      <c r="AI46"/>
      <c r="AJ46" s="275">
        <f>SUM('[11]Non-GAAP'!B46:AF46)-SUM(B46:AF46)</f>
        <v>0</v>
      </c>
      <c r="AK46" s="266"/>
      <c r="AM46" s="130"/>
      <c r="AS46" s="10"/>
      <c r="AT46" s="10"/>
      <c r="AU46" s="10"/>
      <c r="AV46" s="10"/>
      <c r="AW46" s="10"/>
      <c r="AX46" s="10"/>
      <c r="AY46" s="10"/>
      <c r="AZ46" s="10"/>
      <c r="BA46" s="10"/>
      <c r="BB46" s="10"/>
      <c r="BC46" s="10"/>
      <c r="BD46" s="10"/>
      <c r="BE46" s="10"/>
      <c r="BF46" s="10"/>
      <c r="BG46" s="10"/>
      <c r="BH46" s="10"/>
      <c r="BI46" s="10"/>
    </row>
    <row r="47" spans="1:61" x14ac:dyDescent="0.2">
      <c r="A47" s="49" t="s">
        <v>174</v>
      </c>
      <c r="B47" s="76">
        <f>-B37*25.5%</f>
        <v>-612</v>
      </c>
      <c r="C47" s="76">
        <v>0</v>
      </c>
      <c r="D47" s="76">
        <v>0</v>
      </c>
      <c r="E47" s="76">
        <v>0</v>
      </c>
      <c r="F47" s="76">
        <f>SUM(B47:E47)</f>
        <v>-612</v>
      </c>
      <c r="G47" s="76">
        <v>0</v>
      </c>
      <c r="H47" s="76">
        <v>0</v>
      </c>
      <c r="I47" s="76">
        <v>0</v>
      </c>
      <c r="J47" s="76">
        <v>0</v>
      </c>
      <c r="K47" s="76">
        <f>SUM(G47:J47)</f>
        <v>0</v>
      </c>
      <c r="L47" s="76">
        <v>0</v>
      </c>
      <c r="M47" s="76">
        <v>0</v>
      </c>
      <c r="N47" s="76">
        <v>0</v>
      </c>
      <c r="O47" s="76">
        <v>0</v>
      </c>
      <c r="P47" s="76">
        <v>0</v>
      </c>
      <c r="Q47" s="154">
        <v>0</v>
      </c>
      <c r="R47" s="154">
        <v>0</v>
      </c>
      <c r="S47" s="154">
        <v>0</v>
      </c>
      <c r="T47" s="154">
        <v>0</v>
      </c>
      <c r="U47" s="154">
        <v>0</v>
      </c>
      <c r="V47" s="154">
        <v>0</v>
      </c>
      <c r="W47" s="154">
        <f>ROUND('[99]Adjusted EPS Working'!$K$18,0)</f>
        <v>-92</v>
      </c>
      <c r="X47" s="26">
        <f>ROUND('[100]Adjusted EPS Working'!$G$18,0)</f>
        <v>-78</v>
      </c>
      <c r="Y47" s="154">
        <v>0</v>
      </c>
      <c r="Z47" s="154">
        <f>ROUND('[101]Adjusted EPS Working'!$B$19,0)</f>
        <v>-170</v>
      </c>
      <c r="AA47" s="154">
        <f>ROUND('[110]Adjusted EPS Working'!$O$19,0)</f>
        <v>0</v>
      </c>
      <c r="AB47" s="154">
        <f>ROUND('[111]Adjusted EPS Working'!$K$19,0)</f>
        <v>0</v>
      </c>
      <c r="AC47" s="154">
        <f>ROUND('[107]Adjusted EPS-Post stock split'!$H$19,0)</f>
        <v>0</v>
      </c>
      <c r="AD47" s="154">
        <f t="shared" ref="AD47:AD55" si="31">+ROUND(AE47-SUM(AA47:AC47),0)</f>
        <v>-156</v>
      </c>
      <c r="AE47" s="154">
        <f>ROUND('[112]Adjusted EPS-Post stock split'!$B$19,0)</f>
        <v>-156</v>
      </c>
      <c r="AF47" s="154">
        <f>ROUND('[113]Adjusted EPS-Post stock split'!$O$19,0)</f>
        <v>0</v>
      </c>
      <c r="AG47" s="154">
        <f>ROUND('[94]Adjusted EPS-Post stock split'!$K$19,0)</f>
        <v>-363</v>
      </c>
      <c r="AH47" s="216"/>
      <c r="AI47"/>
      <c r="AJ47" s="275">
        <f>SUM('[11]Non-GAAP'!B47:AF47)-SUM(B47:AF47)</f>
        <v>0</v>
      </c>
      <c r="AK47" s="263"/>
      <c r="AM47" s="130"/>
      <c r="AS47" s="10"/>
      <c r="AT47" s="10"/>
      <c r="AU47" s="10"/>
      <c r="AV47" s="10"/>
      <c r="AW47" s="10"/>
      <c r="AX47" s="10"/>
      <c r="AY47" s="10"/>
      <c r="AZ47" s="10"/>
      <c r="BA47" s="10"/>
      <c r="BB47" s="10"/>
      <c r="BC47" s="10"/>
      <c r="BD47" s="10"/>
      <c r="BE47" s="10"/>
      <c r="BF47" s="10"/>
      <c r="BG47" s="10"/>
      <c r="BH47" s="10"/>
      <c r="BI47" s="10"/>
    </row>
    <row r="48" spans="1:61" x14ac:dyDescent="0.2">
      <c r="A48" s="49" t="s">
        <v>167</v>
      </c>
      <c r="B48" s="154">
        <v>-38</v>
      </c>
      <c r="C48" s="154">
        <v>-12</v>
      </c>
      <c r="D48" s="154">
        <f>ROUND('[125]Adjusted EPS Working'!$G$16,0)</f>
        <v>-218</v>
      </c>
      <c r="E48" s="130">
        <f>+F48-SUM(B48:D48)</f>
        <v>253</v>
      </c>
      <c r="F48" s="76">
        <f>ROUND('[96]Adjusted EPS Working'!$B$16,0)+ROUND('[96]Adjusted EPS Working'!$B$20,0)</f>
        <v>-15</v>
      </c>
      <c r="G48" s="76">
        <v>0</v>
      </c>
      <c r="H48" s="76">
        <v>0</v>
      </c>
      <c r="I48" s="76">
        <f>ROUND('[114]Adjusted EPS Working'!$G$20,0)</f>
        <v>186</v>
      </c>
      <c r="J48" s="130">
        <f>+K48-SUM(G48:I48)</f>
        <v>0</v>
      </c>
      <c r="K48" s="76">
        <f>ROUND('[115]Adjusted EPS Working'!$B$20,0)</f>
        <v>186</v>
      </c>
      <c r="L48" s="76">
        <v>0</v>
      </c>
      <c r="M48" s="76">
        <f>'[119]Adjusted EPS Working'!$K$17</f>
        <v>137</v>
      </c>
      <c r="N48" s="76">
        <f>'[120]Adjusted EPS Working'!$G$17</f>
        <v>0</v>
      </c>
      <c r="O48" s="76">
        <f>+P48-SUM(L48:N48)</f>
        <v>0</v>
      </c>
      <c r="P48" s="76">
        <f>'[121]Adjusted EPS Working'!$B$17</f>
        <v>137</v>
      </c>
      <c r="Q48" s="154">
        <v>0</v>
      </c>
      <c r="R48" s="154">
        <v>0</v>
      </c>
      <c r="S48" s="154">
        <v>0</v>
      </c>
      <c r="T48" s="154">
        <f>+U48-SUM(S48:S48)</f>
        <v>-136</v>
      </c>
      <c r="U48" s="154">
        <f>ROUND('[97]Adjusted EPS Working'!$B$22,0)</f>
        <v>-136</v>
      </c>
      <c r="V48" s="154">
        <v>0</v>
      </c>
      <c r="W48" s="154">
        <v>0</v>
      </c>
      <c r="X48" s="154">
        <v>0</v>
      </c>
      <c r="Y48" s="154">
        <f t="shared" ref="Y48:Y55" si="32">+Z48-SUM(V48:X48)</f>
        <v>141</v>
      </c>
      <c r="Z48" s="154">
        <f>ROUND('[101]Adjusted EPS Working'!$B$24,0)</f>
        <v>141</v>
      </c>
      <c r="AA48" s="154">
        <f>ROUND('[110]Adjusted EPS Working'!$O$24,0)</f>
        <v>22</v>
      </c>
      <c r="AB48" s="154">
        <f>ROUND('[111]Adjusted EPS Working'!$K$24,0)</f>
        <v>-145</v>
      </c>
      <c r="AC48" s="154">
        <f>ROUND(SUM('[107]Adjusted EPS-Post stock split'!$G$24),0)</f>
        <v>0</v>
      </c>
      <c r="AD48" s="154">
        <f t="shared" si="31"/>
        <v>-1</v>
      </c>
      <c r="AE48" s="154">
        <f>ROUND(SUM('[112]Adjusted EPS-Post stock split'!$B$24),0)</f>
        <v>-124</v>
      </c>
      <c r="AF48" s="154">
        <v>0</v>
      </c>
      <c r="AG48" s="154">
        <v>0</v>
      </c>
      <c r="AH48" s="216"/>
      <c r="AI48"/>
      <c r="AJ48" s="275">
        <f>SUM('[11]Non-GAAP'!B48:AF48)-SUM(B48:AF48)</f>
        <v>0</v>
      </c>
      <c r="AK48" s="263"/>
      <c r="AM48" s="130"/>
      <c r="AS48" s="10"/>
      <c r="AT48" s="10"/>
      <c r="AU48" s="10"/>
      <c r="AV48" s="10"/>
      <c r="AW48" s="10"/>
      <c r="AX48" s="10"/>
      <c r="AY48" s="10"/>
      <c r="AZ48" s="10"/>
      <c r="BA48" s="10"/>
      <c r="BB48" s="10"/>
      <c r="BC48" s="10"/>
      <c r="BD48" s="10"/>
      <c r="BE48" s="10"/>
      <c r="BF48" s="10"/>
      <c r="BG48" s="10"/>
      <c r="BH48" s="10"/>
      <c r="BI48" s="10"/>
    </row>
    <row r="49" spans="1:61" x14ac:dyDescent="0.2">
      <c r="A49" s="49" t="s">
        <v>220</v>
      </c>
      <c r="B49" s="154">
        <v>0</v>
      </c>
      <c r="C49" s="154">
        <v>0</v>
      </c>
      <c r="D49" s="154">
        <v>0</v>
      </c>
      <c r="E49" s="130">
        <f>+F49-SUM(B49:D49)</f>
        <v>-150</v>
      </c>
      <c r="F49" s="76">
        <f>'[96]Adjusted EPS Working'!$B$22</f>
        <v>-150</v>
      </c>
      <c r="G49" s="76">
        <f>ROUND('[116]Adjusted EPS Working'!$O$14,0)</f>
        <v>-147</v>
      </c>
      <c r="H49" s="76">
        <f>ROUND('[117]Adjusted EPS Working'!$K$14,0)</f>
        <v>-150</v>
      </c>
      <c r="I49" s="76">
        <f>ROUND('[114]Adjusted EPS Working'!$G$15,0)</f>
        <v>-150</v>
      </c>
      <c r="J49" s="130">
        <f>+K49-SUM(G49:I49)</f>
        <v>-159</v>
      </c>
      <c r="K49" s="76">
        <f>'[115]Adjusted EPS Working'!$B$15</f>
        <v>-606</v>
      </c>
      <c r="L49" s="130">
        <f>'[118]Adjusted EPS Working'!$O$15</f>
        <v>-156</v>
      </c>
      <c r="M49" s="130">
        <f>'[119]Adjusted EPS Working'!$K$15</f>
        <v>-162</v>
      </c>
      <c r="N49" s="130">
        <f>'[120]Adjusted EPS Working'!$G$15</f>
        <v>-162</v>
      </c>
      <c r="O49" s="130">
        <f>+P49-SUM(L49:N49)</f>
        <v>-168</v>
      </c>
      <c r="P49" s="130">
        <f>'[121]Adjusted EPS Working'!$B$15</f>
        <v>-648</v>
      </c>
      <c r="Q49" s="130">
        <f>'[122]Adjusted EPS Working'!$O$15</f>
        <v>-162</v>
      </c>
      <c r="R49" s="130">
        <f>'[123]Adjusted EPS Working'!$K$15</f>
        <v>-165</v>
      </c>
      <c r="S49" s="130">
        <f>ROUND('[124]Adjusted EPS Working'!$G$15,0)</f>
        <v>-103</v>
      </c>
      <c r="T49" s="154">
        <f>+U49-SUM(Q49:S49)</f>
        <v>-12</v>
      </c>
      <c r="U49" s="130">
        <f>ROUND('[97]Adjusted EPS Working'!$B$15,0)</f>
        <v>-442</v>
      </c>
      <c r="V49" s="154">
        <v>0</v>
      </c>
      <c r="W49" s="154">
        <v>0</v>
      </c>
      <c r="X49" s="154">
        <v>0</v>
      </c>
      <c r="Y49" s="154">
        <f t="shared" si="32"/>
        <v>0</v>
      </c>
      <c r="Z49" s="154">
        <v>0</v>
      </c>
      <c r="AA49" s="154">
        <v>0</v>
      </c>
      <c r="AB49" s="154">
        <v>0</v>
      </c>
      <c r="AC49" s="154">
        <v>0</v>
      </c>
      <c r="AD49" s="154">
        <f t="shared" si="31"/>
        <v>0</v>
      </c>
      <c r="AE49" s="154">
        <v>0</v>
      </c>
      <c r="AF49" s="154">
        <v>0</v>
      </c>
      <c r="AG49" s="154">
        <v>0</v>
      </c>
      <c r="AH49" s="67"/>
      <c r="AI49"/>
      <c r="AJ49" s="275">
        <f>SUM('[11]Non-GAAP'!B49:AF49)-SUM(B49:AF49)</f>
        <v>0</v>
      </c>
      <c r="AK49" s="263"/>
      <c r="AM49" s="130"/>
      <c r="AS49" s="10"/>
      <c r="AT49" s="10"/>
      <c r="AU49" s="10"/>
      <c r="AV49" s="10"/>
      <c r="AW49" s="10"/>
      <c r="AX49" s="10"/>
      <c r="AY49" s="10"/>
      <c r="AZ49" s="10"/>
      <c r="BA49" s="10"/>
      <c r="BB49" s="10"/>
      <c r="BC49" s="10"/>
      <c r="BD49" s="10"/>
      <c r="BE49" s="10"/>
      <c r="BF49" s="10"/>
      <c r="BG49" s="10"/>
      <c r="BH49" s="10"/>
      <c r="BI49" s="10"/>
    </row>
    <row r="50" spans="1:61" x14ac:dyDescent="0.2">
      <c r="A50" s="49" t="s">
        <v>153</v>
      </c>
      <c r="B50" s="154">
        <v>0</v>
      </c>
      <c r="C50" s="154">
        <v>0</v>
      </c>
      <c r="D50" s="154">
        <v>0</v>
      </c>
      <c r="E50" s="130">
        <f>+F50-SUM(B50:D50)</f>
        <v>0</v>
      </c>
      <c r="F50" s="76">
        <v>0</v>
      </c>
      <c r="G50" s="76">
        <v>0</v>
      </c>
      <c r="H50" s="76">
        <f>ROUND('[117]Adjusted EPS Working'!$L$17,0)</f>
        <v>-1471</v>
      </c>
      <c r="I50" s="76">
        <f>ROUND('[114]Adjusted EPS Working'!$G$18,0)</f>
        <v>0</v>
      </c>
      <c r="J50" s="130">
        <f>+K50-SUM(G50:I50)</f>
        <v>-1663</v>
      </c>
      <c r="K50" s="76">
        <f>ROUND('[115]Adjusted EPS Working'!$B$18,0)</f>
        <v>-3134</v>
      </c>
      <c r="L50" s="76">
        <v>0</v>
      </c>
      <c r="M50" s="76">
        <f>'[119]Adjusted EPS Working'!$K$18</f>
        <v>1320.2116463969007</v>
      </c>
      <c r="N50" s="76">
        <f>'[120]Adjusted EPS Working'!$G$18</f>
        <v>0</v>
      </c>
      <c r="O50" s="76">
        <f>+P50-SUM(L50:N50)</f>
        <v>-1340.2116463969007</v>
      </c>
      <c r="P50" s="76">
        <f>'[121]Adjusted EPS Working'!$B$18</f>
        <v>-20</v>
      </c>
      <c r="Q50" s="76">
        <v>0</v>
      </c>
      <c r="R50" s="76">
        <v>0</v>
      </c>
      <c r="S50" s="76">
        <f>ROUND('[97]Adjusted EPS Working'!$G$18,0)+11</f>
        <v>-2400</v>
      </c>
      <c r="T50" s="154">
        <f>+U50-SUM(Q50:S50)</f>
        <v>2157</v>
      </c>
      <c r="U50" s="154">
        <f>ROUND(SUM('[97]Adjusted EPS Working'!$B$18,'[97]Adjusted EPS Working'!$B$23),0)</f>
        <v>-243</v>
      </c>
      <c r="V50" s="154">
        <v>0</v>
      </c>
      <c r="W50" s="154">
        <v>0</v>
      </c>
      <c r="X50" s="154">
        <v>0</v>
      </c>
      <c r="Y50" s="154">
        <f t="shared" si="32"/>
        <v>-1079</v>
      </c>
      <c r="Z50" s="154">
        <f>ROUND('[101]Adjusted EPS Working'!$B$22,0)</f>
        <v>-1079</v>
      </c>
      <c r="AA50" s="154">
        <f>ROUND('[110]Adjusted EPS Working'!$O$22,0)</f>
        <v>0</v>
      </c>
      <c r="AB50" s="154">
        <v>0</v>
      </c>
      <c r="AC50" s="154">
        <v>0</v>
      </c>
      <c r="AD50" s="154">
        <f t="shared" si="31"/>
        <v>223</v>
      </c>
      <c r="AE50" s="154">
        <f>ROUND('[112]Adjusted EPS-Post stock split'!$B$21,0)</f>
        <v>223</v>
      </c>
      <c r="AF50" s="154">
        <v>0</v>
      </c>
      <c r="AG50" s="154">
        <v>0</v>
      </c>
      <c r="AH50" s="212"/>
      <c r="AI50"/>
      <c r="AJ50" s="275">
        <f>SUM('[11]Non-GAAP'!B50:AF50)-SUM(B50:AF50)</f>
        <v>0</v>
      </c>
      <c r="AK50" s="263"/>
      <c r="AM50" s="130"/>
      <c r="AS50" s="10"/>
      <c r="AT50" s="10"/>
      <c r="AU50" s="10"/>
      <c r="AV50" s="10"/>
      <c r="AW50" s="10"/>
      <c r="AX50" s="10"/>
      <c r="AY50" s="10"/>
      <c r="AZ50" s="10"/>
      <c r="BA50" s="10"/>
      <c r="BB50" s="10"/>
      <c r="BC50" s="10"/>
      <c r="BD50" s="10"/>
      <c r="BE50" s="10"/>
      <c r="BF50" s="10"/>
      <c r="BG50" s="10"/>
      <c r="BH50" s="10"/>
      <c r="BI50" s="10"/>
    </row>
    <row r="51" spans="1:61" x14ac:dyDescent="0.2">
      <c r="A51" s="49" t="s">
        <v>229</v>
      </c>
      <c r="B51" s="154">
        <v>0</v>
      </c>
      <c r="C51" s="154">
        <v>0</v>
      </c>
      <c r="D51" s="154">
        <v>0</v>
      </c>
      <c r="E51" s="130">
        <f>+F51-SUM(B51:D51)</f>
        <v>-3072</v>
      </c>
      <c r="F51" s="76">
        <f>ROUND('[96]Adjusted EPS Working'!$B$21,0)</f>
        <v>-3072</v>
      </c>
      <c r="G51" s="76">
        <f>-G41*24.5%</f>
        <v>-300.61500000000001</v>
      </c>
      <c r="H51" s="76">
        <f>ROUND(SUM('[117]Adjusted EPS Working'!$K$16),0)</f>
        <v>-1367</v>
      </c>
      <c r="I51" s="76">
        <f>ROUND(SUM('[114]Adjusted EPS Working'!$G$17),0)</f>
        <v>-120</v>
      </c>
      <c r="J51" s="130">
        <f>+K51-SUM(G51:I51)</f>
        <v>-352.38499999999999</v>
      </c>
      <c r="K51" s="76">
        <f>'[115]Adjusted EPS Working'!$B$17</f>
        <v>-2140</v>
      </c>
      <c r="L51" s="130">
        <f t="shared" ref="L51:Q51" si="33">-L41*24.5%</f>
        <v>0</v>
      </c>
      <c r="M51" s="130">
        <f t="shared" si="33"/>
        <v>0</v>
      </c>
      <c r="N51" s="130">
        <f t="shared" si="33"/>
        <v>0</v>
      </c>
      <c r="O51" s="130">
        <f t="shared" si="33"/>
        <v>0</v>
      </c>
      <c r="P51" s="130">
        <f t="shared" si="33"/>
        <v>0</v>
      </c>
      <c r="Q51" s="130">
        <f t="shared" si="33"/>
        <v>0</v>
      </c>
      <c r="R51" s="130">
        <v>0</v>
      </c>
      <c r="S51" s="130">
        <v>0</v>
      </c>
      <c r="T51" s="280">
        <f>-T41*24.5%</f>
        <v>0</v>
      </c>
      <c r="U51" s="130">
        <f>-U41*24.5%</f>
        <v>0</v>
      </c>
      <c r="V51" s="130">
        <v>0</v>
      </c>
      <c r="W51" s="154">
        <v>0</v>
      </c>
      <c r="X51" s="154">
        <v>0</v>
      </c>
      <c r="Y51" s="154">
        <f t="shared" si="32"/>
        <v>0</v>
      </c>
      <c r="Z51" s="154">
        <v>0</v>
      </c>
      <c r="AA51" s="154">
        <v>0</v>
      </c>
      <c r="AB51" s="154">
        <v>0</v>
      </c>
      <c r="AC51" s="154">
        <v>0</v>
      </c>
      <c r="AD51" s="154">
        <f t="shared" si="31"/>
        <v>0</v>
      </c>
      <c r="AE51" s="154">
        <v>0</v>
      </c>
      <c r="AF51" s="154">
        <v>0</v>
      </c>
      <c r="AG51" s="154">
        <f>'[94]Adjusted EPS-Post stock split'!$K$26</f>
        <v>-1225</v>
      </c>
      <c r="AH51" s="208"/>
      <c r="AI51"/>
      <c r="AJ51" s="275">
        <f>SUM('[11]Non-GAAP'!B51:AF51)-SUM(B51:AF51)</f>
        <v>0</v>
      </c>
      <c r="AK51" s="263"/>
      <c r="AM51" s="130"/>
      <c r="AS51" s="10"/>
      <c r="AT51" s="10"/>
      <c r="AU51" s="10"/>
      <c r="AV51" s="10"/>
      <c r="AW51" s="10"/>
      <c r="AX51" s="10"/>
      <c r="AY51" s="10"/>
      <c r="AZ51" s="10"/>
      <c r="BA51" s="10"/>
      <c r="BB51" s="10"/>
      <c r="BC51" s="10"/>
      <c r="BD51" s="10"/>
      <c r="BE51" s="10"/>
      <c r="BF51" s="10"/>
      <c r="BG51" s="10"/>
      <c r="BH51" s="10"/>
      <c r="BI51" s="10"/>
    </row>
    <row r="52" spans="1:61" x14ac:dyDescent="0.2">
      <c r="A52" s="245" t="s">
        <v>223</v>
      </c>
      <c r="B52" s="171">
        <v>0</v>
      </c>
      <c r="C52" s="171">
        <v>0</v>
      </c>
      <c r="D52" s="171">
        <v>0</v>
      </c>
      <c r="E52" s="171">
        <v>0</v>
      </c>
      <c r="F52" s="171">
        <v>0</v>
      </c>
      <c r="G52" s="171">
        <v>0</v>
      </c>
      <c r="H52" s="171">
        <v>0</v>
      </c>
      <c r="I52" s="171">
        <v>0</v>
      </c>
      <c r="J52" s="171">
        <v>0</v>
      </c>
      <c r="K52" s="171">
        <v>0</v>
      </c>
      <c r="L52" s="171">
        <v>0</v>
      </c>
      <c r="M52" s="171">
        <v>0</v>
      </c>
      <c r="N52" s="171">
        <v>0</v>
      </c>
      <c r="O52" s="171">
        <v>0</v>
      </c>
      <c r="P52" s="171">
        <v>0</v>
      </c>
      <c r="Q52" s="171">
        <v>0</v>
      </c>
      <c r="R52" s="171">
        <v>0</v>
      </c>
      <c r="S52" s="171">
        <v>0</v>
      </c>
      <c r="T52" s="171">
        <v>0</v>
      </c>
      <c r="U52" s="171">
        <v>0</v>
      </c>
      <c r="V52" s="171">
        <v>0</v>
      </c>
      <c r="W52" s="171">
        <v>0</v>
      </c>
      <c r="X52" s="171">
        <v>0</v>
      </c>
      <c r="Y52" s="171">
        <v>0</v>
      </c>
      <c r="Z52" s="171">
        <v>0</v>
      </c>
      <c r="AA52" s="171">
        <v>0</v>
      </c>
      <c r="AB52" s="171">
        <v>0</v>
      </c>
      <c r="AC52" s="154">
        <f>ROUND(SUM('[107]Adjusted EPS-Post stock split'!$G$25),0)</f>
        <v>-429</v>
      </c>
      <c r="AD52" s="154">
        <f t="shared" si="31"/>
        <v>65</v>
      </c>
      <c r="AE52" s="171">
        <f>ROUND(SUM('[112]Adjusted EPS-Post stock split'!$B$25),0)</f>
        <v>-364</v>
      </c>
      <c r="AF52" s="154">
        <f>ROUND('[113]Adjusted EPS-Post stock split'!$O$25,0)</f>
        <v>0</v>
      </c>
      <c r="AG52" s="154">
        <f>ROUND('[94]Adjusted EPS-Post stock split'!$K$25,0)</f>
        <v>0</v>
      </c>
      <c r="AH52" s="208"/>
      <c r="AI52"/>
      <c r="AJ52" s="275">
        <f>SUM('[11]Non-GAAP'!B52:AF52)-SUM(B52:AF52)</f>
        <v>0</v>
      </c>
      <c r="AK52" s="263"/>
      <c r="AM52" s="130"/>
      <c r="AS52" s="10"/>
      <c r="AT52" s="10"/>
      <c r="AU52" s="10"/>
      <c r="AV52" s="10"/>
      <c r="AW52" s="10"/>
      <c r="AX52" s="10"/>
      <c r="AY52" s="10"/>
      <c r="AZ52" s="10"/>
      <c r="BA52" s="10"/>
      <c r="BB52" s="10"/>
      <c r="BC52" s="10"/>
      <c r="BD52" s="10"/>
      <c r="BE52" s="10"/>
      <c r="BF52" s="10"/>
      <c r="BG52" s="10"/>
      <c r="BH52" s="10"/>
      <c r="BI52" s="10"/>
    </row>
    <row r="53" spans="1:61" x14ac:dyDescent="0.2">
      <c r="A53" s="49" t="s">
        <v>221</v>
      </c>
      <c r="B53" s="171"/>
      <c r="C53" s="171"/>
      <c r="D53" s="171"/>
      <c r="E53" s="173"/>
      <c r="F53" s="170">
        <v>0</v>
      </c>
      <c r="G53" s="170">
        <v>0</v>
      </c>
      <c r="H53" s="170">
        <v>0</v>
      </c>
      <c r="I53" s="170">
        <v>0</v>
      </c>
      <c r="J53" s="173">
        <v>0</v>
      </c>
      <c r="K53" s="170">
        <v>0</v>
      </c>
      <c r="L53" s="130">
        <v>0</v>
      </c>
      <c r="M53" s="130">
        <v>0</v>
      </c>
      <c r="N53" s="130">
        <v>0</v>
      </c>
      <c r="O53" s="130">
        <v>0</v>
      </c>
      <c r="P53" s="130">
        <v>0</v>
      </c>
      <c r="Q53" s="130">
        <v>0</v>
      </c>
      <c r="R53" s="130">
        <v>0</v>
      </c>
      <c r="S53" s="130">
        <v>0</v>
      </c>
      <c r="T53" s="218">
        <v>0</v>
      </c>
      <c r="U53" s="130">
        <v>0</v>
      </c>
      <c r="V53" s="130">
        <v>0</v>
      </c>
      <c r="W53" s="154">
        <v>0</v>
      </c>
      <c r="X53" s="154">
        <v>0</v>
      </c>
      <c r="Y53" s="154">
        <v>0</v>
      </c>
      <c r="Z53" s="154">
        <v>0</v>
      </c>
      <c r="AA53" s="154">
        <v>0</v>
      </c>
      <c r="AB53" s="154">
        <v>0</v>
      </c>
      <c r="AC53" s="154">
        <v>0</v>
      </c>
      <c r="AD53" s="154">
        <f t="shared" si="31"/>
        <v>152</v>
      </c>
      <c r="AE53" s="154">
        <f>ROUND('[112]Adjusted EPS-Post stock split'!$B$26,0)</f>
        <v>152</v>
      </c>
      <c r="AF53" s="154">
        <f>ROUND('[113]Adjusted EPS-Post stock split'!$O$20,0)</f>
        <v>151</v>
      </c>
      <c r="AG53" s="154">
        <f>ROUND('[94]Adjusted EPS-Post stock split'!$K$20,0)</f>
        <v>0</v>
      </c>
      <c r="AH53" s="208"/>
      <c r="AI53"/>
      <c r="AJ53" s="275">
        <f>SUM('[11]Non-GAAP'!B53:AF53)-SUM(B53:AF53)</f>
        <v>0</v>
      </c>
      <c r="AK53" s="263"/>
      <c r="AM53" s="130"/>
      <c r="AS53" s="10"/>
      <c r="AT53" s="10"/>
      <c r="AU53" s="10"/>
      <c r="AV53" s="10"/>
      <c r="AW53" s="10"/>
      <c r="AX53" s="10"/>
      <c r="AY53" s="10"/>
      <c r="AZ53" s="10"/>
      <c r="BA53" s="10"/>
      <c r="BB53" s="10"/>
      <c r="BC53" s="10"/>
      <c r="BD53" s="10"/>
      <c r="BE53" s="10"/>
      <c r="BF53" s="10"/>
      <c r="BG53" s="10"/>
      <c r="BH53" s="10"/>
      <c r="BI53" s="10"/>
    </row>
    <row r="54" spans="1:61" x14ac:dyDescent="0.2">
      <c r="A54" s="49" t="s">
        <v>162</v>
      </c>
      <c r="B54" s="154">
        <v>0</v>
      </c>
      <c r="C54" s="154">
        <v>0</v>
      </c>
      <c r="D54" s="154">
        <v>0</v>
      </c>
      <c r="E54" s="130">
        <v>0</v>
      </c>
      <c r="F54" s="76">
        <v>0</v>
      </c>
      <c r="G54" s="76">
        <v>0</v>
      </c>
      <c r="H54" s="76">
        <v>0</v>
      </c>
      <c r="I54" s="76">
        <v>0</v>
      </c>
      <c r="J54" s="76">
        <v>0</v>
      </c>
      <c r="K54" s="76">
        <v>0</v>
      </c>
      <c r="L54" s="76">
        <v>0</v>
      </c>
      <c r="M54" s="76">
        <v>0</v>
      </c>
      <c r="N54" s="76">
        <v>0</v>
      </c>
      <c r="O54" s="76">
        <v>0</v>
      </c>
      <c r="P54" s="76">
        <v>0</v>
      </c>
      <c r="Q54" s="76">
        <v>0</v>
      </c>
      <c r="R54" s="76">
        <v>0</v>
      </c>
      <c r="S54" s="76">
        <f>-'Income Statement'!S38</f>
        <v>12845</v>
      </c>
      <c r="T54" s="217">
        <f>+U54-SUM(Q54:S54)</f>
        <v>0</v>
      </c>
      <c r="U54" s="76">
        <f>-'Income Statement'!U38</f>
        <v>12845</v>
      </c>
      <c r="V54" s="76">
        <f>-'Income Statement'!V38</f>
        <v>0</v>
      </c>
      <c r="W54" s="76">
        <f>-'Income Statement'!W38</f>
        <v>0</v>
      </c>
      <c r="X54" s="76">
        <f>-'Income Statement'!X38</f>
        <v>0</v>
      </c>
      <c r="Y54" s="217">
        <f t="shared" si="32"/>
        <v>0</v>
      </c>
      <c r="Z54" s="76">
        <f>-'Income Statement'!Z38</f>
        <v>0</v>
      </c>
      <c r="AA54" s="76">
        <f>-'Income Statement'!AA38</f>
        <v>0</v>
      </c>
      <c r="AB54" s="76">
        <f>-'Income Statement'!AB38</f>
        <v>0</v>
      </c>
      <c r="AC54" s="76">
        <f>-'Income Statement'!AC38</f>
        <v>0</v>
      </c>
      <c r="AD54" s="154">
        <f t="shared" si="31"/>
        <v>0</v>
      </c>
      <c r="AE54" s="76">
        <f>-'Income Statement'!AE38</f>
        <v>0</v>
      </c>
      <c r="AF54" s="154">
        <f>-'Income Statement'!AF38</f>
        <v>0</v>
      </c>
      <c r="AG54" s="154">
        <f>-'Income Statement'!AG38</f>
        <v>0</v>
      </c>
      <c r="AH54" s="212"/>
      <c r="AI54"/>
      <c r="AJ54" s="275">
        <f>SUM('[11]Non-GAAP'!B54:AF54)-SUM(B54:AF54)</f>
        <v>0</v>
      </c>
      <c r="AK54" s="263"/>
      <c r="AM54" s="130"/>
      <c r="AS54" s="10"/>
      <c r="AT54" s="10"/>
      <c r="AU54" s="10"/>
      <c r="AV54" s="10"/>
      <c r="AW54" s="10"/>
      <c r="AX54" s="10"/>
      <c r="AY54" s="10"/>
      <c r="AZ54" s="10"/>
      <c r="BA54" s="10"/>
      <c r="BB54" s="10"/>
      <c r="BC54" s="10"/>
      <c r="BD54" s="10"/>
      <c r="BE54" s="10"/>
      <c r="BF54" s="10"/>
      <c r="BG54" s="10"/>
      <c r="BH54" s="10"/>
      <c r="BI54" s="10"/>
    </row>
    <row r="55" spans="1:61" x14ac:dyDescent="0.2">
      <c r="A55" s="49" t="s">
        <v>163</v>
      </c>
      <c r="B55" s="154">
        <v>0</v>
      </c>
      <c r="C55" s="154">
        <v>0</v>
      </c>
      <c r="D55" s="154">
        <v>0</v>
      </c>
      <c r="E55" s="130">
        <v>0</v>
      </c>
      <c r="F55" s="76">
        <v>0</v>
      </c>
      <c r="G55" s="76">
        <v>0</v>
      </c>
      <c r="H55" s="76">
        <v>0</v>
      </c>
      <c r="I55" s="76">
        <v>0</v>
      </c>
      <c r="J55" s="76">
        <v>0</v>
      </c>
      <c r="K55" s="76">
        <v>0</v>
      </c>
      <c r="L55" s="76">
        <v>0</v>
      </c>
      <c r="M55" s="76">
        <v>0</v>
      </c>
      <c r="N55" s="76">
        <v>0</v>
      </c>
      <c r="O55" s="76">
        <v>0</v>
      </c>
      <c r="P55" s="76">
        <v>0</v>
      </c>
      <c r="Q55" s="76">
        <v>0</v>
      </c>
      <c r="R55" s="76">
        <v>0</v>
      </c>
      <c r="S55" s="76">
        <f>ROUND('[97]Adjusted EPS Working'!$G$17,0)-11</f>
        <v>-3094</v>
      </c>
      <c r="T55" s="154">
        <f>+U55-SUM(Q55:S55)</f>
        <v>-97</v>
      </c>
      <c r="U55" s="154">
        <f>ROUND('[97]Adjusted EPS Working'!$B$17,0)</f>
        <v>-3191</v>
      </c>
      <c r="V55" s="154">
        <v>0</v>
      </c>
      <c r="W55" s="154">
        <v>0</v>
      </c>
      <c r="X55" s="154">
        <v>0</v>
      </c>
      <c r="Y55" s="154">
        <f t="shared" si="32"/>
        <v>0</v>
      </c>
      <c r="Z55" s="154">
        <v>0</v>
      </c>
      <c r="AA55" s="154">
        <v>0</v>
      </c>
      <c r="AB55" s="154">
        <v>0</v>
      </c>
      <c r="AC55" s="154">
        <v>0</v>
      </c>
      <c r="AD55" s="154">
        <f t="shared" si="31"/>
        <v>0</v>
      </c>
      <c r="AE55" s="154">
        <v>0</v>
      </c>
      <c r="AF55" s="154">
        <v>0</v>
      </c>
      <c r="AG55" s="154">
        <v>0</v>
      </c>
      <c r="AH55" s="217"/>
      <c r="AI55"/>
      <c r="AJ55" s="275">
        <f>SUM('[11]Non-GAAP'!B55:AF55)-SUM(B55:AF55)</f>
        <v>0</v>
      </c>
      <c r="AK55" s="263"/>
      <c r="AM55" s="130"/>
      <c r="AS55" s="10"/>
      <c r="AT55" s="10"/>
      <c r="AU55" s="10"/>
      <c r="AV55" s="10"/>
      <c r="AW55" s="10"/>
      <c r="AX55" s="10"/>
      <c r="AY55" s="10"/>
      <c r="AZ55" s="10"/>
      <c r="BA55" s="10"/>
      <c r="BB55" s="10"/>
      <c r="BC55" s="10"/>
      <c r="BD55" s="10"/>
      <c r="BE55" s="10"/>
      <c r="BF55" s="10"/>
      <c r="BG55" s="10"/>
      <c r="BH55" s="10"/>
      <c r="BI55" s="10"/>
    </row>
    <row r="56" spans="1:61" ht="13.5" customHeight="1" x14ac:dyDescent="0.15">
      <c r="A56" s="45" t="s">
        <v>87</v>
      </c>
      <c r="B56" s="77">
        <f t="shared" ref="B56:AB56" si="34">SUM(B34:B55)</f>
        <v>22816.981600000003</v>
      </c>
      <c r="C56" s="77">
        <f t="shared" si="34"/>
        <v>23375</v>
      </c>
      <c r="D56" s="77">
        <f t="shared" si="34"/>
        <v>25053</v>
      </c>
      <c r="E56" s="77">
        <f t="shared" si="34"/>
        <v>25749.018399999997</v>
      </c>
      <c r="F56" s="77">
        <f t="shared" si="34"/>
        <v>96994</v>
      </c>
      <c r="G56" s="77">
        <f t="shared" si="34"/>
        <v>24884.384999999998</v>
      </c>
      <c r="H56" s="77">
        <f t="shared" si="34"/>
        <v>25714</v>
      </c>
      <c r="I56" s="77">
        <f t="shared" si="34"/>
        <v>29257</v>
      </c>
      <c r="J56" s="77">
        <f t="shared" si="34"/>
        <v>27512.615000000002</v>
      </c>
      <c r="K56" s="77">
        <f t="shared" si="34"/>
        <v>107368</v>
      </c>
      <c r="L56" s="77">
        <f t="shared" si="34"/>
        <v>28191.952000000001</v>
      </c>
      <c r="M56" s="77">
        <f t="shared" si="34"/>
        <v>18436.052846396899</v>
      </c>
      <c r="N56" s="77">
        <f t="shared" si="34"/>
        <v>36034.692854934059</v>
      </c>
      <c r="O56" s="77">
        <f t="shared" si="34"/>
        <v>39285.7883536031</v>
      </c>
      <c r="P56" s="77">
        <f t="shared" si="34"/>
        <v>121948</v>
      </c>
      <c r="Q56" s="77">
        <f t="shared" si="34"/>
        <v>40519.026381000003</v>
      </c>
      <c r="R56" s="77">
        <f t="shared" si="34"/>
        <v>39174.108328000002</v>
      </c>
      <c r="S56" s="77">
        <f t="shared" si="34"/>
        <v>44706</v>
      </c>
      <c r="T56" s="77">
        <f t="shared" si="34"/>
        <v>41170</v>
      </c>
      <c r="U56" s="77">
        <f t="shared" si="34"/>
        <v>165569</v>
      </c>
      <c r="V56" s="77">
        <f t="shared" si="34"/>
        <v>48164</v>
      </c>
      <c r="W56" s="77">
        <f t="shared" si="34"/>
        <v>50633</v>
      </c>
      <c r="X56" s="77">
        <f t="shared" si="34"/>
        <v>52100</v>
      </c>
      <c r="Y56" s="77">
        <f t="shared" si="34"/>
        <v>52637</v>
      </c>
      <c r="Z56" s="77">
        <f t="shared" si="34"/>
        <v>203534</v>
      </c>
      <c r="AA56" s="77">
        <f t="shared" si="34"/>
        <v>58967</v>
      </c>
      <c r="AB56" s="77">
        <f t="shared" si="34"/>
        <v>61391</v>
      </c>
      <c r="AC56" s="77">
        <f t="shared" ref="AC56:AF56" si="35">SUM(AC34:AC55)</f>
        <v>62760</v>
      </c>
      <c r="AD56" s="77">
        <f t="shared" si="35"/>
        <v>57769</v>
      </c>
      <c r="AE56" s="77">
        <f t="shared" si="35"/>
        <v>240887</v>
      </c>
      <c r="AF56" s="77">
        <f t="shared" si="35"/>
        <v>63133</v>
      </c>
      <c r="AG56" s="77">
        <f t="shared" ref="AG56" si="36">SUM(AG34:AG55)</f>
        <v>66199</v>
      </c>
      <c r="AH56" s="277">
        <f>AG56-ROUND('[94]Adjusted EPS-Post stock split'!$K$27,0)</f>
        <v>-1</v>
      </c>
      <c r="AI56" s="236"/>
      <c r="AJ56" s="275">
        <f>SUM('[11]Non-GAAP'!B56:AF56)-SUM(B56:AF56)</f>
        <v>0</v>
      </c>
      <c r="AK56" s="263"/>
      <c r="AS56" s="10"/>
      <c r="AT56" s="10"/>
      <c r="AU56" s="10"/>
      <c r="AV56" s="10"/>
      <c r="AW56" s="10"/>
      <c r="AX56" s="10"/>
      <c r="AY56" s="10"/>
      <c r="AZ56" s="10"/>
      <c r="BA56" s="10"/>
      <c r="BB56" s="10"/>
      <c r="BC56" s="10"/>
      <c r="BD56" s="10"/>
      <c r="BE56" s="10"/>
      <c r="BF56" s="10"/>
      <c r="BG56" s="10"/>
      <c r="BH56" s="10"/>
      <c r="BI56" s="10"/>
    </row>
    <row r="57" spans="1:61" x14ac:dyDescent="0.2">
      <c r="A57" s="79" t="s">
        <v>88</v>
      </c>
      <c r="B57" s="75">
        <f>IF(B56/'Income Statement'!B8&lt;0, "NM",B56/'Income Statement'!B8)</f>
        <v>0.11024134355688908</v>
      </c>
      <c r="C57" s="75">
        <f>IF(C56/'Income Statement'!C8&lt;0, "NM",C56/'Income Statement'!C8)</f>
        <v>0.11125019037465733</v>
      </c>
      <c r="D57" s="75">
        <f>IF(D56/'Income Statement'!D8&lt;0, "NM",D56/'Income Statement'!D8)</f>
        <v>0.10839635866461293</v>
      </c>
      <c r="E57" s="75">
        <f>IF(E56/'Income Statement'!E8&lt;0, "NM",E56/'Income Statement'!E8)</f>
        <v>0.10961553662575615</v>
      </c>
      <c r="F57" s="75">
        <f>IF(F56/'Income Statement'!F8&lt;0, "NM",F56/'Income Statement'!F8)</f>
        <v>0.10983204848309161</v>
      </c>
      <c r="G57" s="75">
        <f>IF(G56/'Income Statement'!G8&lt;0, "NM",G56/'Income Statement'!G8)</f>
        <v>0.10386973907744194</v>
      </c>
      <c r="H57" s="75">
        <f>IF(H56/'Income Statement'!H8&lt;0, "NM",H56/'Income Statement'!H8)</f>
        <v>0.10559773971393255</v>
      </c>
      <c r="I57" s="75">
        <f>IF(I56/'Income Statement'!I8&lt;0, "NM",I56/'Income Statement'!I8)</f>
        <v>0.11637999618126273</v>
      </c>
      <c r="J57" s="75">
        <f>IF(J56/'Income Statement'!J8&lt;0, "NM",J56/'Income Statement'!J8)</f>
        <v>0.10710632143635741</v>
      </c>
      <c r="K57" s="75">
        <f>IF(K56/'Income Statement'!K8&lt;0, "NM",K56/'Income Statement'!K8)</f>
        <v>0.10830527383980972</v>
      </c>
      <c r="L57" s="75">
        <f>IF(L56/'Income Statement'!L8&lt;0, "NM",L56/'Income Statement'!L8)</f>
        <v>0.11460608967844221</v>
      </c>
      <c r="M57" s="75">
        <f>IF(M56/'Income Statement'!M8&lt;0, "NM",M56/'Income Statement'!M8)</f>
        <v>8.286872045774947E-2</v>
      </c>
      <c r="N57" s="75">
        <f>IF(N56/'Income Statement'!N8&lt;0, "NM",N56/'Income Statement'!N8)</f>
        <v>0.14951038036550821</v>
      </c>
      <c r="O57" s="75">
        <f>IF(O56/'Income Statement'!O8&lt;0, "NM",O56/'Income Statement'!O8)</f>
        <v>0.15780403672019658</v>
      </c>
      <c r="P57" s="75">
        <f>IF(P56/'Income Statement'!P8&lt;0, "NM",P56/'Income Statement'!P8)</f>
        <v>0.12723672156872565</v>
      </c>
      <c r="Q57" s="75">
        <f>IF(Q56/'Income Statement'!Q8&lt;0, "NM",Q56/'Income Statement'!Q8)</f>
        <v>0.15499885768222943</v>
      </c>
      <c r="R57" s="75">
        <f>IF(R56/'Income Statement'!R8&lt;0, "NM",R56/'Income Statement'!R8)</f>
        <v>0.14241815842131286</v>
      </c>
      <c r="S57" s="75">
        <f>IF(S56/'Income Statement'!S8&lt;0, "NM",S56/'Income Statement'!S8)</f>
        <v>0.15398605011624902</v>
      </c>
      <c r="T57" s="75">
        <f>IF(T56/'Income Statement'!T8&lt;0, "NM",T56/'Income Statement'!T8)</f>
        <v>0.1393283675534453</v>
      </c>
      <c r="U57" s="75">
        <f>IF(U56/'Income Statement'!U8&lt;0, "NM",U56/'Income Statement'!U8)</f>
        <v>0.14752742822061618</v>
      </c>
      <c r="V57" s="75">
        <f>IF(V56/'Income Statement'!V8&lt;0, "NM",V56/'Income Statement'!V8)</f>
        <v>0.14630264149109379</v>
      </c>
      <c r="W57" s="75">
        <f>IF(W56/'Income Statement'!W8&lt;0, "NM",W56/'Income Statement'!W8)</f>
        <v>0.14600815497920885</v>
      </c>
      <c r="X57" s="75">
        <f>IF(X56/'Income Statement'!X8&lt;0, "NM",X56/'Income Statement'!X8)</f>
        <v>0.14418114243491784</v>
      </c>
      <c r="Y57" s="75">
        <f>IF(Y56/'Income Statement'!Y8&lt;0, "NM",Y56/'Income Statement'!Y8)</f>
        <v>0.14047659079324157</v>
      </c>
      <c r="Z57" s="75">
        <f>IF(Z56/'Income Statement'!Z8&lt;0, "NM",Z56/'Income Statement'!Z8)</f>
        <v>0.14414140069289624</v>
      </c>
      <c r="AA57" s="75">
        <f>IF(AA56/'Income Statement'!AA8&lt;0, "NM",AA56/'Income Statement'!AA8)</f>
        <v>0.14718090669249181</v>
      </c>
      <c r="AB57" s="75">
        <f>IF(AB56/'Income Statement'!AB8&lt;0, "NM",AB56/'Income Statement'!AB8)</f>
        <v>0.15158421317741411</v>
      </c>
      <c r="AC57" s="75">
        <f>IF(AC56/'Income Statement'!AC8&lt;0, "NM",AC56/'Income Statement'!AC8)</f>
        <v>0.15271150519136387</v>
      </c>
      <c r="AD57" s="75">
        <f>IF(AD56/'Income Statement'!AD8&lt;0, "NM",AD56/'Income Statement'!AD8)</f>
        <v>0.13951910118872235</v>
      </c>
      <c r="AE57" s="75">
        <f>IF(AE56/'Income Statement'!AE8&lt;0, "NM",AE56/'Income Statement'!AE8)</f>
        <v>0.14772289638356795</v>
      </c>
      <c r="AF57" s="75">
        <f>IF(AF56/'Income Statement'!AF8&lt;0, "NM",AF56/'Income Statement'!AF8)</f>
        <v>0.14463227393833317</v>
      </c>
      <c r="AG57" s="75">
        <f>IF(AG56/'Income Statement'!AG8&lt;0, "NM",AG56/'Income Statement'!AG8)</f>
        <v>0.14764500430451907</v>
      </c>
      <c r="AH57" s="211"/>
      <c r="AI57"/>
      <c r="AJ57" s="229">
        <f>SUM('[11]Non-GAAP'!B57:AF57)-SUM(B57:AF57)</f>
        <v>0</v>
      </c>
      <c r="AK57" s="263"/>
      <c r="AS57" s="10"/>
      <c r="AT57" s="10"/>
      <c r="AU57" s="10"/>
      <c r="AV57" s="10"/>
      <c r="AW57" s="10"/>
      <c r="AX57" s="10"/>
      <c r="AY57" s="10"/>
      <c r="AZ57" s="10"/>
      <c r="BA57" s="10"/>
      <c r="BB57" s="10"/>
      <c r="BC57" s="10"/>
      <c r="BD57" s="10"/>
      <c r="BE57" s="10"/>
      <c r="BF57" s="10"/>
      <c r="BG57" s="10"/>
      <c r="BH57" s="10"/>
      <c r="BI57" s="10"/>
    </row>
    <row r="58" spans="1:61" x14ac:dyDescent="0.2">
      <c r="A58" s="79"/>
      <c r="AH58" s="208"/>
      <c r="AI58"/>
      <c r="AJ58" s="229">
        <f>SUM('[11]Non-GAAP'!B58:AF58)-SUM(B58:AF58)</f>
        <v>0</v>
      </c>
      <c r="AK58" s="263"/>
      <c r="AS58" s="10"/>
      <c r="AT58" s="10"/>
      <c r="AU58" s="10"/>
      <c r="AV58" s="10"/>
      <c r="AW58" s="10"/>
      <c r="AX58" s="10"/>
      <c r="AY58" s="10"/>
      <c r="AZ58" s="10"/>
      <c r="BA58" s="10"/>
      <c r="BB58" s="10"/>
      <c r="BC58" s="10"/>
      <c r="BD58" s="10"/>
      <c r="BE58" s="10"/>
      <c r="BF58" s="10"/>
      <c r="BG58" s="10"/>
      <c r="BH58" s="10"/>
      <c r="BI58" s="10"/>
    </row>
    <row r="59" spans="1:61" x14ac:dyDescent="0.15">
      <c r="A59" s="259" t="s">
        <v>216</v>
      </c>
      <c r="B59" s="260">
        <f>(B56/'Income Statement'!B54)</f>
        <v>0.12926369770274482</v>
      </c>
      <c r="C59" s="260">
        <f>(C56/'Income Statement'!C54)</f>
        <v>0.13303169996016162</v>
      </c>
      <c r="D59" s="260">
        <f>(D56/'Income Statement'!D54)</f>
        <v>0.14231424676209953</v>
      </c>
      <c r="E59" s="260">
        <f>(E56/'Income Statement'!E54)</f>
        <v>0.147468419937345</v>
      </c>
      <c r="F59" s="261">
        <f>(F56/'Income Statement'!F54)</f>
        <v>0.55376095458308361</v>
      </c>
      <c r="G59" s="261">
        <f>(G56/'Income Statement'!G54)</f>
        <v>0.14287657822664454</v>
      </c>
      <c r="H59" s="261">
        <f>(H56/'Income Statement'!H54)</f>
        <v>0.14819638874320656</v>
      </c>
      <c r="I59" s="261">
        <f>(I56/'Income Statement'!I54)</f>
        <v>0.16863115788745628</v>
      </c>
      <c r="J59" s="261">
        <f>(J56/'Income Statement'!J54)</f>
        <v>0.15858877475732633</v>
      </c>
      <c r="K59" s="261">
        <f>(K56/'Income Statement'!K54)</f>
        <v>0.61825489597669048</v>
      </c>
      <c r="L59" s="261">
        <f>(L56/'Income Statement'!L54)</f>
        <v>0.16239323053173044</v>
      </c>
      <c r="M59" s="261">
        <f>(M56/'Income Statement'!M54)</f>
        <v>0.10657417188704939</v>
      </c>
      <c r="N59" s="261">
        <f>(N56/'Income Statement'!N54)</f>
        <v>0.20867901815458686</v>
      </c>
      <c r="O59" s="261">
        <f>(O56/'Income Statement'!O54)</f>
        <v>0.2286051111644056</v>
      </c>
      <c r="P59" s="261">
        <f>(P56/'Income Statement'!P54)</f>
        <v>0.70581562254016761</v>
      </c>
      <c r="Q59" s="261">
        <f>(Q56/'Income Statement'!Q54)</f>
        <v>0.23613587102545575</v>
      </c>
      <c r="R59" s="261">
        <f>(R56/'Income Statement'!R54)</f>
        <v>0.22782399623144073</v>
      </c>
      <c r="S59" s="261">
        <f>(S56/'Income Statement'!S54)</f>
        <v>0.26063231290335748</v>
      </c>
      <c r="T59" s="261">
        <f>(T56/'Income Statement'!T54)</f>
        <v>0.24240318886487949</v>
      </c>
      <c r="U59" s="261">
        <f>(U56/'Income Statement'!U54)</f>
        <v>0.96698438284799848</v>
      </c>
      <c r="V59" s="261">
        <f>(V56/'Income Statement'!V54)</f>
        <v>0.28419698596834914</v>
      </c>
      <c r="W59" s="261">
        <f>(W56/'Income Statement'!W54)</f>
        <v>0.29933255691592819</v>
      </c>
      <c r="X59" s="261">
        <f>(X56/'Income Statement'!X54)</f>
        <v>0.30848663915352686</v>
      </c>
      <c r="Y59" s="261">
        <f>(Y56/'Income Statement'!Y54)</f>
        <v>0.31113567447111606</v>
      </c>
      <c r="Z59" s="261">
        <f>(Z56/'Income Statement'!Z54)</f>
        <v>1.2031400552110612</v>
      </c>
      <c r="AA59" s="261">
        <f>(AA56/'Income Statement'!AA54)</f>
        <v>0.34756597134217865</v>
      </c>
      <c r="AB59" s="261">
        <f>(AB56/'Income Statement'!AB54)</f>
        <v>0.36446373232329227</v>
      </c>
      <c r="AC59" s="261">
        <f>(AC56/'Income Statement'!AC54)</f>
        <v>0.37426649491913555</v>
      </c>
      <c r="AD59" s="261">
        <f>(AD56/'Income Statement'!AD54)</f>
        <v>0.34616882688862122</v>
      </c>
      <c r="AE59" s="261">
        <f>(AE56/'Income Statement'!AE54)</f>
        <v>1.4324783986774579</v>
      </c>
      <c r="AF59" s="261">
        <f>(AF56/'Income Statement'!AF54)</f>
        <v>0.37866092474524221</v>
      </c>
      <c r="AG59" s="261">
        <f>(AG56/'Income Statement'!AG54)</f>
        <v>0.40374598992449467</v>
      </c>
      <c r="AH59" s="277">
        <f>AG59-'[94]Adjusted EPS-Post stock split'!$K$28</f>
        <v>-6.0989741525463437E-6</v>
      </c>
      <c r="AI59" s="236"/>
      <c r="AJ59" s="275">
        <f>SUM('[11]Non-GAAP'!B59:AF59)-SUM(B59:AF59)</f>
        <v>0</v>
      </c>
      <c r="AK59" s="263"/>
      <c r="AL59" s="74"/>
      <c r="AS59" s="10"/>
      <c r="AT59" s="10"/>
      <c r="AU59" s="10"/>
      <c r="AV59" s="10"/>
      <c r="AW59" s="10"/>
      <c r="AX59" s="10"/>
      <c r="AY59" s="10"/>
      <c r="AZ59" s="10"/>
      <c r="BA59" s="10"/>
      <c r="BB59" s="10"/>
      <c r="BC59" s="10"/>
      <c r="BD59" s="10"/>
      <c r="BE59" s="10"/>
      <c r="BF59" s="10"/>
      <c r="BG59" s="10"/>
      <c r="BH59" s="10"/>
      <c r="BI59" s="10"/>
    </row>
    <row r="60" spans="1:61" x14ac:dyDescent="0.2">
      <c r="A60" s="84" t="s">
        <v>84</v>
      </c>
      <c r="B60" s="68">
        <v>-2.9850746268656692E-2</v>
      </c>
      <c r="C60" s="68">
        <v>3.0769230769230882E-2</v>
      </c>
      <c r="D60" s="68">
        <v>5.9701492537313383E-2</v>
      </c>
      <c r="E60" s="68">
        <v>4.2253521126760507E-2</v>
      </c>
      <c r="F60" s="68" t="s">
        <v>53</v>
      </c>
      <c r="G60" s="68">
        <v>-4.0540540540540571E-2</v>
      </c>
      <c r="H60" s="68">
        <v>4.2253521126760507E-2</v>
      </c>
      <c r="I60" s="68">
        <v>0.13513513513513509</v>
      </c>
      <c r="J60" s="68">
        <v>-5.9523809523809423E-2</v>
      </c>
      <c r="K60" s="68" t="s">
        <v>53</v>
      </c>
      <c r="L60" s="68">
        <v>2.5316455696202445E-2</v>
      </c>
      <c r="M60" s="68">
        <v>-0.34567901234567899</v>
      </c>
      <c r="N60" s="68">
        <v>0.96226415094339623</v>
      </c>
      <c r="O60" s="68">
        <v>9.6153846153846034E-2</v>
      </c>
      <c r="P60" s="68" t="s">
        <v>53</v>
      </c>
      <c r="Q60" s="68">
        <v>3.5087719298245723E-2</v>
      </c>
      <c r="R60" s="68">
        <v>-3.3898305084745783E-2</v>
      </c>
      <c r="S60" s="68">
        <v>0.14035087719298267</v>
      </c>
      <c r="T60" s="68">
        <v>-6.9230769230769318E-2</v>
      </c>
      <c r="U60" s="68" t="s">
        <v>53</v>
      </c>
      <c r="V60" s="68">
        <v>0.17355371900826433</v>
      </c>
      <c r="W60" s="68">
        <v>5.6338028169014231E-2</v>
      </c>
      <c r="X60" s="68">
        <v>2.6666666666666616E-2</v>
      </c>
      <c r="Y60" s="68">
        <v>1.2987012987013102E-2</v>
      </c>
      <c r="Z60" s="68" t="s">
        <v>53</v>
      </c>
      <c r="AA60" s="68">
        <v>0.11538461538461542</v>
      </c>
      <c r="AB60" s="68">
        <v>4.5977011494252817E-2</v>
      </c>
      <c r="AC60" s="253">
        <f>AC59/AB59-1</f>
        <v>2.6896400729244263E-2</v>
      </c>
      <c r="AD60" s="253">
        <f>AD59/AC59-1</f>
        <v>-7.5073960431817799E-2</v>
      </c>
      <c r="AE60" s="68" t="s">
        <v>53</v>
      </c>
      <c r="AF60" s="253">
        <f>AF59/AD59-1</f>
        <v>9.3861998345319497E-2</v>
      </c>
      <c r="AG60" s="253">
        <f>AG59/AF59-1</f>
        <v>6.6246775254482193E-2</v>
      </c>
      <c r="AJ60" s="229">
        <f>SUM('[11]Non-GAAP'!B60:AF60)-SUM(B60:AF60)</f>
        <v>0</v>
      </c>
      <c r="AK60" s="263"/>
    </row>
    <row r="61" spans="1:61" x14ac:dyDescent="0.2">
      <c r="A61" s="83" t="s">
        <v>85</v>
      </c>
      <c r="B61" s="29">
        <v>8.3333333333333481E-2</v>
      </c>
      <c r="C61" s="29">
        <v>-4.2857142857142705E-2</v>
      </c>
      <c r="D61" s="29">
        <v>2.898550724637694E-2</v>
      </c>
      <c r="E61" s="29">
        <v>0.10447761194029836</v>
      </c>
      <c r="F61" s="29">
        <v>4.1353383458646586E-2</v>
      </c>
      <c r="G61" s="29">
        <v>9.2307692307692202E-2</v>
      </c>
      <c r="H61" s="29">
        <v>0.10447761194029836</v>
      </c>
      <c r="I61" s="29">
        <v>0.18309859154929575</v>
      </c>
      <c r="J61" s="29">
        <v>6.7567567567567544E-2</v>
      </c>
      <c r="K61" s="29">
        <v>0.11552346570397098</v>
      </c>
      <c r="L61" s="29">
        <v>0.14084507042253525</v>
      </c>
      <c r="M61" s="29">
        <v>-0.28378378378378377</v>
      </c>
      <c r="N61" s="29">
        <v>0.23809523809523814</v>
      </c>
      <c r="O61" s="29">
        <v>0.44303797468354422</v>
      </c>
      <c r="P61" s="29">
        <v>0.14239482200647258</v>
      </c>
      <c r="Q61" s="29">
        <v>0.45679012345678993</v>
      </c>
      <c r="R61" s="29">
        <v>1.1509433962264146</v>
      </c>
      <c r="S61" s="29">
        <v>0.25</v>
      </c>
      <c r="T61" s="29">
        <v>6.1403508771929793E-2</v>
      </c>
      <c r="U61" s="29">
        <v>0.36827195467422102</v>
      </c>
      <c r="V61" s="29">
        <v>0.20338983050847448</v>
      </c>
      <c r="W61" s="29">
        <v>0.31578947368421062</v>
      </c>
      <c r="X61" s="29">
        <v>0.18461538461538463</v>
      </c>
      <c r="Y61" s="29">
        <v>0.28925619834710758</v>
      </c>
      <c r="Z61" s="29">
        <v>0.24637681159420288</v>
      </c>
      <c r="AA61" s="29">
        <v>0.22535211267605648</v>
      </c>
      <c r="AB61" s="29">
        <v>0.21333333333333337</v>
      </c>
      <c r="AC61" s="28">
        <f t="shared" ref="AC61:AG61" si="37">AC59/X59-1</f>
        <v>0.21323405106329907</v>
      </c>
      <c r="AD61" s="28">
        <f t="shared" si="37"/>
        <v>0.11259767134404064</v>
      </c>
      <c r="AE61" s="28">
        <f t="shared" si="37"/>
        <v>0.19061649761645172</v>
      </c>
      <c r="AF61" s="28">
        <f t="shared" si="37"/>
        <v>8.9464895780751119E-2</v>
      </c>
      <c r="AG61" s="28">
        <f t="shared" si="37"/>
        <v>0.10778097823560029</v>
      </c>
      <c r="AJ61" s="229">
        <f>SUM('[11]Non-GAAP'!B61:AF61)-SUM(B61:AF61)</f>
        <v>0</v>
      </c>
      <c r="AK61" s="263"/>
    </row>
    <row r="62" spans="1:61" x14ac:dyDescent="0.2">
      <c r="A62" s="83"/>
      <c r="AH62" s="273"/>
    </row>
    <row r="63" spans="1:61" ht="11.25" customHeight="1" x14ac:dyDescent="0.2">
      <c r="A63" s="100" t="s">
        <v>151</v>
      </c>
      <c r="J63" s="180"/>
    </row>
    <row r="64" spans="1:61" x14ac:dyDescent="0.2">
      <c r="A64" s="100" t="s">
        <v>215</v>
      </c>
      <c r="AI64" s="226"/>
    </row>
    <row r="65" spans="1:61" x14ac:dyDescent="0.2">
      <c r="B65" s="68"/>
      <c r="C65" s="68"/>
      <c r="D65" s="68"/>
      <c r="E65" s="68"/>
      <c r="F65" s="68"/>
      <c r="G65" s="253"/>
      <c r="H65" s="253"/>
      <c r="I65" s="253"/>
      <c r="J65" s="253"/>
      <c r="K65" s="68"/>
      <c r="L65" s="253"/>
      <c r="M65" s="253"/>
      <c r="N65" s="253"/>
      <c r="O65" s="253"/>
      <c r="P65" s="254"/>
      <c r="Q65" s="253"/>
      <c r="R65" s="253"/>
      <c r="S65" s="253"/>
      <c r="T65" s="253"/>
      <c r="U65" s="254"/>
      <c r="V65" s="253"/>
      <c r="W65" s="253"/>
      <c r="X65" s="253"/>
      <c r="Y65" s="253"/>
      <c r="Z65" s="254"/>
      <c r="AA65" s="253"/>
      <c r="AB65" s="253"/>
      <c r="AC65" s="253"/>
      <c r="AD65" s="253"/>
      <c r="AE65" s="253"/>
      <c r="AF65" s="253"/>
      <c r="AG65" s="253"/>
    </row>
    <row r="66" spans="1:61" x14ac:dyDescent="0.2">
      <c r="B66" s="29"/>
      <c r="C66" s="29"/>
      <c r="D66" s="29"/>
      <c r="E66" s="29"/>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row>
    <row r="67" spans="1:61" customFormat="1" x14ac:dyDescent="0.2">
      <c r="A67" s="237"/>
      <c r="B67" s="252"/>
      <c r="C67" s="252"/>
      <c r="D67" s="252"/>
      <c r="E67" s="252"/>
      <c r="F67" s="252"/>
      <c r="G67" s="252"/>
      <c r="H67" s="252"/>
      <c r="I67" s="252"/>
      <c r="J67" s="252"/>
      <c r="K67" s="252"/>
      <c r="L67" s="252"/>
      <c r="M67" s="252"/>
      <c r="N67" s="252"/>
      <c r="O67" s="252"/>
      <c r="P67" s="252"/>
      <c r="Q67" s="252"/>
      <c r="R67" s="252"/>
      <c r="S67" s="252"/>
      <c r="T67" s="252"/>
      <c r="U67" s="252"/>
      <c r="V67" s="252"/>
      <c r="W67" s="252"/>
      <c r="X67" s="252"/>
      <c r="Y67" s="252"/>
      <c r="Z67" s="252"/>
      <c r="AA67" s="252"/>
      <c r="AB67" s="252"/>
      <c r="AC67" s="252"/>
      <c r="AD67" s="252"/>
      <c r="AE67" s="252"/>
      <c r="AF67" s="252"/>
      <c r="AG67" s="252"/>
      <c r="AI67" s="21"/>
      <c r="AJ67" s="222"/>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row>
    <row r="68" spans="1:61" customFormat="1" x14ac:dyDescent="0.2">
      <c r="A68" s="237"/>
      <c r="B68" s="252"/>
      <c r="C68" s="252"/>
      <c r="D68" s="252"/>
      <c r="E68" s="252"/>
      <c r="F68" s="252"/>
      <c r="G68" s="252"/>
      <c r="H68" s="252"/>
      <c r="I68" s="252"/>
      <c r="J68" s="252"/>
      <c r="K68" s="252"/>
      <c r="L68" s="252"/>
      <c r="M68" s="252"/>
      <c r="N68" s="252"/>
      <c r="O68" s="252"/>
      <c r="P68" s="252"/>
      <c r="Q68" s="252"/>
      <c r="R68" s="252"/>
      <c r="S68" s="252"/>
      <c r="T68" s="252"/>
      <c r="U68" s="252"/>
      <c r="V68" s="252"/>
      <c r="W68" s="252"/>
      <c r="X68" s="252"/>
      <c r="Y68" s="252"/>
      <c r="Z68" s="252"/>
      <c r="AA68" s="252"/>
      <c r="AB68" s="252"/>
      <c r="AC68" s="252"/>
      <c r="AD68" s="252"/>
      <c r="AE68" s="252"/>
      <c r="AF68" s="252"/>
      <c r="AG68" s="252"/>
      <c r="AI68" s="21"/>
      <c r="AJ68" s="222"/>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row>
    <row r="69" spans="1:61" customFormat="1" x14ac:dyDescent="0.2">
      <c r="A69" s="237"/>
      <c r="B69" s="252"/>
      <c r="C69" s="252"/>
      <c r="D69" s="252"/>
      <c r="E69" s="252"/>
      <c r="F69" s="252"/>
      <c r="G69" s="252"/>
      <c r="H69" s="252"/>
      <c r="I69" s="252"/>
      <c r="J69" s="252"/>
      <c r="K69" s="252"/>
      <c r="L69" s="252"/>
      <c r="M69" s="252"/>
      <c r="N69" s="252"/>
      <c r="O69" s="252"/>
      <c r="P69" s="252"/>
      <c r="Q69" s="252"/>
      <c r="R69" s="252"/>
      <c r="S69" s="252"/>
      <c r="T69" s="252"/>
      <c r="U69" s="252"/>
      <c r="V69" s="252"/>
      <c r="W69" s="252"/>
      <c r="X69" s="252"/>
      <c r="Y69" s="252"/>
      <c r="Z69" s="252"/>
      <c r="AA69" s="252"/>
      <c r="AB69" s="252"/>
      <c r="AC69" s="252"/>
      <c r="AD69" s="252"/>
      <c r="AE69" s="252"/>
      <c r="AF69" s="252"/>
      <c r="AG69" s="252"/>
      <c r="AI69" s="21"/>
      <c r="AJ69" s="222"/>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row>
    <row r="70" spans="1:61" customFormat="1" x14ac:dyDescent="0.2">
      <c r="A70" s="237"/>
      <c r="B70" s="252"/>
      <c r="C70" s="252"/>
      <c r="D70" s="252"/>
      <c r="E70" s="252"/>
      <c r="F70" s="252"/>
      <c r="G70" s="252"/>
      <c r="H70" s="252"/>
      <c r="I70" s="252"/>
      <c r="J70" s="252"/>
      <c r="K70" s="252"/>
      <c r="L70" s="252"/>
      <c r="M70" s="252"/>
      <c r="N70" s="252"/>
      <c r="O70" s="252"/>
      <c r="P70" s="252"/>
      <c r="Q70" s="252"/>
      <c r="R70" s="252"/>
      <c r="S70" s="252"/>
      <c r="T70" s="252"/>
      <c r="U70" s="252"/>
      <c r="V70" s="252"/>
      <c r="W70" s="252"/>
      <c r="X70" s="252"/>
      <c r="Y70" s="252"/>
      <c r="Z70" s="252"/>
      <c r="AA70" s="252"/>
      <c r="AB70" s="252"/>
      <c r="AC70" s="252"/>
      <c r="AD70" s="252"/>
      <c r="AE70" s="252"/>
      <c r="AF70" s="252"/>
      <c r="AG70" s="252"/>
      <c r="AI70" s="21"/>
      <c r="AJ70" s="222"/>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row>
    <row r="71" spans="1:61" customFormat="1" x14ac:dyDescent="0.2">
      <c r="A71" s="237"/>
      <c r="B71" s="252"/>
      <c r="C71" s="252"/>
      <c r="D71" s="252"/>
      <c r="E71" s="252"/>
      <c r="F71" s="252"/>
      <c r="G71" s="252"/>
      <c r="H71" s="252"/>
      <c r="I71" s="252"/>
      <c r="J71" s="252"/>
      <c r="K71" s="252"/>
      <c r="L71" s="252"/>
      <c r="M71" s="252"/>
      <c r="N71" s="252"/>
      <c r="O71" s="252"/>
      <c r="P71" s="252"/>
      <c r="Q71" s="252"/>
      <c r="R71" s="252"/>
      <c r="S71" s="252"/>
      <c r="T71" s="252"/>
      <c r="U71" s="252"/>
      <c r="V71" s="252"/>
      <c r="W71" s="252"/>
      <c r="X71" s="252"/>
      <c r="Y71" s="252"/>
      <c r="Z71" s="252"/>
      <c r="AA71" s="252"/>
      <c r="AB71" s="252"/>
      <c r="AC71" s="252"/>
      <c r="AD71" s="252"/>
      <c r="AE71" s="252"/>
      <c r="AF71" s="252"/>
      <c r="AG71" s="252"/>
      <c r="AI71" s="21"/>
      <c r="AJ71" s="222"/>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row>
    <row r="72" spans="1:61" customFormat="1" x14ac:dyDescent="0.2">
      <c r="A72" s="23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I72" s="21"/>
      <c r="AJ72" s="222"/>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row>
    <row r="73" spans="1:61" customFormat="1" x14ac:dyDescent="0.2">
      <c r="A73" s="237"/>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I73" s="21"/>
      <c r="AJ73" s="222"/>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row>
    <row r="74" spans="1:61" customFormat="1"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I74" s="21"/>
      <c r="AJ74" s="222"/>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row>
  </sheetData>
  <mergeCells count="2">
    <mergeCell ref="AJ3:AJ6"/>
    <mergeCell ref="AH3:AH6"/>
  </mergeCells>
  <pageMargins left="0.25" right="0" top="0.25" bottom="0" header="0.3" footer="0.3"/>
  <pageSetup paperSize="9" scale="33" orientation="landscape" r:id="rId1"/>
  <colBreaks count="1" manualBreakCount="1">
    <brk id="28" max="63"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HB30"/>
  <sheetViews>
    <sheetView showGridLines="0" view="pageBreakPreview" zoomScale="90" zoomScaleNormal="85" zoomScaleSheetLayoutView="90" workbookViewId="0">
      <pane xSplit="2" ySplit="4" topLeftCell="L5" activePane="bottomRight" state="frozen"/>
      <selection activeCell="AE38" sqref="AE38"/>
      <selection pane="topRight" activeCell="AE38" sqref="AE38"/>
      <selection pane="bottomLeft" activeCell="AE38" sqref="AE38"/>
      <selection pane="bottomRight" activeCell="AH3" sqref="AH3"/>
    </sheetView>
  </sheetViews>
  <sheetFormatPr baseColWidth="10" defaultColWidth="9.1640625" defaultRowHeight="13" outlineLevelCol="1" x14ac:dyDescent="0.15"/>
  <cols>
    <col min="1" max="1" width="2.5" style="6" customWidth="1"/>
    <col min="2" max="2" width="32.83203125" style="2" bestFit="1" customWidth="1"/>
    <col min="3" max="6" width="9.1640625" style="2" hidden="1" customWidth="1" outlineLevel="1"/>
    <col min="7" max="7" width="9.1640625" style="2" customWidth="1" collapsed="1"/>
    <col min="8" max="11" width="9.1640625" style="2" hidden="1" customWidth="1" outlineLevel="1"/>
    <col min="12" max="12" width="9.1640625" style="2" customWidth="1" collapsed="1"/>
    <col min="13" max="16" width="9.1640625" style="2" hidden="1" customWidth="1" outlineLevel="1"/>
    <col min="17" max="17" width="9.1640625" style="2" collapsed="1"/>
    <col min="18" max="20" width="0" style="2" hidden="1" customWidth="1" outlineLevel="1"/>
    <col min="21" max="21" width="11.6640625" style="2" hidden="1" customWidth="1" outlineLevel="1"/>
    <col min="22" max="22" width="9.1640625" style="2" collapsed="1"/>
    <col min="23" max="26" width="11.6640625" style="2" customWidth="1"/>
    <col min="27" max="34" width="9.1640625" style="2"/>
    <col min="35" max="35" width="9.1640625" style="2" hidden="1" customWidth="1" outlineLevel="1"/>
    <col min="36" max="36" width="9.1640625" style="2" customWidth="1" collapsed="1"/>
    <col min="37" max="37" width="9.1640625" style="2" customWidth="1"/>
    <col min="38" max="16384" width="9.1640625" style="2"/>
  </cols>
  <sheetData>
    <row r="1" spans="1:210" x14ac:dyDescent="0.15">
      <c r="AA1" s="237"/>
      <c r="AB1" s="237"/>
      <c r="AC1" s="237"/>
      <c r="AD1" s="237"/>
      <c r="AE1" s="237"/>
      <c r="AF1" s="237"/>
      <c r="AG1" s="237"/>
      <c r="AH1" s="237"/>
      <c r="AJ1" s="250" t="s">
        <v>184</v>
      </c>
    </row>
    <row r="3" spans="1:210" ht="23.25" customHeight="1" x14ac:dyDescent="0.15">
      <c r="C3" s="109">
        <v>2018</v>
      </c>
      <c r="D3" s="109">
        <v>2018</v>
      </c>
      <c r="E3" s="109">
        <v>2018</v>
      </c>
      <c r="F3" s="109">
        <v>2018</v>
      </c>
      <c r="G3" s="109">
        <v>2018</v>
      </c>
      <c r="H3" s="109">
        <v>2019</v>
      </c>
      <c r="I3" s="109">
        <v>2019</v>
      </c>
      <c r="J3" s="109">
        <v>2019</v>
      </c>
      <c r="K3" s="109">
        <v>2019</v>
      </c>
      <c r="L3" s="109">
        <v>2019</v>
      </c>
      <c r="M3" s="109">
        <v>2020</v>
      </c>
      <c r="N3" s="109">
        <v>2020</v>
      </c>
      <c r="O3" s="109">
        <v>2020</v>
      </c>
      <c r="P3" s="109">
        <v>2020</v>
      </c>
      <c r="Q3" s="109">
        <v>2020</v>
      </c>
      <c r="R3" s="109">
        <v>2021</v>
      </c>
      <c r="S3" s="109">
        <v>2021</v>
      </c>
      <c r="T3" s="109">
        <v>2021</v>
      </c>
      <c r="U3" s="109">
        <v>2021</v>
      </c>
      <c r="V3" s="109">
        <v>2021</v>
      </c>
      <c r="W3" s="109">
        <v>2022</v>
      </c>
      <c r="X3" s="109">
        <v>2022</v>
      </c>
      <c r="Y3" s="109">
        <v>2022</v>
      </c>
      <c r="Z3" s="109">
        <v>2022</v>
      </c>
      <c r="AA3" s="109">
        <v>2022</v>
      </c>
      <c r="AB3" s="109">
        <v>2023</v>
      </c>
      <c r="AC3" s="109">
        <v>2023</v>
      </c>
      <c r="AD3" s="109">
        <v>2023</v>
      </c>
      <c r="AE3" s="109">
        <v>2023</v>
      </c>
      <c r="AF3" s="109">
        <v>2023</v>
      </c>
      <c r="AG3" s="109">
        <v>2024</v>
      </c>
      <c r="AH3" s="109">
        <v>2024</v>
      </c>
    </row>
    <row r="4" spans="1:210" ht="15.75" customHeight="1" x14ac:dyDescent="0.2">
      <c r="C4" s="109" t="s">
        <v>6</v>
      </c>
      <c r="D4" s="109" t="s">
        <v>7</v>
      </c>
      <c r="E4" s="109" t="s">
        <v>8</v>
      </c>
      <c r="F4" s="109" t="s">
        <v>9</v>
      </c>
      <c r="G4" s="109" t="s">
        <v>10</v>
      </c>
      <c r="H4" s="109" t="s">
        <v>6</v>
      </c>
      <c r="I4" s="109" t="s">
        <v>7</v>
      </c>
      <c r="J4" s="109" t="s">
        <v>8</v>
      </c>
      <c r="K4" s="109" t="s">
        <v>9</v>
      </c>
      <c r="L4" s="109" t="s">
        <v>10</v>
      </c>
      <c r="M4" s="109" t="s">
        <v>6</v>
      </c>
      <c r="N4" s="109" t="s">
        <v>7</v>
      </c>
      <c r="O4" s="109" t="s">
        <v>8</v>
      </c>
      <c r="P4" s="109" t="s">
        <v>9</v>
      </c>
      <c r="Q4" s="109" t="s">
        <v>10</v>
      </c>
      <c r="R4" s="109" t="s">
        <v>6</v>
      </c>
      <c r="S4" s="109" t="s">
        <v>7</v>
      </c>
      <c r="T4" s="109" t="s">
        <v>8</v>
      </c>
      <c r="U4" s="109" t="s">
        <v>9</v>
      </c>
      <c r="V4" s="109" t="s">
        <v>10</v>
      </c>
      <c r="W4" s="109" t="s">
        <v>6</v>
      </c>
      <c r="X4" s="109" t="s">
        <v>7</v>
      </c>
      <c r="Y4" s="109" t="s">
        <v>8</v>
      </c>
      <c r="Z4" s="109" t="s">
        <v>9</v>
      </c>
      <c r="AA4" s="109" t="s">
        <v>10</v>
      </c>
      <c r="AB4" s="109" t="s">
        <v>6</v>
      </c>
      <c r="AC4" s="109" t="s">
        <v>7</v>
      </c>
      <c r="AD4" s="109" t="s">
        <v>8</v>
      </c>
      <c r="AE4" s="109" t="s">
        <v>9</v>
      </c>
      <c r="AF4" s="109" t="s">
        <v>10</v>
      </c>
      <c r="AG4" s="109" t="s">
        <v>6</v>
      </c>
      <c r="AH4" s="109" t="s">
        <v>7</v>
      </c>
      <c r="AI4" s="227" t="s">
        <v>170</v>
      </c>
    </row>
    <row r="6" spans="1:210" s="59" customFormat="1" x14ac:dyDescent="0.15">
      <c r="A6" s="65"/>
      <c r="B6" s="59" t="s">
        <v>0</v>
      </c>
      <c r="C6" s="63">
        <v>27095</v>
      </c>
      <c r="D6" s="63">
        <v>27094</v>
      </c>
      <c r="E6" s="63">
        <v>28812</v>
      </c>
      <c r="F6" s="63">
        <v>29152</v>
      </c>
      <c r="G6" s="63">
        <v>29152</v>
      </c>
      <c r="H6" s="63">
        <v>29122</v>
      </c>
      <c r="I6" s="63">
        <v>30019</v>
      </c>
      <c r="J6" s="63">
        <f>'[126]Headcount Details'!$K$35</f>
        <v>31496</v>
      </c>
      <c r="K6" s="63">
        <f>'[127]Headcount Details'!$L$35</f>
        <v>31728</v>
      </c>
      <c r="L6" s="63">
        <f>K6</f>
        <v>31728</v>
      </c>
      <c r="M6" s="63">
        <f>'[128]Headcount Details'!$J$36</f>
        <v>32780</v>
      </c>
      <c r="N6" s="63">
        <f>'[129]Additional Details'!$C$9</f>
        <v>31622</v>
      </c>
      <c r="O6" s="63">
        <f>'[130]Additional Details'!$C$9</f>
        <v>31816</v>
      </c>
      <c r="P6" s="63">
        <f>'[131]Additional Details'!$C$9</f>
        <v>31936</v>
      </c>
      <c r="Q6" s="63">
        <f>P6</f>
        <v>31936</v>
      </c>
      <c r="R6" s="63">
        <f>'[132]Additional Details'!$C$9</f>
        <v>31631</v>
      </c>
      <c r="S6" s="63">
        <f>'[133]Additional Details'!$C$9</f>
        <v>32994</v>
      </c>
      <c r="T6" s="63">
        <f>'[134]Additional Details'!$C$9</f>
        <v>34548</v>
      </c>
      <c r="U6" s="63">
        <f>'[135]Additional Details'!$C$9+495</f>
        <v>37431</v>
      </c>
      <c r="V6" s="63">
        <f>U6</f>
        <v>37431</v>
      </c>
      <c r="W6" s="63">
        <f>'[136]Additional Details'!$C$9</f>
        <v>39110</v>
      </c>
      <c r="X6" s="63">
        <f>'[137]Additional Details'!$C$9</f>
        <v>40617</v>
      </c>
      <c r="Y6" s="63">
        <f>'[138]Additional Details'!$C$9</f>
        <v>43111</v>
      </c>
      <c r="Z6" s="63">
        <f>'[139]Additional Details'!$C$9</f>
        <v>45420</v>
      </c>
      <c r="AA6" s="63">
        <f>Z6</f>
        <v>45420</v>
      </c>
      <c r="AB6" s="63">
        <f>'[140]Additional Details'!$C$9</f>
        <v>47796</v>
      </c>
      <c r="AC6" s="63">
        <f>'[141]Additional Details'!$C$9</f>
        <v>48831</v>
      </c>
      <c r="AD6" s="63">
        <f>'[142]Additional Details'!$C$9</f>
        <v>50450</v>
      </c>
      <c r="AE6" s="63">
        <f>'[143]Additional Details'!$C$9</f>
        <v>53951</v>
      </c>
      <c r="AF6" s="63">
        <f>AE6</f>
        <v>53951</v>
      </c>
      <c r="AG6" s="63">
        <f>'[144]Additional Details'!$C$9</f>
        <v>55062</v>
      </c>
      <c r="AH6" s="63">
        <f>'[145]Additional Details'!$C$9</f>
        <v>55942</v>
      </c>
      <c r="AI6" s="179">
        <f>SUM('[11]Other Metrics'!G6:AG6)-SUM(G6:AG6)</f>
        <v>0</v>
      </c>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row>
    <row r="7" spans="1:210" s="1" customFormat="1" x14ac:dyDescent="0.15">
      <c r="A7" s="3"/>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row>
    <row r="8" spans="1:210" s="60" customFormat="1" x14ac:dyDescent="0.15">
      <c r="A8" s="65"/>
      <c r="B8" s="59" t="s">
        <v>147</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row>
    <row r="9" spans="1:210" x14ac:dyDescent="0.15">
      <c r="A9" s="3"/>
      <c r="B9" s="64" t="s">
        <v>38</v>
      </c>
      <c r="C9" s="148">
        <v>8.0392074175461611E-2</v>
      </c>
      <c r="D9" s="148">
        <v>8.3199807659539757E-2</v>
      </c>
      <c r="E9" s="148">
        <v>7.85834865138509E-2</v>
      </c>
      <c r="F9" s="71">
        <v>8.6041315523410405E-2</v>
      </c>
      <c r="G9" s="148">
        <v>8.2089428257938343E-2</v>
      </c>
      <c r="H9" s="71">
        <v>7.9081549855751734E-2</v>
      </c>
      <c r="I9" s="71">
        <v>8.4175051580166541E-2</v>
      </c>
      <c r="J9" s="71">
        <f>'[146]Top 10 20 30 Q3''19VsQ2''19'!H9</f>
        <v>7.5242799743906075E-2</v>
      </c>
      <c r="K9" s="71">
        <f>'[147]Top 10 20 30 Q4''19VsQ3''19'!N5</f>
        <v>8.1402448811873057E-2</v>
      </c>
      <c r="L9" s="71">
        <f>'[148]YTD_Dec''19_ Top10,20&amp;30_Clients'!R5</f>
        <v>7.996062015913441E-2</v>
      </c>
      <c r="M9" s="71">
        <f>'[149]ClientWise Summary_Q''1''2020'!$M$4</f>
        <v>8.0666291683971769E-2</v>
      </c>
      <c r="N9" s="71">
        <f>'[150]Top 10,20 30_Q-2,Q-1 &amp; H-1''2020'!$L$4</f>
        <v>8.9891554169399771E-2</v>
      </c>
      <c r="O9" s="193">
        <f>'[151]Top 10,20 30_Q-3,Q-2 &amp; YTD''2020'!$M$4</f>
        <v>8.4717007371973033E-2</v>
      </c>
      <c r="P9" s="193">
        <f>'[152]Top 10,20 30_Q-4,Q-3 &amp; YTD''2020'!$Q$4</f>
        <v>8.7893571549537419E-2</v>
      </c>
      <c r="Q9" s="193">
        <f>'[152]Top 10,20 30_Q-4,Q-3 &amp; YTD''2020'!$O$4</f>
        <v>8.2128349430730371E-2</v>
      </c>
      <c r="R9" s="193">
        <f>[153]Summary!$O4</f>
        <v>8.2573813172722055E-2</v>
      </c>
      <c r="S9" s="193">
        <f>[154]Summary!$O4</f>
        <v>7.2942283209148681E-2</v>
      </c>
      <c r="T9" s="193">
        <f>[155]Summary!$L$4</f>
        <v>7.7332515560155815E-2</v>
      </c>
      <c r="U9" s="193">
        <f>[156]Summary!$Z$4</f>
        <v>8.0701826775208776E-2</v>
      </c>
      <c r="V9" s="193">
        <f>[156]Summary!$W$4</f>
        <v>7.6672052583416167E-2</v>
      </c>
      <c r="W9" s="193">
        <f>'[157]Top 10,20,30'!$L$4</f>
        <v>8.0545732206175391E-2</v>
      </c>
      <c r="X9" s="193">
        <f>[158]Summary!$N$4</f>
        <v>7.373476496833492E-2</v>
      </c>
      <c r="Y9" s="193">
        <f>[159]Summary!$K$5</f>
        <v>6.6654494331300676E-2</v>
      </c>
      <c r="Z9" s="193">
        <f>[160]Summary!K4</f>
        <v>6.7503964859730203E-2</v>
      </c>
      <c r="AA9" s="193">
        <f>[161]Summary!L4</f>
        <v>7.185738820838046E-2</v>
      </c>
      <c r="AB9" s="193">
        <f>[162]Summary!$L4</f>
        <v>7.0908437780770286E-2</v>
      </c>
      <c r="AC9" s="193">
        <f>[163]Summary!$L4</f>
        <v>6.9615094398895447E-2</v>
      </c>
      <c r="AD9" s="193">
        <f>[164]Summary!$L4</f>
        <v>7.8091668497308905E-2</v>
      </c>
      <c r="AE9" s="193">
        <f>[165]Summary!$L4</f>
        <v>7.8855065686714257E-2</v>
      </c>
      <c r="AF9" s="193">
        <f>[166]Summary!$L4</f>
        <v>7.4415383272984026E-2</v>
      </c>
      <c r="AG9" s="193">
        <f>[167]Summary!$L4</f>
        <v>7.785771667738392E-2</v>
      </c>
      <c r="AH9" s="193">
        <f>[168]Summary!$L4</f>
        <v>7.8659448217442071E-2</v>
      </c>
      <c r="AI9" s="179">
        <f>SUM('[11]Other Metrics'!G9:AG9)-SUM(G9:AG9)</f>
        <v>0</v>
      </c>
      <c r="AL9" s="139"/>
    </row>
    <row r="10" spans="1:210" x14ac:dyDescent="0.15">
      <c r="A10" s="3"/>
      <c r="B10" s="64" t="s">
        <v>35</v>
      </c>
      <c r="C10" s="148">
        <v>0.16875311796250148</v>
      </c>
      <c r="D10" s="148">
        <v>0.17246104394198541</v>
      </c>
      <c r="E10" s="148">
        <v>0.15646660865059261</v>
      </c>
      <c r="F10" s="71">
        <v>0.16347290863176006</v>
      </c>
      <c r="G10" s="148">
        <v>0.16387840170410725</v>
      </c>
      <c r="H10" s="71">
        <v>0.15658657950420171</v>
      </c>
      <c r="I10" s="71">
        <v>0.15782506406378663</v>
      </c>
      <c r="J10" s="71">
        <f>'[146]Top 10 20 30 Q3''19VsQ2''19'!H10</f>
        <v>0.14878314416660995</v>
      </c>
      <c r="K10" s="71">
        <f>'[147]Top 10 20 30 Q4''19VsQ3''19'!N6</f>
        <v>0.16350984859168816</v>
      </c>
      <c r="L10" s="71">
        <f>'[148]YTD_Dec''19_ Top10,20&amp;30_Clients'!R6</f>
        <v>0.15225578197830744</v>
      </c>
      <c r="M10" s="71">
        <f>'[149]ClientWise Summary_Q''1''2020'!$M$5</f>
        <v>0.17756147197119954</v>
      </c>
      <c r="N10" s="71">
        <f>'[150]Top 10,20 30_Q-2,Q-1 &amp; H-1''2020'!$L$5</f>
        <v>0.1974545126171123</v>
      </c>
      <c r="O10" s="193">
        <f>'[151]Top 10,20 30_Q-3,Q-2 &amp; YTD''2020'!$M$5</f>
        <v>0.19667141217386097</v>
      </c>
      <c r="P10" s="193">
        <f>'[152]Top 10,20 30_Q-4,Q-3 &amp; YTD''2020'!$Q$5</f>
        <v>0.20412117815548159</v>
      </c>
      <c r="Q10" s="193">
        <f>'[152]Top 10,20 30_Q-4,Q-3 &amp; YTD''2020'!$O$5</f>
        <v>0.19182918602069332</v>
      </c>
      <c r="R10" s="193">
        <f>[153]Summary!$O5</f>
        <v>0.19682799792728145</v>
      </c>
      <c r="S10" s="193">
        <f>[154]Summary!$O5</f>
        <v>0.18612988897315338</v>
      </c>
      <c r="T10" s="193">
        <f>[155]Summary!$L$5</f>
        <v>0.1837367368366993</v>
      </c>
      <c r="U10" s="193">
        <f>[156]Summary!$Z$5</f>
        <v>0.18387836907072522</v>
      </c>
      <c r="V10" s="193">
        <f>[156]Summary!$W$5</f>
        <v>0.18740996099057888</v>
      </c>
      <c r="W10" s="193">
        <f>'[157]Top 10,20,30'!$L$5</f>
        <v>0.17278516058807039</v>
      </c>
      <c r="X10" s="193">
        <f>[158]Summary!$N$5</f>
        <v>0.16869183068986821</v>
      </c>
      <c r="Y10" s="193">
        <f>[159]Summary!$K$6</f>
        <v>0.15346954938992724</v>
      </c>
      <c r="Z10" s="193">
        <f>[160]Summary!K5</f>
        <v>0.15854227778015331</v>
      </c>
      <c r="AA10" s="193">
        <f>[161]Summary!L5</f>
        <v>0.16305737552960911</v>
      </c>
      <c r="AB10" s="193">
        <f>[162]Summary!$L5</f>
        <v>0.15588143026561296</v>
      </c>
      <c r="AC10" s="193">
        <f>[163]Summary!$L5</f>
        <v>0.16250070580575421</v>
      </c>
      <c r="AD10" s="193">
        <f>[164]Summary!$L5</f>
        <v>0.16722046255800513</v>
      </c>
      <c r="AE10" s="193">
        <f>[165]Summary!$L5</f>
        <v>0.16818497037413888</v>
      </c>
      <c r="AF10" s="193">
        <f>[166]Summary!$L5</f>
        <v>0.16350724464389876</v>
      </c>
      <c r="AG10" s="193">
        <f>[167]Summary!$L5</f>
        <v>0.16489090563209613</v>
      </c>
      <c r="AH10" s="193">
        <f>[168]Summary!$L5</f>
        <v>0.17102236759077949</v>
      </c>
      <c r="AI10" s="179">
        <f>SUM('[11]Other Metrics'!G10:AG10)-SUM(G10:AG10)</f>
        <v>0</v>
      </c>
      <c r="AL10" s="139"/>
    </row>
    <row r="11" spans="1:210" x14ac:dyDescent="0.15">
      <c r="A11" s="3"/>
      <c r="B11" s="64" t="s">
        <v>36</v>
      </c>
      <c r="C11" s="148">
        <v>0.24735224929156971</v>
      </c>
      <c r="D11" s="148">
        <v>0.24907263736585927</v>
      </c>
      <c r="E11" s="148">
        <v>0.22620406291789719</v>
      </c>
      <c r="F11" s="71">
        <v>0.23435108111157243</v>
      </c>
      <c r="G11" s="148">
        <v>0.23670661738731769</v>
      </c>
      <c r="H11" s="71">
        <v>0.22627728301993461</v>
      </c>
      <c r="I11" s="71">
        <v>0.22404913040086827</v>
      </c>
      <c r="J11" s="71">
        <f>'[146]Top 10 20 30 Q3''19VsQ2''19'!H11</f>
        <v>0.21674863331481722</v>
      </c>
      <c r="K11" s="71">
        <f>'[147]Top 10 20 30 Q4''19VsQ3''19'!N7</f>
        <v>0.22833874714387031</v>
      </c>
      <c r="L11" s="71">
        <f>'[148]YTD_Dec''19_ Top10,20&amp;30_Clients'!R7</f>
        <v>0.21954984667495586</v>
      </c>
      <c r="M11" s="71">
        <f>'[149]ClientWise Summary_Q''1''2020'!$M$6</f>
        <v>0.24349506187494788</v>
      </c>
      <c r="N11" s="71">
        <f>'[150]Top 10,20 30_Q-2,Q-1 &amp; H-1''2020'!$L$6</f>
        <v>0.26353252217925593</v>
      </c>
      <c r="O11" s="193">
        <f>'[151]Top 10,20 30_Q-3,Q-2 &amp; YTD''2020'!$M$6</f>
        <v>0.25893702285417286</v>
      </c>
      <c r="P11" s="193">
        <f>'[152]Top 10,20 30_Q-4,Q-3 &amp; YTD''2020'!$Q$6</f>
        <v>0.26637160193390208</v>
      </c>
      <c r="Q11" s="193">
        <f>'[152]Top 10,20 30_Q-4,Q-3 &amp; YTD''2020'!$O$6</f>
        <v>0.25396202207835289</v>
      </c>
      <c r="R11" s="193">
        <f>[153]Summary!$O6</f>
        <v>0.26503966246249155</v>
      </c>
      <c r="S11" s="193">
        <f>[154]Summary!$O6</f>
        <v>0.24937191673295264</v>
      </c>
      <c r="T11" s="193">
        <f>[155]Summary!$L$6</f>
        <v>0.25311726064773865</v>
      </c>
      <c r="U11" s="193">
        <f>[156]Summary!$Z$6</f>
        <v>0.24958701817168855</v>
      </c>
      <c r="V11" s="193">
        <f>[156]Summary!$W$6</f>
        <v>0.2520823855353348</v>
      </c>
      <c r="W11" s="193">
        <f>'[157]Top 10,20,30'!$L$6</f>
        <v>0.24162594438343749</v>
      </c>
      <c r="X11" s="193">
        <f>[158]Summary!$N$6</f>
        <v>0.23810419909738464</v>
      </c>
      <c r="Y11" s="193">
        <f>[159]Summary!$K$7</f>
        <v>0.22274688856274488</v>
      </c>
      <c r="Z11" s="193">
        <f>[160]Summary!K6</f>
        <v>0.22632745544697888</v>
      </c>
      <c r="AA11" s="193">
        <f>[161]Summary!L6</f>
        <v>0.22868386638633081</v>
      </c>
      <c r="AB11" s="193">
        <f>[162]Summary!$L6</f>
        <v>0.22440770703796106</v>
      </c>
      <c r="AC11" s="193">
        <f>[163]Summary!$L6</f>
        <v>0.22723109463880042</v>
      </c>
      <c r="AD11" s="193">
        <f>[164]Summary!$L6</f>
        <v>0.23395962509420576</v>
      </c>
      <c r="AE11" s="193">
        <f>[165]Summary!$L6</f>
        <v>0.23198909883992508</v>
      </c>
      <c r="AF11" s="193">
        <f>[166]Summary!$L6</f>
        <v>0.22944132292111202</v>
      </c>
      <c r="AG11" s="193">
        <f>[167]Summary!$L6</f>
        <v>0.22821667844100751</v>
      </c>
      <c r="AH11" s="193">
        <f>[168]Summary!$L6</f>
        <v>0.22949196987625539</v>
      </c>
      <c r="AI11" s="179">
        <f>SUM('[11]Other Metrics'!G11:AG11)-SUM(G11:AG11)</f>
        <v>0</v>
      </c>
      <c r="AL11" s="139"/>
    </row>
    <row r="12" spans="1:210" x14ac:dyDescent="0.15">
      <c r="A12" s="3"/>
      <c r="B12" s="64" t="s">
        <v>37</v>
      </c>
      <c r="C12" s="148">
        <v>0.39566771616851942</v>
      </c>
      <c r="D12" s="148">
        <v>0.38953687892037764</v>
      </c>
      <c r="E12" s="148">
        <v>0.36698213657314627</v>
      </c>
      <c r="F12" s="71">
        <v>0.37112622445702192</v>
      </c>
      <c r="G12" s="148">
        <v>0.372235222510376</v>
      </c>
      <c r="H12" s="71">
        <v>0.36560196961153252</v>
      </c>
      <c r="I12" s="71">
        <v>0.36501842011120145</v>
      </c>
      <c r="J12" s="71">
        <f>'[146]Top 10 20 30 Q3''19VsQ2''19'!H12</f>
        <v>0.35706193682575654</v>
      </c>
      <c r="K12" s="152">
        <f>'[147]Top 10 20 30 Q4''19VsQ3''19'!N8</f>
        <v>0.36199840679369394</v>
      </c>
      <c r="L12" s="195">
        <f>'[148]YTD_Dec''19_ Top10,20&amp;30_Clients'!R8</f>
        <v>0.36146546649661448</v>
      </c>
      <c r="M12" s="71">
        <f>'[149]ClientWise Summary_Q''1''2020'!$M$7</f>
        <v>0.37293535284921092</v>
      </c>
      <c r="N12" s="71">
        <f>'[150]Top 10,20 30_Q-2,Q-1 &amp; H-1''2020'!$L$7</f>
        <v>0.38745042926556528</v>
      </c>
      <c r="O12" s="193">
        <f>'[151]Top 10,20 30_Q-3,Q-2 &amp; YTD''2020'!$M$7</f>
        <v>0.38677134006324027</v>
      </c>
      <c r="P12" s="193">
        <f>'[152]Top 10,20 30_Q-4,Q-3 &amp; YTD''2020'!$Q$7</f>
        <v>0.37850956690687021</v>
      </c>
      <c r="Q12" s="193">
        <f>'[152]Top 10,20 30_Q-4,Q-3 &amp; YTD''2020'!$O$7</f>
        <v>0.37386473773063189</v>
      </c>
      <c r="R12" s="193">
        <f>[153]Summary!$O7</f>
        <v>0.39280543210797381</v>
      </c>
      <c r="S12" s="193">
        <f>[154]Summary!$O7</f>
        <v>0.37829173543400607</v>
      </c>
      <c r="T12" s="193">
        <f>[155]Summary!$L$7</f>
        <v>0.38651250204940735</v>
      </c>
      <c r="U12" s="193">
        <f>[156]Summary!$Z$7</f>
        <v>0.37369405006205575</v>
      </c>
      <c r="V12" s="193">
        <f>[156]Summary!$W$7</f>
        <v>0.38120342608068464</v>
      </c>
      <c r="W12" s="193">
        <f>'[157]Top 10,20,30'!$L$7</f>
        <v>0.362362235076923</v>
      </c>
      <c r="X12" s="193">
        <f>[158]Summary!$N$7</f>
        <v>0.36212131172504652</v>
      </c>
      <c r="Y12" s="193">
        <f>[159]Summary!$K$8</f>
        <v>0.34187408577290018</v>
      </c>
      <c r="Z12" s="193">
        <f>[160]Summary!K7</f>
        <v>0.3380918081110692</v>
      </c>
      <c r="AA12" s="193">
        <f>[161]Summary!L7</f>
        <v>0.34901761710985973</v>
      </c>
      <c r="AB12" s="193">
        <f>[162]Summary!$L7</f>
        <v>0.34751782125228747</v>
      </c>
      <c r="AC12" s="193">
        <f>[163]Summary!$L7</f>
        <v>0.33796241673065225</v>
      </c>
      <c r="AD12" s="193">
        <f>[164]Summary!$L7</f>
        <v>0.34597982789781712</v>
      </c>
      <c r="AE12" s="193">
        <f>[165]Summary!$L7</f>
        <v>0.34527151387314675</v>
      </c>
      <c r="AF12" s="193">
        <f>[166]Summary!$L7</f>
        <v>0.34048363890672384</v>
      </c>
      <c r="AG12" s="193">
        <f>[167]Summary!$L7</f>
        <v>0.33295603994573136</v>
      </c>
      <c r="AH12" s="193">
        <f>[168]Summary!$L7</f>
        <v>0.33028520566529995</v>
      </c>
      <c r="AI12" s="179">
        <f>SUM('[11]Other Metrics'!G12:AG12)-SUM(G12:AG12)</f>
        <v>0</v>
      </c>
      <c r="AL12" s="139"/>
    </row>
    <row r="13" spans="1:210" x14ac:dyDescent="0.15">
      <c r="A13" s="3"/>
      <c r="F13" s="156"/>
    </row>
    <row r="14" spans="1:210" s="60" customFormat="1" x14ac:dyDescent="0.15">
      <c r="A14" s="65"/>
      <c r="B14" s="66" t="s">
        <v>114</v>
      </c>
      <c r="C14" s="72">
        <v>0.34771793917908539</v>
      </c>
      <c r="D14" s="72">
        <v>0.32887684750491686</v>
      </c>
      <c r="E14" s="72">
        <v>0.32664985108232508</v>
      </c>
      <c r="F14" s="72">
        <v>0.29138218163140767</v>
      </c>
      <c r="G14" s="72">
        <v>0.3182750662449782</v>
      </c>
      <c r="H14" s="72">
        <v>0.31946164643712327</v>
      </c>
      <c r="I14" s="72">
        <v>0.37242299219705011</v>
      </c>
      <c r="J14" s="72">
        <f>[126]Summary!$AD$4</f>
        <v>0.34489076991892847</v>
      </c>
      <c r="K14" s="72">
        <f>[127]Summary!$AE$4</f>
        <v>0.30887759596046266</v>
      </c>
      <c r="L14" s="72">
        <f>[127]Summary!$AF$4</f>
        <v>0.33160055826371893</v>
      </c>
      <c r="M14" s="72">
        <f>[128]Summary!$AG$4</f>
        <v>0.31995558781720007</v>
      </c>
      <c r="N14" s="72">
        <f>[129]Summary!$AH$4</f>
        <v>0.14480475861212913</v>
      </c>
      <c r="O14" s="72">
        <f>[130]Summary!$AI$4</f>
        <v>0.2187065381701101</v>
      </c>
      <c r="P14" s="72">
        <f>[131]Summary!$AJ$4</f>
        <v>0.22339677692447238</v>
      </c>
      <c r="Q14" s="72">
        <f>[131]Summary!$RJ$11</f>
        <v>0.23403179596651874</v>
      </c>
      <c r="R14" s="72">
        <f>[132]Summary!$AL$4</f>
        <v>0.26809255500268453</v>
      </c>
      <c r="S14" s="72">
        <f>[133]Summary!$AM$4</f>
        <v>0.29480874988485051</v>
      </c>
      <c r="T14" s="72">
        <f>[134]Summary!$AN$4</f>
        <v>0.29731422620433601</v>
      </c>
      <c r="U14" s="72">
        <f>[135]Summary!$TV$11</f>
        <v>0.29391266675770744</v>
      </c>
      <c r="V14" s="72">
        <f>[135]Summary!$TZ$11</f>
        <v>0.28288000000000002</v>
      </c>
      <c r="W14" s="72">
        <f>'[136]Additional Details'!$C$8</f>
        <v>0.34057937472275257</v>
      </c>
      <c r="X14" s="72">
        <f>'[137]Additional Details'!$C$8</f>
        <v>0.37968018909629725</v>
      </c>
      <c r="Y14" s="72">
        <f>'[138]Additional Details'!$C$8</f>
        <v>0.34208603380353286</v>
      </c>
      <c r="Z14" s="72">
        <f>[139]Summary!$J$11</f>
        <v>0.24190978878072927</v>
      </c>
      <c r="AA14" s="72">
        <f>[139]Summary!$F$11</f>
        <v>0.31554772541370413</v>
      </c>
      <c r="AB14" s="72">
        <f>ROUND([140]Summary!$F$11,3)</f>
        <v>0.255</v>
      </c>
      <c r="AC14" s="72">
        <f>ROUND([141]Summary!$F$11,3)</f>
        <v>0.27300000000000002</v>
      </c>
      <c r="AD14" s="72">
        <f>'[142]Additional Details'!$C$8</f>
        <v>0.26944651220829302</v>
      </c>
      <c r="AE14" s="72">
        <f>[143]Summary!$J$11</f>
        <v>0.22695995453092543</v>
      </c>
      <c r="AF14" s="72">
        <f>[143]Summary!$F$11</f>
        <v>0.25781439922207866</v>
      </c>
      <c r="AG14" s="72">
        <f>'[144]Additional Details'!$C$8</f>
        <v>0.26200000000000001</v>
      </c>
      <c r="AH14" s="72">
        <f>'[145]Additional Details'!$C$8</f>
        <v>0.29532130564696091</v>
      </c>
      <c r="AI14" s="179">
        <f>SUM('[11]Other Metrics'!G14:AG14)-SUM(G14:AG14)</f>
        <v>0</v>
      </c>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row>
    <row r="15" spans="1:210" x14ac:dyDescent="0.15">
      <c r="A15" s="3"/>
      <c r="B15" s="7"/>
    </row>
    <row r="16" spans="1:210" x14ac:dyDescent="0.15">
      <c r="B16" s="103" t="s">
        <v>96</v>
      </c>
    </row>
    <row r="17" spans="2:35" x14ac:dyDescent="0.15">
      <c r="B17" s="101" t="s">
        <v>95</v>
      </c>
      <c r="C17" s="104">
        <v>64.64</v>
      </c>
      <c r="D17" s="104">
        <v>67.510000000000005</v>
      </c>
      <c r="E17" s="104">
        <v>70.67</v>
      </c>
      <c r="F17" s="104">
        <v>71.099999999999994</v>
      </c>
      <c r="G17" s="104">
        <v>68.47999999999999</v>
      </c>
      <c r="H17" s="104">
        <v>70.316666666666677</v>
      </c>
      <c r="I17" s="104">
        <v>69.416666666666671</v>
      </c>
      <c r="J17" s="104">
        <f>'[169]Rate Summary'!$N$172</f>
        <v>70.353333333333339</v>
      </c>
      <c r="K17" s="104">
        <f>'[170]Rate Summary'!$T$172</f>
        <v>71.346666666666664</v>
      </c>
      <c r="L17" s="104">
        <f>'[170]Rate Summary'!$U$172</f>
        <v>70.358333333333348</v>
      </c>
      <c r="M17" s="182">
        <f>'[171]Rate Summary'!$F$185</f>
        <v>73.081666666666663</v>
      </c>
      <c r="N17" s="182">
        <f>'[172]Rate Summary'!$J$185</f>
        <v>75.408333333333331</v>
      </c>
      <c r="O17" s="192">
        <f>'[173]Rate Summary'!$N$185</f>
        <v>74.061666666666667</v>
      </c>
      <c r="P17" s="192">
        <f>'[174]Rate Summary'!$T$185</f>
        <v>73.73833333333333</v>
      </c>
      <c r="Q17" s="192">
        <f>'[174]Rate Summary'!$U$185</f>
        <v>74.072500000000005</v>
      </c>
      <c r="R17" s="182">
        <f>'[175]Rate Summary'!$F$202</f>
        <v>73.173333333333346</v>
      </c>
      <c r="S17" s="182">
        <f>'[176]Rate Summary'!$J$202</f>
        <v>73.665000000000006</v>
      </c>
      <c r="T17" s="182">
        <f>'[177]Rate Summary'!$N$202</f>
        <v>73.879166666666663</v>
      </c>
      <c r="U17" s="182">
        <f>'[178]Rate Summary'!$T$202</f>
        <v>74.788333333333341</v>
      </c>
      <c r="V17" s="192">
        <f>'[178]Rate Summary'!$U$202</f>
        <v>73.87645833333336</v>
      </c>
      <c r="W17" s="182">
        <f>'[179]Rate Summary'!$F$219</f>
        <v>75.245833333333323</v>
      </c>
      <c r="X17" s="182">
        <f>'[180]Rate Summary'!$J$219</f>
        <v>77.677499999999995</v>
      </c>
      <c r="Y17" s="182">
        <f>'[181]Rate Summary'!$N$219</f>
        <v>80.013333333333335</v>
      </c>
      <c r="Z17" s="182">
        <f>'[182]Rate Summary'!$T$219</f>
        <v>82.30749999999999</v>
      </c>
      <c r="AA17" s="192">
        <f>'[182]Rate Summary'!$U$219</f>
        <v>78.811041666666668</v>
      </c>
      <c r="AB17" s="192">
        <f>'[183]Rate Summary'!$F$236</f>
        <v>82.25</v>
      </c>
      <c r="AC17" s="192">
        <f>'[184]Rate Summary'!$J$236</f>
        <v>82.195000000000007</v>
      </c>
      <c r="AD17" s="192">
        <f>'[185]Rate Summary'!$N$236</f>
        <v>82.69</v>
      </c>
      <c r="AE17" s="192">
        <f>'[186]Rate Summary'!$T$236</f>
        <v>83.28416666666665</v>
      </c>
      <c r="AF17" s="192">
        <f>'[186]Rate Summary'!$U$236</f>
        <v>82.604791666666657</v>
      </c>
      <c r="AG17" s="192">
        <f>'[187]Rate Summary'!$F$236</f>
        <v>83.118333333333325</v>
      </c>
      <c r="AH17" s="192">
        <f>'[188]Rate Summary'!$J$236</f>
        <v>83.423333333333332</v>
      </c>
      <c r="AI17" s="179">
        <f>SUM('[11]Other Metrics'!G17:AG17)-SUM(G17:AG17)</f>
        <v>0</v>
      </c>
    </row>
    <row r="18" spans="2:35" x14ac:dyDescent="0.15">
      <c r="B18" s="28" t="s">
        <v>97</v>
      </c>
      <c r="C18" s="168">
        <v>-4.4025482985445841E-3</v>
      </c>
      <c r="D18" s="168">
        <v>-4.4399752475247523E-2</v>
      </c>
      <c r="E18" s="168">
        <v>-4.6807880314027495E-2</v>
      </c>
      <c r="F18" s="169">
        <v>-6.0846186500636001E-3</v>
      </c>
      <c r="H18" s="168">
        <f>-(H17/F17-1)</f>
        <v>1.1017346460384214E-2</v>
      </c>
      <c r="I18" s="168">
        <f>-(I17/H17-1)</f>
        <v>1.2799241526428196E-2</v>
      </c>
      <c r="J18" s="168">
        <f>-(J17/I17-1)</f>
        <v>-1.3493397358943504E-2</v>
      </c>
      <c r="K18" s="168">
        <f>-(K17/J17-1)</f>
        <v>-1.4119207808206191E-2</v>
      </c>
      <c r="L18" s="194" t="s">
        <v>53</v>
      </c>
      <c r="M18" s="168">
        <f>-(M17/K17-1)</f>
        <v>-2.4317884507568666E-2</v>
      </c>
      <c r="N18" s="168">
        <f>-(N17/M17-1)</f>
        <v>-3.1836529909462064E-2</v>
      </c>
      <c r="O18" s="168">
        <f>-(O17/N17-1)</f>
        <v>1.7858326886948772E-2</v>
      </c>
      <c r="P18" s="168">
        <f>-(P17/O17-1)</f>
        <v>4.365731259986072E-3</v>
      </c>
      <c r="Q18" s="194" t="s">
        <v>53</v>
      </c>
      <c r="R18" s="168">
        <f>-(R17/P17-1)</f>
        <v>7.662229053183367E-3</v>
      </c>
      <c r="S18" s="168">
        <f>-(S17/R17-1)</f>
        <v>-6.7192055393585637E-3</v>
      </c>
      <c r="T18" s="168">
        <f>-(T17/S17-1)</f>
        <v>-2.9073055951491789E-3</v>
      </c>
      <c r="U18" s="168">
        <f>-(U17/T17-1)</f>
        <v>-1.2306130505893798E-2</v>
      </c>
      <c r="V18" s="194" t="s">
        <v>53</v>
      </c>
      <c r="W18" s="168">
        <f>-(W17/U17-1)</f>
        <v>-6.1172642791877951E-3</v>
      </c>
      <c r="X18" s="168">
        <f>-(X17/W17-1)</f>
        <v>-3.2316296583421167E-2</v>
      </c>
      <c r="Y18" s="168">
        <f>-(Y17/X17-1)</f>
        <v>-3.0070912855503007E-2</v>
      </c>
      <c r="Z18" s="168">
        <f>-(Z17/Y17-1)</f>
        <v>-2.8672304615897204E-2</v>
      </c>
      <c r="AA18" s="194" t="s">
        <v>53</v>
      </c>
      <c r="AB18" s="168">
        <f>-(AB17/Z17-1)</f>
        <v>6.9859976308339622E-4</v>
      </c>
      <c r="AC18" s="168">
        <f>-(AC17/AB17-1)</f>
        <v>6.6869300911842622E-4</v>
      </c>
      <c r="AD18" s="168">
        <f>-(AD17/AC17-1)</f>
        <v>-6.0222641279881195E-3</v>
      </c>
      <c r="AE18" s="168">
        <f>-(AE17/AD17-1)</f>
        <v>-7.1854718426249686E-3</v>
      </c>
      <c r="AF18" s="194" t="s">
        <v>53</v>
      </c>
      <c r="AG18" s="168">
        <f>-(AG17/AE17-1)</f>
        <v>1.9911747931278256E-3</v>
      </c>
      <c r="AH18" s="168">
        <f>-(AH17/AG17-1)</f>
        <v>-3.6694672254418137E-3</v>
      </c>
      <c r="AI18" s="179">
        <f>SUM('[11]Other Metrics'!G18:AG18)-SUM(G18:AG18)</f>
        <v>0</v>
      </c>
    </row>
    <row r="19" spans="2:35" x14ac:dyDescent="0.15">
      <c r="B19" s="28" t="s">
        <v>98</v>
      </c>
      <c r="C19" s="169">
        <v>2.7433672701740131E-2</v>
      </c>
      <c r="D19" s="169">
        <v>-4.7478665632273209E-2</v>
      </c>
      <c r="E19" s="169">
        <v>-9.6452213487794758E-2</v>
      </c>
      <c r="F19" s="169">
        <v>-0.1047806495053607</v>
      </c>
      <c r="G19" s="169">
        <v>-5.466072872415495E-2</v>
      </c>
      <c r="H19" s="169">
        <f t="shared" ref="H19:Y19" si="0">-(H17/C17-1)</f>
        <v>-8.7819719471947444E-2</v>
      </c>
      <c r="I19" s="169">
        <f t="shared" si="0"/>
        <v>-2.8242729472176986E-2</v>
      </c>
      <c r="J19" s="169">
        <f t="shared" si="0"/>
        <v>4.4809207112871396E-3</v>
      </c>
      <c r="K19" s="169">
        <f t="shared" si="0"/>
        <v>-3.469292076887065E-3</v>
      </c>
      <c r="L19" s="169">
        <f t="shared" si="0"/>
        <v>-2.7428933021807156E-2</v>
      </c>
      <c r="M19" s="169">
        <f t="shared" si="0"/>
        <v>-3.9322114245081474E-2</v>
      </c>
      <c r="N19" s="169">
        <f t="shared" si="0"/>
        <v>-8.631452581032395E-2</v>
      </c>
      <c r="O19" s="169">
        <f t="shared" si="0"/>
        <v>-5.2710129820903839E-2</v>
      </c>
      <c r="P19" s="169">
        <f t="shared" si="0"/>
        <v>-3.3521771631470632E-2</v>
      </c>
      <c r="Q19" s="169">
        <f t="shared" si="0"/>
        <v>-5.278929290536527E-2</v>
      </c>
      <c r="R19" s="169">
        <f t="shared" si="0"/>
        <v>-1.2543045451438584E-3</v>
      </c>
      <c r="S19" s="169">
        <f t="shared" si="0"/>
        <v>2.3118576638302413E-2</v>
      </c>
      <c r="T19" s="169">
        <f t="shared" si="0"/>
        <v>2.4641627472602456E-3</v>
      </c>
      <c r="U19" s="169">
        <f t="shared" si="0"/>
        <v>-1.4239540718305799E-2</v>
      </c>
      <c r="V19" s="169">
        <f t="shared" si="0"/>
        <v>2.6466187406479769E-3</v>
      </c>
      <c r="W19" s="169">
        <f t="shared" si="0"/>
        <v>-2.8323159620990968E-2</v>
      </c>
      <c r="X19" s="169">
        <f t="shared" si="0"/>
        <v>-5.4469558134799367E-2</v>
      </c>
      <c r="Y19" s="169">
        <f t="shared" si="0"/>
        <v>-8.302972195589664E-2</v>
      </c>
      <c r="Z19" s="169">
        <f t="shared" ref="Z19" si="1">-(Z17/U17-1)</f>
        <v>-0.10053929980166232</v>
      </c>
      <c r="AA19" s="169">
        <f t="shared" ref="AA19" si="2">-(AA17/V17-1)</f>
        <v>-6.6795071727292044E-2</v>
      </c>
      <c r="AB19" s="169">
        <f>-(AB17/W17-1)</f>
        <v>-9.3083780940251604E-2</v>
      </c>
      <c r="AC19" s="169">
        <f t="shared" ref="AC19:AF19" si="3">-(AC17/X17-1)</f>
        <v>-5.8157124006308347E-2</v>
      </c>
      <c r="AD19" s="169">
        <f t="shared" si="3"/>
        <v>-3.3452757873687622E-2</v>
      </c>
      <c r="AE19" s="169">
        <f t="shared" si="3"/>
        <v>-1.1866071338172857E-2</v>
      </c>
      <c r="AF19" s="169">
        <f t="shared" si="3"/>
        <v>-4.8137290407171074E-2</v>
      </c>
      <c r="AG19" s="169">
        <f>-(AG17/AB17-1)</f>
        <v>-1.0557244174265401E-2</v>
      </c>
      <c r="AH19" s="169">
        <f>-(AH17/AC17-1)</f>
        <v>-1.4944136910193029E-2</v>
      </c>
      <c r="AI19" s="179">
        <f>SUM('[11]Other Metrics'!G19:AG19)-SUM(G19:AG19)</f>
        <v>0</v>
      </c>
    </row>
    <row r="20" spans="2:35" x14ac:dyDescent="0.15">
      <c r="B20" s="28"/>
      <c r="F20" s="21"/>
    </row>
    <row r="21" spans="2:35" x14ac:dyDescent="0.15">
      <c r="B21" s="104" t="s">
        <v>93</v>
      </c>
      <c r="C21" s="104">
        <v>1.4</v>
      </c>
      <c r="D21" s="104">
        <v>1.34</v>
      </c>
      <c r="E21" s="104">
        <v>1.31</v>
      </c>
      <c r="F21" s="104">
        <v>1.28</v>
      </c>
      <c r="G21" s="104">
        <v>1.3325000000000002</v>
      </c>
      <c r="H21" s="104">
        <v>1.3152666666666666</v>
      </c>
      <c r="I21" s="104">
        <v>1.2756666666666667</v>
      </c>
      <c r="J21" s="104">
        <f>'[169]Rate Summary'!$N$175</f>
        <v>1.2212333333333334</v>
      </c>
      <c r="K21" s="104">
        <f>'[170]Rate Summary'!$T$175</f>
        <v>1.3024</v>
      </c>
      <c r="L21" s="104">
        <f>'[170]Rate Summary'!$U$175</f>
        <v>1.2786416666666667</v>
      </c>
      <c r="M21" s="182">
        <f>'[171]Rate Summary'!$F$188</f>
        <v>1.2763666666666669</v>
      </c>
      <c r="N21" s="182">
        <f>'[172]Rate Summary'!$J$188</f>
        <v>1.2370666666666665</v>
      </c>
      <c r="O21" s="192">
        <f>'[173]Rate Summary'!$N$188</f>
        <v>1.3096333333333332</v>
      </c>
      <c r="P21" s="192">
        <f>'[174]Rate Summary'!$T$188</f>
        <v>1.3313333333333333</v>
      </c>
      <c r="Q21" s="192">
        <f>'[174]Rate Summary'!$U$188</f>
        <v>1.2886</v>
      </c>
      <c r="R21" s="182">
        <f>'[175]Rate Summary'!$F$205</f>
        <v>1.3805333333333332</v>
      </c>
      <c r="S21" s="182">
        <f>'[176]Rate Summary'!$J$205</f>
        <v>1.3984333333333332</v>
      </c>
      <c r="T21" s="182">
        <f>'[177]Rate Summary'!$N$205</f>
        <v>1.3710666666666667</v>
      </c>
      <c r="U21" s="182">
        <f>'[178]Rate Summary'!$T$205</f>
        <v>1.3503999999999998</v>
      </c>
      <c r="V21" s="192">
        <f>'[178]Rate Summary'!$U$205</f>
        <v>1.3751083333333334</v>
      </c>
      <c r="W21" s="182">
        <f>'[179]Rate Summary'!$F$222</f>
        <v>1.3318000000000001</v>
      </c>
      <c r="X21" s="182">
        <f>'[180]Rate Summary'!$J$222</f>
        <v>1.2416666666666665</v>
      </c>
      <c r="Y21" s="182">
        <f>'[181]Rate Summary'!$N$222</f>
        <v>1.1623999999999999</v>
      </c>
      <c r="Z21" s="182">
        <f>'[182]Rate Summary'!$T$222</f>
        <v>1.1877000000000002</v>
      </c>
      <c r="AA21" s="192">
        <f>'[182]Rate Summary'!$U$222</f>
        <v>1.2308916666666667</v>
      </c>
      <c r="AB21" s="192">
        <f>'[183]Rate Summary'!$F$239</f>
        <v>1.2261</v>
      </c>
      <c r="AC21" s="192">
        <f>'[184]Rate Summary'!$J$239</f>
        <v>1.2528666666666666</v>
      </c>
      <c r="AD21" s="192">
        <f>'[185]Rate Summary'!$N$239</f>
        <v>1.2577</v>
      </c>
      <c r="AE21" s="192">
        <f>'[186]Rate Summary'!$T$239</f>
        <v>1.2513666666666665</v>
      </c>
      <c r="AF21" s="192">
        <f>'[186]Rate Summary'!$U$239</f>
        <v>1.2470083333333333</v>
      </c>
      <c r="AG21" s="192">
        <f>'[187]Rate Summary'!$F$239</f>
        <v>1.2652666666666665</v>
      </c>
      <c r="AH21" s="192">
        <f>'[188]Rate Summary'!$J$239</f>
        <v>1.2634666666666667</v>
      </c>
      <c r="AI21" s="179">
        <f>SUM('[11]Other Metrics'!G21:AG21)-SUM(G21:AG21)</f>
        <v>0</v>
      </c>
    </row>
    <row r="22" spans="2:35" x14ac:dyDescent="0.15">
      <c r="B22" s="28" t="s">
        <v>108</v>
      </c>
      <c r="C22" s="149">
        <v>-4.7381546134663166E-2</v>
      </c>
      <c r="D22" s="149">
        <v>4.2857142857142705E-2</v>
      </c>
      <c r="E22" s="149">
        <v>2.2388059701492602E-2</v>
      </c>
      <c r="F22" s="74">
        <v>2.2900763358778664E-2</v>
      </c>
      <c r="H22" s="149">
        <f>-(H21/F21-1)</f>
        <v>-2.7552083333333144E-2</v>
      </c>
      <c r="I22" s="168">
        <f>-(I21/H21-1)</f>
        <v>3.0107962897257701E-2</v>
      </c>
      <c r="J22" s="168">
        <f>-(J21/I21-1)</f>
        <v>4.2670499085445512E-2</v>
      </c>
      <c r="K22" s="168">
        <f>-(K21/J21-1)</f>
        <v>-6.6462865409285588E-2</v>
      </c>
      <c r="L22" s="194" t="s">
        <v>53</v>
      </c>
      <c r="M22" s="149">
        <f>-(M21/K21-1)</f>
        <v>1.9988738738738632E-2</v>
      </c>
      <c r="N22" s="168">
        <f>-(N21/M21-1)</f>
        <v>3.0790525188686857E-2</v>
      </c>
      <c r="O22" s="168">
        <f>-(O21/N21-1)</f>
        <v>-5.8660271610260883E-2</v>
      </c>
      <c r="P22" s="168">
        <f>-(P21/O21-1)</f>
        <v>-1.6569523276235065E-2</v>
      </c>
      <c r="Q22" s="194" t="s">
        <v>53</v>
      </c>
      <c r="R22" s="149">
        <f>-(R21/P21-1)</f>
        <v>-3.6955433149724604E-2</v>
      </c>
      <c r="S22" s="149">
        <f>-(S21/R21-1)</f>
        <v>-1.2966003476917232E-2</v>
      </c>
      <c r="T22" s="168">
        <f>-(T21/S21-1)</f>
        <v>1.9569518270445396E-2</v>
      </c>
      <c r="U22" s="168">
        <f>-(U21/T21-1)</f>
        <v>1.5073422153068283E-2</v>
      </c>
      <c r="V22" s="194" t="s">
        <v>53</v>
      </c>
      <c r="W22" s="149">
        <f>-(W21/U21-1)</f>
        <v>1.3773696682464309E-2</v>
      </c>
      <c r="X22" s="168">
        <f>-(X21/W21-1)</f>
        <v>6.7677829503929754E-2</v>
      </c>
      <c r="Y22" s="168">
        <f>-(Y21/X21-1)</f>
        <v>6.3838926174496602E-2</v>
      </c>
      <c r="Z22" s="168">
        <f>-(Z21/Y21-1)</f>
        <v>-2.1765313145217124E-2</v>
      </c>
      <c r="AA22" s="194" t="s">
        <v>53</v>
      </c>
      <c r="AB22" s="168">
        <f>-(AB21/Z21-1)</f>
        <v>-3.2331396817377955E-2</v>
      </c>
      <c r="AC22" s="168">
        <f>-(AC21/AB21-1)</f>
        <v>-2.1830737025256175E-2</v>
      </c>
      <c r="AD22" s="168">
        <f>-(AD21/AC21-1)</f>
        <v>-3.8578194008409561E-3</v>
      </c>
      <c r="AE22" s="168">
        <f>-(AE21/AD21-1)</f>
        <v>5.0356470806499631E-3</v>
      </c>
      <c r="AF22" s="194" t="s">
        <v>53</v>
      </c>
      <c r="AG22" s="168">
        <f>-(AG21/AE21-1)</f>
        <v>-1.1107855411416789E-2</v>
      </c>
      <c r="AH22" s="168">
        <f>-(AH21/AG21-1)</f>
        <v>1.4226250065860757E-3</v>
      </c>
      <c r="AI22" s="179">
        <f>SUM('[11]Other Metrics'!G22:AG22)-SUM(G22:AG22)</f>
        <v>0</v>
      </c>
    </row>
    <row r="23" spans="2:35" x14ac:dyDescent="0.15">
      <c r="B23" s="28" t="s">
        <v>109</v>
      </c>
      <c r="C23" s="74">
        <v>-0.12903225806451601</v>
      </c>
      <c r="D23" s="74">
        <v>-3.8759689922480689E-2</v>
      </c>
      <c r="E23" s="74">
        <v>2.5380710659899108E-3</v>
      </c>
      <c r="F23" s="74">
        <v>4.239401496259354E-2</v>
      </c>
      <c r="G23" s="74">
        <v>-2.8957528957529011E-2</v>
      </c>
      <c r="H23" s="74">
        <f t="shared" ref="H23:Y23" si="4">-(H21/C21-1)</f>
        <v>6.0523809523809535E-2</v>
      </c>
      <c r="I23" s="74">
        <f t="shared" si="4"/>
        <v>4.8009950248756206E-2</v>
      </c>
      <c r="J23" s="74">
        <f t="shared" si="4"/>
        <v>6.7760814249363865E-2</v>
      </c>
      <c r="K23" s="74">
        <f t="shared" si="4"/>
        <v>-1.7500000000000071E-2</v>
      </c>
      <c r="L23" s="74">
        <f t="shared" si="4"/>
        <v>4.0419011882426692E-2</v>
      </c>
      <c r="M23" s="74">
        <f t="shared" si="4"/>
        <v>2.9575751431902053E-2</v>
      </c>
      <c r="N23" s="74">
        <f t="shared" si="4"/>
        <v>3.0258688267572609E-2</v>
      </c>
      <c r="O23" s="74">
        <f t="shared" si="4"/>
        <v>-7.238583945192012E-2</v>
      </c>
      <c r="P23" s="74">
        <f t="shared" si="4"/>
        <v>-2.2215397215397115E-2</v>
      </c>
      <c r="Q23" s="74">
        <f t="shared" si="4"/>
        <v>-7.7882127518134059E-3</v>
      </c>
      <c r="R23" s="74">
        <f t="shared" si="4"/>
        <v>-8.1611867018359208E-2</v>
      </c>
      <c r="S23" s="204">
        <f t="shared" si="4"/>
        <v>-0.13044298340159521</v>
      </c>
      <c r="T23" s="169">
        <f t="shared" si="4"/>
        <v>-4.6908803990939107E-2</v>
      </c>
      <c r="U23" s="169">
        <f t="shared" si="4"/>
        <v>-1.4321482223334847E-2</v>
      </c>
      <c r="V23" s="74">
        <f t="shared" si="4"/>
        <v>-6.7133581664855946E-2</v>
      </c>
      <c r="W23" s="74">
        <f t="shared" si="4"/>
        <v>3.5300367007919498E-2</v>
      </c>
      <c r="X23" s="169">
        <f t="shared" si="4"/>
        <v>0.1121016375467786</v>
      </c>
      <c r="Y23" s="169">
        <f t="shared" si="4"/>
        <v>0.1521929398035593</v>
      </c>
      <c r="Z23" s="169">
        <f t="shared" ref="Z23" si="5">-(Z21/U21-1)</f>
        <v>0.12048281990521303</v>
      </c>
      <c r="AA23" s="169">
        <f t="shared" ref="AA23" si="6">-(AA21/V21-1)</f>
        <v>0.10487658548114387</v>
      </c>
      <c r="AB23" s="169">
        <f>-(AB21/W21-1)</f>
        <v>7.9366271211893769E-2</v>
      </c>
      <c r="AC23" s="169">
        <f t="shared" ref="AC23:AF23" si="7">-(AC21/X21-1)</f>
        <v>-9.020134228187926E-3</v>
      </c>
      <c r="AD23" s="169">
        <f t="shared" si="7"/>
        <v>-8.1985547143840432E-2</v>
      </c>
      <c r="AE23" s="169">
        <f t="shared" si="7"/>
        <v>-5.3605006876034533E-2</v>
      </c>
      <c r="AF23" s="169">
        <f t="shared" si="7"/>
        <v>-1.309348913727848E-2</v>
      </c>
      <c r="AG23" s="169">
        <f>-(AG21/AB21-1)</f>
        <v>-3.1944104613544244E-2</v>
      </c>
      <c r="AH23" s="169">
        <f>-(AH21/AC21-1)</f>
        <v>-8.4605970308093692E-3</v>
      </c>
      <c r="AI23" s="179">
        <f>SUM('[11]Other Metrics'!G23:AG23)-SUM(G23:AG23)</f>
        <v>0</v>
      </c>
    </row>
    <row r="24" spans="2:35" x14ac:dyDescent="0.15">
      <c r="B24" s="102"/>
      <c r="F24" s="21"/>
    </row>
    <row r="25" spans="2:35" x14ac:dyDescent="0.15">
      <c r="B25" s="101" t="s">
        <v>94</v>
      </c>
      <c r="C25" s="104">
        <v>51.85</v>
      </c>
      <c r="D25" s="104">
        <v>52.53</v>
      </c>
      <c r="E25" s="104">
        <v>53.53</v>
      </c>
      <c r="F25" s="104">
        <v>52.86</v>
      </c>
      <c r="G25" s="104">
        <v>52.692499999999995</v>
      </c>
      <c r="H25" s="104">
        <v>52.106666666666662</v>
      </c>
      <c r="I25" s="104">
        <v>51.835000000000001</v>
      </c>
      <c r="J25" s="104">
        <f>'[169]Rate Summary'!$N$177</f>
        <v>51.589999999999996</v>
      </c>
      <c r="K25" s="104">
        <f>'[170]Rate Summary'!T177</f>
        <v>50.728333333333332</v>
      </c>
      <c r="L25" s="104">
        <f>'[170]Rate Summary'!U177</f>
        <v>51.565000000000005</v>
      </c>
      <c r="M25" s="182">
        <f>'[171]Rate Summary'!$F$190</f>
        <v>50.826666666666661</v>
      </c>
      <c r="N25" s="182">
        <f>'[172]Rate Summary'!$J$190</f>
        <v>50.279999999999994</v>
      </c>
      <c r="O25" s="192">
        <f>'[173]Rate Summary'!$N$190</f>
        <v>48.71</v>
      </c>
      <c r="P25" s="192">
        <f>'[174]Rate Summary'!$T$190</f>
        <v>48.161000000000001</v>
      </c>
      <c r="Q25" s="192">
        <f>'[174]Rate Summary'!$U$190</f>
        <v>49.494416666666666</v>
      </c>
      <c r="R25" s="182">
        <f>'[175]Rate Summary'!$F$207</f>
        <v>48.386666666666663</v>
      </c>
      <c r="S25" s="182">
        <f>'[176]Rate Summary'!$J$207</f>
        <v>48.198333333333331</v>
      </c>
      <c r="T25" s="182">
        <f>'[177]Rate Summary'!$N$207</f>
        <v>50.243333333333332</v>
      </c>
      <c r="U25" s="182">
        <f>'[178]Rate Summary'!$T$207</f>
        <v>50.601333333333336</v>
      </c>
      <c r="V25" s="192">
        <f>'[178]Rate Summary'!$U$207</f>
        <v>49.357416666666673</v>
      </c>
      <c r="W25" s="182">
        <f>'[179]Rate Summary'!$F$224</f>
        <v>51.32</v>
      </c>
      <c r="X25" s="182">
        <f>'[180]Rate Summary'!$J$224</f>
        <v>53.178333333333335</v>
      </c>
      <c r="Y25" s="182">
        <f>'[181]Rate Summary'!$N$224</f>
        <v>56.633333333333333</v>
      </c>
      <c r="Z25" s="182">
        <f>'[182]Rate Summary'!$T$224</f>
        <v>56.761666666666663</v>
      </c>
      <c r="AA25" s="192">
        <f>'[182]Rate Summary'!$U$224</f>
        <v>54.473333333333336</v>
      </c>
      <c r="AB25" s="192">
        <f>'[183]Rate Summary'!$F$241</f>
        <v>54.776666666666664</v>
      </c>
      <c r="AC25" s="192">
        <f>'[184]Rate Summary'!$J$241</f>
        <v>55.576666666666675</v>
      </c>
      <c r="AD25" s="192">
        <f>'[185]Rate Summary'!$N$241</f>
        <v>56.016666666666673</v>
      </c>
      <c r="AE25" s="192">
        <f>'[186]Rate Summary'!$T$241</f>
        <v>55.861666666666672</v>
      </c>
      <c r="AF25" s="192">
        <f>'[186]Rate Summary'!$U$241</f>
        <v>55.557916666666664</v>
      </c>
      <c r="AG25" s="192">
        <f>'[187]Rate Summary'!$F$241</f>
        <v>56.241666666666667</v>
      </c>
      <c r="AH25" s="192">
        <f>'[188]Rate Summary'!$J$241</f>
        <v>58.293333333333329</v>
      </c>
      <c r="AI25" s="179">
        <f>SUM('[11]Other Metrics'!G25:AG25)-SUM(G25:AG25)</f>
        <v>0</v>
      </c>
    </row>
    <row r="26" spans="2:35" x14ac:dyDescent="0.15">
      <c r="B26" s="28" t="s">
        <v>97</v>
      </c>
      <c r="C26" s="149">
        <v>-2.4636058230683044E-2</v>
      </c>
      <c r="D26" s="149">
        <v>-1.3114754098360715E-2</v>
      </c>
      <c r="E26" s="149">
        <v>-1.9036740909956107E-2</v>
      </c>
      <c r="F26" s="74">
        <v>1.2516345974220133E-2</v>
      </c>
      <c r="H26" s="149">
        <f>-(H25/F25-1)</f>
        <v>1.4251481901879304E-2</v>
      </c>
      <c r="I26" s="168">
        <f>-(I25/H25-1)</f>
        <v>5.2136642784031961E-3</v>
      </c>
      <c r="J26" s="168">
        <f>-(J25/I25-1)</f>
        <v>4.7265361242404547E-3</v>
      </c>
      <c r="K26" s="168">
        <f>-(K25/J25-1)</f>
        <v>1.6702203269367444E-2</v>
      </c>
      <c r="L26" s="194" t="s">
        <v>53</v>
      </c>
      <c r="M26" s="149">
        <f>-(M25/K25-1)</f>
        <v>-1.9384302000853282E-3</v>
      </c>
      <c r="N26" s="168">
        <f>-(N25/M25-1)</f>
        <v>1.0755508919202517E-2</v>
      </c>
      <c r="O26" s="168">
        <f>-(O25/N25-1)</f>
        <v>3.122513922036585E-2</v>
      </c>
      <c r="P26" s="168">
        <f>-(P25/O25-1)</f>
        <v>1.1270786286183498E-2</v>
      </c>
      <c r="Q26" s="194" t="s">
        <v>53</v>
      </c>
      <c r="R26" s="149">
        <f>-(R25/P25-1)</f>
        <v>-4.6856723628383445E-3</v>
      </c>
      <c r="S26" s="149">
        <f>-(S25/R25-1)</f>
        <v>3.8922568200605578E-3</v>
      </c>
      <c r="T26" s="149">
        <f>-(T25/S25-1)</f>
        <v>-4.2428853003215972E-2</v>
      </c>
      <c r="U26" s="149">
        <f>-(U25/T25-1)</f>
        <v>-7.1253234259935905E-3</v>
      </c>
      <c r="V26" s="194" t="s">
        <v>53</v>
      </c>
      <c r="W26" s="149">
        <f>-(W25/U25-1)</f>
        <v>-1.4202524307659781E-2</v>
      </c>
      <c r="X26" s="168">
        <f>-(X25/W25-1)</f>
        <v>-3.6210704078981637E-2</v>
      </c>
      <c r="Y26" s="168">
        <f>-(Y25/X25-1)</f>
        <v>-6.4970069263797781E-2</v>
      </c>
      <c r="Z26" s="168">
        <f>-(Z25/Y25-1)</f>
        <v>-2.2660388463802139E-3</v>
      </c>
      <c r="AA26" s="194" t="s">
        <v>53</v>
      </c>
      <c r="AB26" s="168">
        <f>-(AB25/Z25-1)</f>
        <v>3.4970784273423927E-2</v>
      </c>
      <c r="AC26" s="168">
        <f>-(AC25/AB25-1)</f>
        <v>-1.460475871721556E-2</v>
      </c>
      <c r="AD26" s="168">
        <f>-(AD25/AC25-1)</f>
        <v>-7.9169915432135696E-3</v>
      </c>
      <c r="AE26" s="168">
        <f>-(AE25/AD25-1)</f>
        <v>2.7670336209462132E-3</v>
      </c>
      <c r="AF26" s="194" t="s">
        <v>53</v>
      </c>
      <c r="AG26" s="168">
        <f>-(AG25/AE25-1)</f>
        <v>-6.8025181251305522E-3</v>
      </c>
      <c r="AH26" s="168">
        <f>-(AH25/AG25-1)</f>
        <v>-3.6479478441250546E-2</v>
      </c>
      <c r="AI26" s="179">
        <f>SUM('[11]Other Metrics'!G26:AG26)-SUM(G26:AG26)</f>
        <v>0</v>
      </c>
    </row>
    <row r="27" spans="2:35" x14ac:dyDescent="0.15">
      <c r="B27" s="28" t="s">
        <v>98</v>
      </c>
      <c r="C27" s="74">
        <v>-3.6033035833222149E-2</v>
      </c>
      <c r="D27" s="74">
        <v>-4.9298869401941614E-2</v>
      </c>
      <c r="E27" s="74">
        <v>-5.3429105579061442E-2</v>
      </c>
      <c r="F27" s="74">
        <v>-4.459521770634356E-2</v>
      </c>
      <c r="G27" s="74">
        <v>-4.5864822083393264E-2</v>
      </c>
      <c r="H27" s="74">
        <f t="shared" ref="H27:Y27" si="8">-(H25/C25-1)</f>
        <v>-4.9501767920281381E-3</v>
      </c>
      <c r="I27" s="74">
        <f t="shared" si="8"/>
        <v>1.3230534932419546E-2</v>
      </c>
      <c r="J27" s="74">
        <f t="shared" si="8"/>
        <v>3.6241359985055177E-2</v>
      </c>
      <c r="K27" s="74">
        <f t="shared" si="8"/>
        <v>4.0326649009963411E-2</v>
      </c>
      <c r="L27" s="74">
        <f t="shared" si="8"/>
        <v>2.1397732125065017E-2</v>
      </c>
      <c r="M27" s="74">
        <f t="shared" si="8"/>
        <v>2.4564994882292801E-2</v>
      </c>
      <c r="N27" s="74">
        <f t="shared" si="8"/>
        <v>2.9999035400791074E-2</v>
      </c>
      <c r="O27" s="74">
        <f t="shared" si="8"/>
        <v>5.5824772242682563E-2</v>
      </c>
      <c r="P27" s="74">
        <f t="shared" si="8"/>
        <v>5.0609455596806407E-2</v>
      </c>
      <c r="Q27" s="74">
        <f t="shared" si="8"/>
        <v>4.0154820776366451E-2</v>
      </c>
      <c r="R27" s="74">
        <f t="shared" si="8"/>
        <v>4.8006295907660035E-2</v>
      </c>
      <c r="S27" s="74">
        <f t="shared" si="8"/>
        <v>4.1401485017236728E-2</v>
      </c>
      <c r="T27" s="74">
        <f t="shared" si="8"/>
        <v>-3.1478820228563631E-2</v>
      </c>
      <c r="U27" s="74">
        <f t="shared" si="8"/>
        <v>-5.0670321075835911E-2</v>
      </c>
      <c r="V27" s="74">
        <f t="shared" si="8"/>
        <v>2.7679889819220982E-3</v>
      </c>
      <c r="W27" s="74">
        <f t="shared" si="8"/>
        <v>-6.0622761091209787E-2</v>
      </c>
      <c r="X27" s="169">
        <f t="shared" si="8"/>
        <v>-0.10332307479511749</v>
      </c>
      <c r="Y27" s="169">
        <f t="shared" si="8"/>
        <v>-0.12718105221256559</v>
      </c>
      <c r="Z27" s="169">
        <f t="shared" ref="Z27" si="9">-(Z25/U25-1)</f>
        <v>-0.12174251007878567</v>
      </c>
      <c r="AA27" s="169">
        <f t="shared" ref="AA27" si="10">-(AA25/V25-1)</f>
        <v>-0.10365041390267238</v>
      </c>
      <c r="AB27" s="169">
        <f>-(AB25/W25-1)</f>
        <v>-6.73551571836839E-2</v>
      </c>
      <c r="AC27" s="169">
        <f t="shared" ref="AC27:AF27" si="11">-(AC25/X25-1)</f>
        <v>-4.5099821355815584E-2</v>
      </c>
      <c r="AD27" s="169">
        <f t="shared" si="11"/>
        <v>1.0888758092995721E-2</v>
      </c>
      <c r="AE27" s="169">
        <f t="shared" si="11"/>
        <v>1.5855771207093805E-2</v>
      </c>
      <c r="AF27" s="169">
        <f t="shared" si="11"/>
        <v>-1.9910353689878812E-2</v>
      </c>
      <c r="AG27" s="169">
        <f>-(AG25/AB25-1)</f>
        <v>-2.6744964400900795E-2</v>
      </c>
      <c r="AH27" s="169">
        <f>-(AH25/AC25-1)</f>
        <v>-4.8881425058477479E-2</v>
      </c>
      <c r="AI27" s="179">
        <f>SUM('[11]Other Metrics'!G27:AG27)-SUM(G27:AG27)</f>
        <v>0</v>
      </c>
    </row>
    <row r="30" spans="2:35" x14ac:dyDescent="0.15">
      <c r="Y30" s="239"/>
    </row>
  </sheetData>
  <customSheetViews>
    <customSheetView guid="{168DC811-186D-42DC-8A72-3741D1063270}" scale="80" showGridLines="0" hiddenRows="1">
      <pane xSplit="2" ySplit="4" topLeftCell="C5" activePane="bottomRight" state="frozen"/>
      <selection pane="bottomRight" activeCell="A7" sqref="A7"/>
      <pageMargins left="0.45" right="0.45" top="0.75" bottom="0.75" header="0.3" footer="0.3"/>
      <printOptions horizontalCentered="1"/>
      <pageSetup scale="65" orientation="landscape" horizontalDpi="300" verticalDpi="300" r:id="rId1"/>
    </customSheetView>
  </customSheetViews>
  <phoneticPr fontId="0" type="noConversion"/>
  <pageMargins left="0.25" right="0.25" top="0.5" bottom="0.25" header="0.3" footer="0.3"/>
  <pageSetup paperSize="9" scale="59"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Contents</vt:lpstr>
      <vt:lpstr>Income Statement</vt:lpstr>
      <vt:lpstr>Balance Sheet</vt:lpstr>
      <vt:lpstr>Cashflow_old</vt:lpstr>
      <vt:lpstr>Cashflow</vt:lpstr>
      <vt:lpstr>Revenues and Margins</vt:lpstr>
      <vt:lpstr>Non-GAAP</vt:lpstr>
      <vt:lpstr>Other Metrics</vt:lpstr>
      <vt:lpstr>'Balance Sheet'!Print_Area</vt:lpstr>
      <vt:lpstr>Cashflow!Print_Area</vt:lpstr>
      <vt:lpstr>Cashflow_old!Print_Area</vt:lpstr>
      <vt:lpstr>'Income Statement'!Print_Area</vt:lpstr>
      <vt:lpstr>'Non-GAAP'!Print_Area</vt:lpstr>
      <vt:lpstr>'Other Metrics'!Print_Area</vt:lpstr>
      <vt:lpstr>'Revenues and Margins'!Print_Area</vt:lpstr>
      <vt:lpstr>'Income Statement'!Print_Titles</vt:lpstr>
      <vt:lpstr>'Non-GAAP'!Print_Titles</vt:lpstr>
      <vt:lpstr>'Other Metrics'!Print_Titles</vt:lpstr>
      <vt:lpstr>'Revenues and Margins'!Print_Titles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rahul13232</dc:creator>
  <cp:lastModifiedBy>John Kristoff</cp:lastModifiedBy>
  <cp:lastPrinted>2024-04-18T08:19:04Z</cp:lastPrinted>
  <dcterms:created xsi:type="dcterms:W3CDTF">2009-03-23T17:27:54Z</dcterms:created>
  <dcterms:modified xsi:type="dcterms:W3CDTF">2024-07-31T19:12:09Z</dcterms:modified>
</cp:coreProperties>
</file>