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codeName="ThisWorkbook" defaultThemeVersion="124226"/>
  <mc:AlternateContent xmlns:mc="http://schemas.openxmlformats.org/markup-compatibility/2006">
    <mc:Choice Requires="x15">
      <x15ac:absPath xmlns:x15ac="http://schemas.microsoft.com/office/spreadsheetml/2010/11/ac" url="\\fsx01\Accounts\Financial Reporting\2025\Q3'25\Sep'25\Investor relation\"/>
    </mc:Choice>
  </mc:AlternateContent>
  <xr:revisionPtr revIDLastSave="0" documentId="13_ncr:1_{63F1C004-865C-44F3-BA90-B612C7A47B29}" xr6:coauthVersionLast="47" xr6:coauthVersionMax="47" xr10:uidLastSave="{00000000-0000-0000-0000-000000000000}"/>
  <bookViews>
    <workbookView xWindow="-120" yWindow="-120" windowWidth="20730" windowHeight="11040" tabRatio="889" xr2:uid="{00000000-000D-0000-FFFF-FFFF00000000}"/>
  </bookViews>
  <sheets>
    <sheet name="Contents" sheetId="9" r:id="rId1"/>
    <sheet name="Income Statement" sheetId="10" r:id="rId2"/>
    <sheet name="Balance Sheet" sheetId="13" r:id="rId3"/>
    <sheet name="Cashflow" sheetId="14" r:id="rId4"/>
    <sheet name="Revenue &amp; Margin (till 2024)" sheetId="8" r:id="rId5"/>
    <sheet name="Revenue &amp; Margin (eff. 2025)" sheetId="16" r:id="rId6"/>
    <sheet name="Non-GAAP" sheetId="11" r:id="rId7"/>
    <sheet name="Other Metrics" sheetId="5" r:id="rId8"/>
  </sheets>
  <definedNames>
    <definedName name="_xlnm._FilterDatabase" localSheetId="1" hidden="1">'Income Statement'!#REF!</definedName>
    <definedName name="_xlnm._FilterDatabase" localSheetId="6" hidden="1">'Non-GAAP'!#REF!</definedName>
    <definedName name="_xlnm.Print_Area" localSheetId="2">'Balance Sheet'!$A$1:$U$53</definedName>
    <definedName name="_xlnm.Print_Area" localSheetId="3">Cashflow!$A$1:$X$62</definedName>
    <definedName name="_xlnm.Print_Area" localSheetId="1">'Income Statement'!$A$1:$X$55</definedName>
    <definedName name="_xlnm.Print_Area" localSheetId="6">'Non-GAAP'!$A$1:$X$57</definedName>
    <definedName name="_xlnm.Print_Area" localSheetId="7">'Other Metrics'!$A$1:$Y$32</definedName>
    <definedName name="_xlnm.Print_Area" localSheetId="5">'Revenue &amp; Margin (eff. 2025)'!$A$1:$V$84</definedName>
    <definedName name="_xlnm.Print_Area" localSheetId="4">'Revenue &amp; Margin (till 2024)'!$A$1:$V$75</definedName>
    <definedName name="_xlnm.Print_Titles" localSheetId="1">'Income Statement'!$A:$A,'Income Statement'!$4:$5</definedName>
    <definedName name="_xlnm.Print_Titles" localSheetId="6">'Non-GAAP'!$A:$A,'Non-GAAP'!$4:$5</definedName>
    <definedName name="_xlnm.Print_Titles" localSheetId="7">'Other Metrics'!$B:$B</definedName>
    <definedName name="_xlnm.Print_Titles" localSheetId="5">'Revenue &amp; Margin (eff. 2025)'!$1:$4</definedName>
    <definedName name="_xlnm.Print_Titles" localSheetId="4">'Revenue &amp; Margin (till 2024)'!$1:$4</definedName>
    <definedName name="Z_168DC811_186D_42DC_8A72_3741D1063270_.wvu.PrintArea" localSheetId="7" hidden="1">'Other Metrics'!$A$1:$B$15</definedName>
    <definedName name="Z_168DC811_186D_42DC_8A72_3741D1063270_.wvu.PrintTitles" localSheetId="1" hidden="1">'Income Statement'!$A:$A,'Income Statement'!$4:$5</definedName>
    <definedName name="Z_168DC811_186D_42DC_8A72_3741D1063270_.wvu.PrintTitles" localSheetId="6" hidden="1">'Non-GAAP'!$A:$A,'Non-GAAP'!$4:$5</definedName>
    <definedName name="Z_168DC811_186D_42DC_8A72_3741D1063270_.wvu.PrintTitles" localSheetId="7" hidden="1">'Other Metrics'!$B:$B</definedName>
    <definedName name="Z_168DC811_186D_42DC_8A72_3741D1063270_.wvu.Rows" localSheetId="7" hidden="1">'Other Metrics'!#REF!</definedName>
  </definedNames>
  <calcPr calcId="191028"/>
  <customWorkbookViews>
    <customWorkbookView name="rahul13232 - Personal View" guid="{168DC811-186D-42DC-8A72-3741D1063270}" mergeInterval="0" personalView="1" maximized="1" xWindow="1" yWindow="1" windowWidth="1276" windowHeight="80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0" i="14" l="1"/>
  <c r="X48" i="14"/>
  <c r="T45" i="16" l="1"/>
  <c r="X35" i="11" l="1"/>
  <c r="X32" i="11"/>
  <c r="X23" i="11"/>
  <c r="S45" i="16" l="1"/>
  <c r="Y26" i="5" l="1"/>
  <c r="Y22" i="5"/>
  <c r="Y18" i="5"/>
  <c r="Y30" i="5" l="1"/>
  <c r="W35" i="11" l="1"/>
  <c r="W32" i="11"/>
  <c r="W23" i="11"/>
  <c r="S40" i="16" l="1"/>
  <c r="N72" i="16"/>
  <c r="Q8" i="16"/>
  <c r="Q13" i="16" l="1"/>
  <c r="Q51" i="16"/>
  <c r="D19" i="11" l="1"/>
  <c r="C19" i="11"/>
  <c r="B19" i="11"/>
  <c r="F27" i="11"/>
  <c r="E27" i="11"/>
  <c r="D27" i="11"/>
  <c r="C27" i="11"/>
  <c r="B27" i="11"/>
  <c r="B26" i="11"/>
  <c r="F19" i="11"/>
  <c r="E19" i="11"/>
  <c r="B18" i="11"/>
  <c r="G65" i="16" l="1"/>
  <c r="G58" i="16"/>
  <c r="G51" i="16"/>
  <c r="T34" i="16" l="1"/>
  <c r="S34" i="16"/>
  <c r="T28" i="16"/>
  <c r="S28" i="16"/>
  <c r="T22" i="16"/>
  <c r="S22" i="16"/>
  <c r="Q39" i="16" l="1"/>
  <c r="T40" i="16"/>
  <c r="Q21" i="16"/>
  <c r="Q27" i="16"/>
  <c r="Q33" i="16"/>
  <c r="X30" i="5"/>
  <c r="Y31" i="5"/>
  <c r="X31" i="5"/>
  <c r="D30" i="5" l="1"/>
  <c r="W31" i="5"/>
  <c r="F30" i="5"/>
  <c r="E30" i="5"/>
  <c r="U31" i="5"/>
  <c r="V31" i="5"/>
  <c r="P30" i="5"/>
  <c r="I31" i="5"/>
  <c r="H30" i="5"/>
  <c r="J31" i="5"/>
  <c r="S31" i="5"/>
  <c r="K31" i="5"/>
  <c r="L31" i="5"/>
  <c r="T31" i="5"/>
  <c r="N30" i="5"/>
  <c r="Q31" i="5"/>
  <c r="S30" i="5"/>
  <c r="M30" i="5"/>
  <c r="U30" i="5"/>
  <c r="O30" i="5"/>
  <c r="R30" i="5"/>
  <c r="J30" i="5"/>
  <c r="T30" i="5"/>
  <c r="M31" i="5"/>
  <c r="N31" i="5"/>
  <c r="W30" i="5"/>
  <c r="O31" i="5"/>
  <c r="K30" i="5"/>
  <c r="H31" i="5"/>
  <c r="P31" i="5"/>
  <c r="I30" i="5"/>
  <c r="R31" i="5"/>
  <c r="Q65" i="16" l="1"/>
  <c r="L65" i="16"/>
  <c r="Q58" i="16"/>
  <c r="L58" i="16"/>
  <c r="L51" i="16"/>
  <c r="R14" i="16"/>
  <c r="J14" i="16" l="1"/>
  <c r="H9" i="16"/>
  <c r="G13" i="16"/>
  <c r="G8" i="16"/>
  <c r="J9" i="16"/>
  <c r="K14" i="16"/>
  <c r="I14" i="16"/>
  <c r="H14" i="16"/>
  <c r="K9" i="16"/>
  <c r="F18" i="16"/>
  <c r="D18" i="16"/>
  <c r="C18" i="16"/>
  <c r="R9" i="16" l="1"/>
  <c r="L13" i="16"/>
  <c r="L14" i="16" s="1"/>
  <c r="I9" i="16"/>
  <c r="L8" i="16"/>
  <c r="L9" i="16" s="1"/>
  <c r="G18" i="16"/>
  <c r="E18" i="16"/>
  <c r="X26" i="5" l="1"/>
  <c r="X22" i="5"/>
  <c r="X18" i="5"/>
  <c r="N23" i="11" l="1"/>
  <c r="V35" i="11" l="1"/>
  <c r="S35" i="11"/>
  <c r="Q35" i="11"/>
  <c r="P35" i="11"/>
  <c r="O35" i="11"/>
  <c r="N35" i="11"/>
  <c r="M35" i="11"/>
  <c r="L35" i="11"/>
  <c r="K35" i="11"/>
  <c r="J35" i="11"/>
  <c r="I35" i="11"/>
  <c r="H35" i="11"/>
  <c r="G35" i="11"/>
  <c r="F35" i="11"/>
  <c r="E35" i="11"/>
  <c r="D35" i="11"/>
  <c r="C35" i="11"/>
  <c r="B35" i="11"/>
  <c r="R72" i="16"/>
  <c r="I27" i="10"/>
  <c r="H27" i="10"/>
  <c r="G27" i="10"/>
  <c r="D27" i="10"/>
  <c r="C27" i="10"/>
  <c r="B27" i="10"/>
  <c r="R59" i="16" l="1"/>
  <c r="R66" i="16"/>
  <c r="R52" i="16"/>
  <c r="F45" i="16"/>
  <c r="D45" i="16"/>
  <c r="C45" i="16"/>
  <c r="E45" i="16" l="1"/>
  <c r="G21" i="16"/>
  <c r="G39" i="16"/>
  <c r="G33" i="16"/>
  <c r="G27" i="16"/>
  <c r="G45" i="16" l="1"/>
  <c r="C17" i="8"/>
  <c r="R40" i="16" l="1"/>
  <c r="R34" i="16"/>
  <c r="R28" i="16"/>
  <c r="R22" i="16"/>
  <c r="R45" i="16" l="1"/>
  <c r="V32" i="11" l="1"/>
  <c r="V30" i="11"/>
  <c r="V23" i="11"/>
  <c r="L39" i="16"/>
  <c r="L21" i="16" l="1"/>
  <c r="Q45" i="16"/>
  <c r="L27" i="16"/>
  <c r="L33" i="16"/>
  <c r="R18" i="16"/>
  <c r="L18" i="16"/>
  <c r="K18" i="16"/>
  <c r="J18" i="16"/>
  <c r="I18" i="16"/>
  <c r="H18" i="16"/>
  <c r="D72" i="16" l="1"/>
  <c r="G72" i="16" l="1"/>
  <c r="C72" i="16"/>
  <c r="E72" i="16"/>
  <c r="F72" i="16"/>
  <c r="R69" i="16"/>
  <c r="R67" i="16"/>
  <c r="R62" i="16"/>
  <c r="R60" i="16"/>
  <c r="R55" i="16"/>
  <c r="R53" i="16"/>
  <c r="Q72" i="16" l="1"/>
  <c r="H72" i="16"/>
  <c r="M72" i="16"/>
  <c r="O72" i="16"/>
  <c r="I72" i="16"/>
  <c r="J72" i="16"/>
  <c r="P72" i="16"/>
  <c r="K72" i="16"/>
  <c r="L72" i="16"/>
  <c r="Q14" i="16"/>
  <c r="P14" i="16"/>
  <c r="O14" i="16"/>
  <c r="N14" i="16"/>
  <c r="M14" i="16"/>
  <c r="P52" i="16" l="1"/>
  <c r="P66" i="16"/>
  <c r="P59" i="16"/>
  <c r="J66" i="16"/>
  <c r="J59" i="16"/>
  <c r="J52" i="16"/>
  <c r="N59" i="16"/>
  <c r="N52" i="16"/>
  <c r="N66" i="16"/>
  <c r="I59" i="16"/>
  <c r="I66" i="16"/>
  <c r="I52" i="16"/>
  <c r="O52" i="16"/>
  <c r="O66" i="16"/>
  <c r="O59" i="16"/>
  <c r="H59" i="16"/>
  <c r="H66" i="16"/>
  <c r="H52" i="16"/>
  <c r="M59" i="16"/>
  <c r="M52" i="16"/>
  <c r="M66" i="16"/>
  <c r="L52" i="16"/>
  <c r="L66" i="16"/>
  <c r="L59" i="16"/>
  <c r="K66" i="16"/>
  <c r="K59" i="16"/>
  <c r="K52" i="16"/>
  <c r="Q52" i="16"/>
  <c r="Q59" i="16"/>
  <c r="Q66" i="16"/>
  <c r="N18" i="16"/>
  <c r="M18" i="16"/>
  <c r="P18" i="16"/>
  <c r="O18" i="16"/>
  <c r="Q18" i="16"/>
  <c r="Q9" i="16"/>
  <c r="N9" i="16"/>
  <c r="M9" i="16"/>
  <c r="O9" i="16"/>
  <c r="P9" i="16"/>
  <c r="Q22" i="16"/>
  <c r="P40" i="16"/>
  <c r="O22" i="16"/>
  <c r="M22" i="16"/>
  <c r="L40" i="16"/>
  <c r="L34" i="16"/>
  <c r="L28" i="16"/>
  <c r="L22" i="16"/>
  <c r="K40" i="16"/>
  <c r="K34" i="16"/>
  <c r="K28" i="16"/>
  <c r="K22" i="16"/>
  <c r="J40" i="16"/>
  <c r="J34" i="16"/>
  <c r="J28" i="16"/>
  <c r="J22" i="16"/>
  <c r="I40" i="16"/>
  <c r="I34" i="16"/>
  <c r="I28" i="16"/>
  <c r="I22" i="16"/>
  <c r="H40" i="16"/>
  <c r="H34" i="16"/>
  <c r="H22" i="16"/>
  <c r="M28" i="16" l="1"/>
  <c r="O28" i="16"/>
  <c r="Q28" i="16"/>
  <c r="M34" i="16"/>
  <c r="O34" i="16"/>
  <c r="Q34" i="16"/>
  <c r="M40" i="16"/>
  <c r="O40" i="16"/>
  <c r="Q40" i="16"/>
  <c r="N22" i="16"/>
  <c r="P22" i="16"/>
  <c r="H28" i="16"/>
  <c r="N28" i="16"/>
  <c r="P28" i="16"/>
  <c r="N34" i="16"/>
  <c r="P34" i="16"/>
  <c r="N40" i="16"/>
  <c r="M45" i="16"/>
  <c r="O45" i="16"/>
  <c r="J45" i="16"/>
  <c r="N45" i="16"/>
  <c r="P45" i="16"/>
  <c r="I45" i="16"/>
  <c r="K45" i="16"/>
  <c r="H45" i="16"/>
  <c r="L45" i="16"/>
  <c r="J67" i="16" l="1"/>
  <c r="K60" i="16"/>
  <c r="H60" i="16"/>
  <c r="L53" i="16"/>
  <c r="I53" i="16"/>
  <c r="H55" i="16"/>
  <c r="O60" i="16" l="1"/>
  <c r="N60" i="16"/>
  <c r="P60" i="16"/>
  <c r="N67" i="16"/>
  <c r="K62" i="16"/>
  <c r="O67" i="16"/>
  <c r="P53" i="16"/>
  <c r="I55" i="16"/>
  <c r="P55" i="16"/>
  <c r="N53" i="16"/>
  <c r="M62" i="16"/>
  <c r="O69" i="16"/>
  <c r="Q53" i="16"/>
  <c r="O62" i="16"/>
  <c r="P69" i="16"/>
  <c r="O53" i="16"/>
  <c r="N69" i="16"/>
  <c r="J69" i="16"/>
  <c r="M60" i="16"/>
  <c r="I60" i="16"/>
  <c r="I62" i="16"/>
  <c r="Q60" i="16"/>
  <c r="H62" i="16"/>
  <c r="M67" i="16"/>
  <c r="M55" i="16"/>
  <c r="K53" i="16"/>
  <c r="K55" i="16"/>
  <c r="P62" i="16"/>
  <c r="L67" i="16"/>
  <c r="H53" i="16"/>
  <c r="H67" i="16"/>
  <c r="H69" i="16"/>
  <c r="P67" i="16"/>
  <c r="J53" i="16"/>
  <c r="J55" i="16"/>
  <c r="J62" i="16"/>
  <c r="J60" i="16"/>
  <c r="I69" i="16"/>
  <c r="I67" i="16"/>
  <c r="Q67" i="16"/>
  <c r="N55" i="16"/>
  <c r="M53" i="16"/>
  <c r="L60" i="16"/>
  <c r="K69" i="16"/>
  <c r="K67" i="16"/>
  <c r="O55" i="16"/>
  <c r="N62" i="16"/>
  <c r="M69" i="16"/>
  <c r="V17" i="8" l="1"/>
  <c r="V45" i="8"/>
  <c r="V39" i="8"/>
  <c r="V20" i="8"/>
  <c r="V47" i="8" l="1"/>
  <c r="V55" i="8" s="1"/>
  <c r="V27" i="8"/>
  <c r="V21" i="8"/>
  <c r="V33" i="8"/>
  <c r="V63" i="8" l="1"/>
  <c r="V59" i="8"/>
  <c r="T13" i="11" l="1"/>
  <c r="U35" i="11" l="1"/>
  <c r="W26" i="5" l="1"/>
  <c r="W22" i="5"/>
  <c r="W18" i="5"/>
  <c r="V6" i="5" l="1"/>
  <c r="T39" i="11" l="1"/>
  <c r="T45" i="11"/>
  <c r="T44" i="11"/>
  <c r="T37" i="11"/>
  <c r="T34" i="11"/>
  <c r="T48" i="11"/>
  <c r="T13" i="14" l="1"/>
  <c r="U40" i="11" l="1"/>
  <c r="U32" i="11"/>
  <c r="U14" i="11"/>
  <c r="J51" i="14" l="1"/>
  <c r="T50" i="14"/>
  <c r="O48" i="14"/>
  <c r="J48" i="14"/>
  <c r="T19" i="14"/>
  <c r="E19" i="14"/>
  <c r="O13" i="14"/>
  <c r="J13" i="14"/>
  <c r="R53" i="14" l="1"/>
  <c r="I49" i="13"/>
  <c r="P49" i="13"/>
  <c r="G49" i="13"/>
  <c r="O49" i="13"/>
  <c r="D49" i="13"/>
  <c r="L49" i="13"/>
  <c r="H49" i="13"/>
  <c r="J49" i="13"/>
  <c r="C49" i="13"/>
  <c r="K49" i="13"/>
  <c r="E49" i="13"/>
  <c r="M49" i="13"/>
  <c r="F49" i="13"/>
  <c r="N49" i="13"/>
  <c r="E8" i="14"/>
  <c r="E37" i="14"/>
  <c r="E50" i="14"/>
  <c r="E26" i="14"/>
  <c r="E28" i="14"/>
  <c r="E31" i="14"/>
  <c r="E48" i="14"/>
  <c r="J18" i="14"/>
  <c r="P13" i="13"/>
  <c r="P24" i="13" s="1"/>
  <c r="E39" i="14"/>
  <c r="E13" i="13"/>
  <c r="E24" i="13" s="1"/>
  <c r="J13" i="13"/>
  <c r="J24" i="13" s="1"/>
  <c r="J31" i="14"/>
  <c r="F42" i="14"/>
  <c r="E12" i="14"/>
  <c r="E13" i="14"/>
  <c r="J19" i="14"/>
  <c r="J17" i="14"/>
  <c r="J36" i="14"/>
  <c r="J11" i="14"/>
  <c r="J20" i="14"/>
  <c r="J8" i="14"/>
  <c r="J12" i="14"/>
  <c r="O17" i="14"/>
  <c r="E41" i="14"/>
  <c r="B53" i="14"/>
  <c r="J55" i="14"/>
  <c r="G13" i="13"/>
  <c r="G24" i="13" s="1"/>
  <c r="D13" i="13"/>
  <c r="D24" i="13" s="1"/>
  <c r="L13" i="13"/>
  <c r="L24" i="13" s="1"/>
  <c r="O13" i="13"/>
  <c r="O24" i="13" s="1"/>
  <c r="J21" i="14"/>
  <c r="J26" i="14"/>
  <c r="Q42" i="14"/>
  <c r="B33" i="14"/>
  <c r="O16" i="14"/>
  <c r="J28" i="14"/>
  <c r="Q53" i="14"/>
  <c r="O27" i="14"/>
  <c r="O29" i="14"/>
  <c r="O30" i="14"/>
  <c r="O55" i="14"/>
  <c r="O10" i="14"/>
  <c r="O12" i="14"/>
  <c r="O26" i="14"/>
  <c r="O52" i="14"/>
  <c r="O51" i="14"/>
  <c r="O20" i="14"/>
  <c r="K42" i="14"/>
  <c r="L42" i="14"/>
  <c r="I13" i="13"/>
  <c r="I24" i="13" s="1"/>
  <c r="M13" i="13"/>
  <c r="M24" i="13" s="1"/>
  <c r="F13" i="13"/>
  <c r="N13" i="13"/>
  <c r="N24" i="13" s="1"/>
  <c r="C13" i="13"/>
  <c r="K13" i="13"/>
  <c r="K24" i="13" s="1"/>
  <c r="H13" i="13"/>
  <c r="O11" i="14"/>
  <c r="O25" i="14"/>
  <c r="K33" i="14"/>
  <c r="L33" i="14"/>
  <c r="J10" i="14"/>
  <c r="O14" i="14"/>
  <c r="J29" i="14"/>
  <c r="E38" i="14"/>
  <c r="J41" i="14"/>
  <c r="J49" i="14"/>
  <c r="F33" i="14"/>
  <c r="O8" i="14"/>
  <c r="J16" i="14"/>
  <c r="J24" i="14"/>
  <c r="G33" i="14"/>
  <c r="O28" i="14"/>
  <c r="J30" i="14"/>
  <c r="P42" i="14"/>
  <c r="F53" i="14"/>
  <c r="J46" i="14"/>
  <c r="P33" i="14"/>
  <c r="J39" i="14"/>
  <c r="K53" i="14"/>
  <c r="O50" i="14"/>
  <c r="Q33" i="14"/>
  <c r="E29" i="14"/>
  <c r="L53" i="14"/>
  <c r="O45" i="14"/>
  <c r="E20" i="14"/>
  <c r="O24" i="14"/>
  <c r="G42" i="14"/>
  <c r="P53" i="14"/>
  <c r="O36" i="14"/>
  <c r="G53" i="14"/>
  <c r="E24" i="14"/>
  <c r="B42" i="14"/>
  <c r="E52" i="14"/>
  <c r="J40" i="14"/>
  <c r="E17" i="14" l="1"/>
  <c r="E15" i="14"/>
  <c r="C24" i="13"/>
  <c r="R42" i="14"/>
  <c r="H24" i="13"/>
  <c r="E11" i="14"/>
  <c r="R33" i="14"/>
  <c r="F24" i="13"/>
  <c r="E45" i="14"/>
  <c r="C42" i="14"/>
  <c r="C53" i="14"/>
  <c r="P57" i="14"/>
  <c r="H42" i="14"/>
  <c r="O40" i="14"/>
  <c r="Q57" i="14"/>
  <c r="F57" i="14"/>
  <c r="C33" i="14"/>
  <c r="B57" i="14"/>
  <c r="J52" i="14"/>
  <c r="H33" i="14"/>
  <c r="O49" i="14"/>
  <c r="M33" i="14"/>
  <c r="O18" i="14"/>
  <c r="J45" i="14"/>
  <c r="O39" i="14"/>
  <c r="J50" i="14"/>
  <c r="J38" i="14"/>
  <c r="J15" i="14"/>
  <c r="E10" i="14"/>
  <c r="L57" i="14"/>
  <c r="O19" i="14"/>
  <c r="E18" i="14"/>
  <c r="O15" i="14"/>
  <c r="O21" i="14"/>
  <c r="N53" i="14"/>
  <c r="G57" i="14"/>
  <c r="E46" i="14"/>
  <c r="M42" i="14"/>
  <c r="E21" i="14"/>
  <c r="E27" i="14"/>
  <c r="J25" i="14"/>
  <c r="O38" i="14"/>
  <c r="O46" i="14"/>
  <c r="J27" i="14"/>
  <c r="H53" i="14"/>
  <c r="E16" i="14"/>
  <c r="M53" i="14"/>
  <c r="K57" i="14"/>
  <c r="E25" i="14" l="1"/>
  <c r="D53" i="14"/>
  <c r="O31" i="14"/>
  <c r="O41" i="14"/>
  <c r="E40" i="14"/>
  <c r="R57" i="14"/>
  <c r="D42" i="14"/>
  <c r="E14" i="14"/>
  <c r="I42" i="14"/>
  <c r="C57" i="14"/>
  <c r="H57" i="14"/>
  <c r="O53" i="14"/>
  <c r="M57" i="14"/>
  <c r="N42" i="14"/>
  <c r="N33" i="14"/>
  <c r="E30" i="14"/>
  <c r="E36" i="14"/>
  <c r="I33" i="14"/>
  <c r="E55" i="14"/>
  <c r="D33" i="14"/>
  <c r="J53" i="14"/>
  <c r="J37" i="14"/>
  <c r="I53" i="14"/>
  <c r="J14" i="14"/>
  <c r="J33" i="14" s="1"/>
  <c r="E49" i="14"/>
  <c r="O37" i="14"/>
  <c r="O33" i="14" l="1"/>
  <c r="D57" i="14"/>
  <c r="O42" i="14"/>
  <c r="F59" i="14"/>
  <c r="N57" i="14"/>
  <c r="E42" i="14"/>
  <c r="J42" i="14"/>
  <c r="J57" i="14" s="1"/>
  <c r="I57" i="14"/>
  <c r="E53" i="14"/>
  <c r="E33" i="14"/>
  <c r="O57" i="14" l="1"/>
  <c r="E57" i="14"/>
  <c r="G58" i="14"/>
  <c r="K58" i="14"/>
  <c r="K59" i="14" s="1"/>
  <c r="B59" i="14" l="1"/>
  <c r="G59" i="14"/>
  <c r="P58" i="14"/>
  <c r="P59" i="14" s="1"/>
  <c r="U58" i="14" s="1"/>
  <c r="L58" i="14"/>
  <c r="L59" i="14" s="1"/>
  <c r="H58" i="14" l="1"/>
  <c r="H59" i="14" s="1"/>
  <c r="I58" i="14" s="1"/>
  <c r="C58" i="14"/>
  <c r="M58" i="14"/>
  <c r="M59" i="14" s="1"/>
  <c r="Q58" i="14"/>
  <c r="Q59" i="14" s="1"/>
  <c r="R58" i="14" s="1"/>
  <c r="R59" i="14" s="1"/>
  <c r="C59" i="14" l="1"/>
  <c r="I59" i="14"/>
  <c r="S58" i="14"/>
  <c r="N58" i="14"/>
  <c r="N59" i="14" s="1"/>
  <c r="J58" i="14" l="1"/>
  <c r="J59" i="14" s="1"/>
  <c r="D58" i="14"/>
  <c r="O58" i="14"/>
  <c r="D59" i="14" l="1"/>
  <c r="O59" i="14"/>
  <c r="E58" i="14" l="1"/>
  <c r="E59" i="14" l="1"/>
  <c r="U64" i="8" l="1"/>
  <c r="U60" i="8"/>
  <c r="U56" i="8"/>
  <c r="T45" i="8" l="1"/>
  <c r="T39" i="8"/>
  <c r="T20" i="8"/>
  <c r="T33" i="8" l="1"/>
  <c r="T17" i="8"/>
  <c r="T21" i="8" s="1"/>
  <c r="T27" i="8"/>
  <c r="T47" i="8" l="1"/>
  <c r="T55" i="8" l="1"/>
  <c r="T63" i="8"/>
  <c r="T59" i="8"/>
  <c r="U18" i="5" l="1"/>
  <c r="Y19" i="5"/>
  <c r="U26" i="5"/>
  <c r="Y27" i="5"/>
  <c r="U22" i="5"/>
  <c r="Y23" i="5"/>
  <c r="S40" i="11" l="1"/>
  <c r="S14" i="11"/>
  <c r="S32" i="11"/>
  <c r="R35" i="11" l="1"/>
  <c r="T12" i="11"/>
  <c r="T64" i="8" l="1"/>
  <c r="T60" i="8"/>
  <c r="T56" i="8"/>
  <c r="S45" i="8" l="1"/>
  <c r="S39" i="8"/>
  <c r="S20" i="8"/>
  <c r="S33" i="8" l="1"/>
  <c r="S17" i="8"/>
  <c r="S27" i="8"/>
  <c r="S47" i="8" l="1"/>
  <c r="S21" i="8"/>
  <c r="S59" i="8" l="1"/>
  <c r="S55" i="8"/>
  <c r="S63" i="8"/>
  <c r="X27" i="5"/>
  <c r="X23" i="5"/>
  <c r="X19" i="5"/>
  <c r="T18" i="5" l="1"/>
  <c r="T26" i="5"/>
  <c r="T22" i="5"/>
  <c r="R40" i="11"/>
  <c r="R32" i="11" l="1"/>
  <c r="R14" i="11" l="1"/>
  <c r="U19" i="5" l="1"/>
  <c r="S56" i="8" l="1"/>
  <c r="S60" i="8"/>
  <c r="S64" i="8"/>
  <c r="T38" i="11" l="1"/>
  <c r="T43" i="11"/>
  <c r="T46" i="11" l="1"/>
  <c r="T36" i="11" l="1"/>
  <c r="T32" i="11"/>
  <c r="T33" i="11" l="1"/>
  <c r="U44" i="8"/>
  <c r="U41" i="8"/>
  <c r="U38" i="8"/>
  <c r="U35" i="8"/>
  <c r="U32" i="8"/>
  <c r="U29" i="8"/>
  <c r="U26" i="8"/>
  <c r="U23" i="8"/>
  <c r="W27" i="5"/>
  <c r="W23" i="5"/>
  <c r="S22" i="5" l="1"/>
  <c r="U17" i="8"/>
  <c r="U47" i="8" s="1"/>
  <c r="U63" i="8" s="1"/>
  <c r="S26" i="5"/>
  <c r="U33" i="8"/>
  <c r="U45" i="8"/>
  <c r="U27" i="8"/>
  <c r="U20" i="8"/>
  <c r="U39" i="8"/>
  <c r="R33" i="8"/>
  <c r="R27" i="8"/>
  <c r="R39" i="8"/>
  <c r="R45" i="8"/>
  <c r="R20" i="8"/>
  <c r="R17" i="8"/>
  <c r="U55" i="8" l="1"/>
  <c r="U59" i="8"/>
  <c r="U21" i="8"/>
  <c r="R47" i="8"/>
  <c r="R59" i="8" s="1"/>
  <c r="R21" i="8"/>
  <c r="R63" i="8" l="1"/>
  <c r="R55" i="8"/>
  <c r="W19" i="5"/>
  <c r="S18" i="5" l="1"/>
  <c r="Q40" i="11"/>
  <c r="T40" i="11" s="1"/>
  <c r="Q14" i="11"/>
  <c r="T14" i="11" s="1"/>
  <c r="T15" i="11" l="1"/>
  <c r="T35" i="11" l="1"/>
  <c r="U65" i="8" l="1"/>
  <c r="U61" i="8"/>
  <c r="U57" i="8"/>
  <c r="V65" i="8"/>
  <c r="V61" i="8"/>
  <c r="V57" i="8"/>
  <c r="R56" i="8" l="1"/>
  <c r="R60" i="8"/>
  <c r="R64" i="8"/>
  <c r="N14" i="11" l="1"/>
  <c r="O46" i="11"/>
  <c r="O36" i="11" l="1"/>
  <c r="P14" i="11" l="1"/>
  <c r="Q6" i="5" l="1"/>
  <c r="V42" i="8" l="1"/>
  <c r="V36" i="8"/>
  <c r="V30" i="8"/>
  <c r="V24" i="8"/>
  <c r="Q20" i="8" l="1"/>
  <c r="Q27" i="8"/>
  <c r="Q45" i="8"/>
  <c r="Q39" i="8"/>
  <c r="Q33" i="8"/>
  <c r="Q17" i="8"/>
  <c r="V18" i="8" s="1"/>
  <c r="Q21" i="8" l="1"/>
  <c r="P40" i="11" l="1"/>
  <c r="O48" i="11" l="1"/>
  <c r="O45" i="11"/>
  <c r="O34" i="11"/>
  <c r="O13" i="11" l="1"/>
  <c r="O12" i="11"/>
  <c r="U27" i="5"/>
  <c r="U23" i="5"/>
  <c r="R18" i="5"/>
  <c r="V27" i="5"/>
  <c r="V23" i="5"/>
  <c r="V19" i="5"/>
  <c r="R22" i="5" l="1"/>
  <c r="R26" i="5"/>
  <c r="O36" i="10" l="1"/>
  <c r="Q47" i="8" l="1"/>
  <c r="N40" i="11"/>
  <c r="M40" i="11"/>
  <c r="L40" i="11"/>
  <c r="K40" i="11"/>
  <c r="I40" i="11"/>
  <c r="H40" i="11"/>
  <c r="G40" i="11"/>
  <c r="J48" i="11"/>
  <c r="O39" i="11"/>
  <c r="J39" i="11"/>
  <c r="J45" i="11"/>
  <c r="J44" i="11"/>
  <c r="E44" i="11"/>
  <c r="M14" i="11"/>
  <c r="L14" i="11"/>
  <c r="K14" i="11"/>
  <c r="E37" i="11"/>
  <c r="J34" i="11"/>
  <c r="E33" i="11"/>
  <c r="E32" i="11"/>
  <c r="K33" i="11"/>
  <c r="E12" i="11"/>
  <c r="N30" i="11"/>
  <c r="I30" i="11"/>
  <c r="F30" i="11"/>
  <c r="B30" i="11"/>
  <c r="I31" i="11"/>
  <c r="H31" i="11"/>
  <c r="G31" i="11"/>
  <c r="C31" i="11"/>
  <c r="B31" i="11"/>
  <c r="P60" i="8" l="1"/>
  <c r="T61" i="8"/>
  <c r="P64" i="8"/>
  <c r="T65" i="8"/>
  <c r="P56" i="8"/>
  <c r="T57" i="8"/>
  <c r="O40" i="11"/>
  <c r="O32" i="11"/>
  <c r="J23" i="11"/>
  <c r="O44" i="11"/>
  <c r="O33" i="11"/>
  <c r="O38" i="11"/>
  <c r="Q59" i="8"/>
  <c r="Q63" i="8"/>
  <c r="Q55" i="8"/>
  <c r="O23" i="11"/>
  <c r="O14" i="11"/>
  <c r="O37" i="11"/>
  <c r="O43" i="11"/>
  <c r="O42" i="11"/>
  <c r="L31" i="11"/>
  <c r="D31" i="11"/>
  <c r="E39" i="11"/>
  <c r="J33" i="11"/>
  <c r="E10" i="11"/>
  <c r="C30" i="11"/>
  <c r="J38" i="11"/>
  <c r="J42" i="11"/>
  <c r="J40" i="11"/>
  <c r="J13" i="11"/>
  <c r="J37" i="11"/>
  <c r="J14" i="11" s="1"/>
  <c r="E43" i="11"/>
  <c r="E48" i="11"/>
  <c r="E13" i="11"/>
  <c r="E14" i="11"/>
  <c r="J43" i="11"/>
  <c r="E45" i="11"/>
  <c r="J32" i="11"/>
  <c r="M31" i="11"/>
  <c r="L30" i="11"/>
  <c r="D30" i="11"/>
  <c r="F31" i="11"/>
  <c r="N31" i="11"/>
  <c r="E11" i="11"/>
  <c r="M30" i="11"/>
  <c r="J12" i="11"/>
  <c r="G30" i="11"/>
  <c r="E34" i="11"/>
  <c r="E42" i="11"/>
  <c r="H30" i="11"/>
  <c r="E31" i="11" l="1"/>
  <c r="E30" i="11"/>
  <c r="P22" i="5" l="1"/>
  <c r="T23" i="5"/>
  <c r="P18" i="5"/>
  <c r="T19" i="5"/>
  <c r="P26" i="5"/>
  <c r="T27" i="5"/>
  <c r="T42" i="8"/>
  <c r="T36" i="8"/>
  <c r="T30" i="8"/>
  <c r="T24" i="8"/>
  <c r="O33" i="8" l="1"/>
  <c r="O27" i="8"/>
  <c r="O45" i="8"/>
  <c r="O39" i="8"/>
  <c r="O17" i="8"/>
  <c r="T18" i="8" s="1"/>
  <c r="O20" i="8"/>
  <c r="O21" i="8" l="1"/>
  <c r="O47" i="8"/>
  <c r="O63" i="8" l="1"/>
  <c r="O59" i="8"/>
  <c r="O55" i="8"/>
  <c r="J36" i="10" l="1"/>
  <c r="F40" i="11"/>
  <c r="L22" i="11"/>
  <c r="I22" i="11"/>
  <c r="H22" i="11"/>
  <c r="G22" i="11"/>
  <c r="F22" i="11"/>
  <c r="D22" i="11"/>
  <c r="C22" i="11"/>
  <c r="B22" i="11"/>
  <c r="L27" i="10" l="1"/>
  <c r="F27" i="10"/>
  <c r="D40" i="11"/>
  <c r="C25" i="10"/>
  <c r="L22" i="10"/>
  <c r="I19" i="10"/>
  <c r="G22" i="10"/>
  <c r="G14" i="10"/>
  <c r="E35" i="10"/>
  <c r="F14" i="10"/>
  <c r="F15" i="10" s="1"/>
  <c r="F19" i="10"/>
  <c r="L25" i="10"/>
  <c r="E13" i="10"/>
  <c r="F22" i="10"/>
  <c r="E41" i="10"/>
  <c r="I10" i="10"/>
  <c r="E40" i="10"/>
  <c r="B22" i="10"/>
  <c r="C22" i="10"/>
  <c r="E34" i="10"/>
  <c r="L10" i="10"/>
  <c r="D9" i="10"/>
  <c r="B25" i="10"/>
  <c r="C9" i="10"/>
  <c r="B14" i="10"/>
  <c r="D22" i="10"/>
  <c r="H22" i="10"/>
  <c r="E24" i="10"/>
  <c r="F25" i="10"/>
  <c r="C14" i="10"/>
  <c r="E18" i="10"/>
  <c r="E21" i="10"/>
  <c r="G25" i="10"/>
  <c r="D25" i="10"/>
  <c r="I9" i="10"/>
  <c r="H14" i="10"/>
  <c r="I14" i="10"/>
  <c r="G10" i="10"/>
  <c r="E8" i="10"/>
  <c r="H10" i="10"/>
  <c r="L14" i="10"/>
  <c r="B19" i="10"/>
  <c r="L19" i="10"/>
  <c r="H25" i="10"/>
  <c r="D14" i="10"/>
  <c r="G19" i="10"/>
  <c r="C19" i="10"/>
  <c r="I25" i="10"/>
  <c r="H9" i="10"/>
  <c r="H19" i="10"/>
  <c r="D19" i="10"/>
  <c r="I22" i="10"/>
  <c r="E36" i="10"/>
  <c r="E27" i="10" l="1"/>
  <c r="E22" i="11"/>
  <c r="G9" i="10"/>
  <c r="G15" i="10"/>
  <c r="R23" i="5"/>
  <c r="E40" i="11"/>
  <c r="F29" i="10"/>
  <c r="G29" i="10"/>
  <c r="G9" i="11" s="1"/>
  <c r="E22" i="10"/>
  <c r="B29" i="10"/>
  <c r="B9" i="11" s="1"/>
  <c r="B15" i="10"/>
  <c r="E19" i="10"/>
  <c r="E25" i="10"/>
  <c r="L15" i="10"/>
  <c r="L29" i="10"/>
  <c r="I29" i="10"/>
  <c r="I9" i="11" s="1"/>
  <c r="I15" i="10"/>
  <c r="C29" i="10"/>
  <c r="C9" i="11" s="1"/>
  <c r="C15" i="10"/>
  <c r="D29" i="10"/>
  <c r="D9" i="11" s="1"/>
  <c r="D15" i="10"/>
  <c r="E14" i="10"/>
  <c r="E9" i="10"/>
  <c r="H29" i="10"/>
  <c r="H9" i="11" s="1"/>
  <c r="H15" i="10"/>
  <c r="L9" i="11" l="1"/>
  <c r="L16" i="11" s="1"/>
  <c r="L21" i="11" s="1"/>
  <c r="B16" i="11"/>
  <c r="B21" i="11" s="1"/>
  <c r="G16" i="11"/>
  <c r="G21" i="11" s="1"/>
  <c r="G24" i="11" s="1"/>
  <c r="I16" i="11"/>
  <c r="I21" i="11" s="1"/>
  <c r="I24" i="11" s="1"/>
  <c r="D16" i="11"/>
  <c r="D21" i="11" s="1"/>
  <c r="D24" i="11" s="1"/>
  <c r="F38" i="10"/>
  <c r="F43" i="10" s="1"/>
  <c r="F29" i="11" s="1"/>
  <c r="F49" i="11" s="1"/>
  <c r="F9" i="11"/>
  <c r="H16" i="11"/>
  <c r="H21" i="11" s="1"/>
  <c r="H24" i="11" s="1"/>
  <c r="C16" i="11"/>
  <c r="C21" i="11" s="1"/>
  <c r="C24" i="11" s="1"/>
  <c r="F32" i="10"/>
  <c r="G32" i="10"/>
  <c r="G31" i="10"/>
  <c r="G38" i="10"/>
  <c r="G43" i="10" s="1"/>
  <c r="G29" i="11" s="1"/>
  <c r="G49" i="11" s="1"/>
  <c r="E29" i="10"/>
  <c r="E15" i="10"/>
  <c r="C38" i="10"/>
  <c r="C43" i="10" s="1"/>
  <c r="C29" i="11" s="1"/>
  <c r="C49" i="11" s="1"/>
  <c r="C30" i="10"/>
  <c r="C32" i="10"/>
  <c r="B38" i="10"/>
  <c r="B43" i="10" s="1"/>
  <c r="B29" i="11" s="1"/>
  <c r="B32" i="10"/>
  <c r="D32" i="10"/>
  <c r="D38" i="10"/>
  <c r="D43" i="10" s="1"/>
  <c r="D29" i="11" s="1"/>
  <c r="D49" i="11" s="1"/>
  <c r="D30" i="10"/>
  <c r="I38" i="10"/>
  <c r="I43" i="10" s="1"/>
  <c r="I29" i="11" s="1"/>
  <c r="I49" i="11" s="1"/>
  <c r="I32" i="10"/>
  <c r="I30" i="10"/>
  <c r="I31" i="10"/>
  <c r="L32" i="10"/>
  <c r="L31" i="10"/>
  <c r="L38" i="10"/>
  <c r="L43" i="10" s="1"/>
  <c r="H38" i="10"/>
  <c r="H43" i="10" s="1"/>
  <c r="H29" i="11" s="1"/>
  <c r="H49" i="11" s="1"/>
  <c r="H32" i="10"/>
  <c r="H30" i="10"/>
  <c r="H31" i="10"/>
  <c r="B49" i="11" l="1"/>
  <c r="B52" i="11" s="1"/>
  <c r="B24" i="11"/>
  <c r="E9" i="11"/>
  <c r="L24" i="11"/>
  <c r="L29" i="11"/>
  <c r="L49" i="11" s="1"/>
  <c r="F49" i="10"/>
  <c r="G49" i="10"/>
  <c r="F44" i="10"/>
  <c r="F48" i="10"/>
  <c r="I50" i="11"/>
  <c r="I52" i="11"/>
  <c r="L17" i="11"/>
  <c r="C52" i="11"/>
  <c r="C50" i="11"/>
  <c r="G50" i="11"/>
  <c r="G52" i="11"/>
  <c r="H17" i="11"/>
  <c r="D25" i="11"/>
  <c r="H50" i="11"/>
  <c r="H52" i="11"/>
  <c r="H25" i="11"/>
  <c r="D50" i="11"/>
  <c r="D52" i="11"/>
  <c r="I17" i="11"/>
  <c r="C25" i="11"/>
  <c r="I25" i="11"/>
  <c r="G17" i="11"/>
  <c r="D17" i="11"/>
  <c r="C17" i="11"/>
  <c r="F16" i="11"/>
  <c r="F21" i="11" s="1"/>
  <c r="F24" i="11" s="1"/>
  <c r="G25" i="11"/>
  <c r="F50" i="11"/>
  <c r="F52" i="11"/>
  <c r="B17" i="11"/>
  <c r="G44" i="10"/>
  <c r="G48" i="10"/>
  <c r="B48" i="10"/>
  <c r="B44" i="10"/>
  <c r="B49" i="10"/>
  <c r="E38" i="10"/>
  <c r="E32" i="10"/>
  <c r="E30" i="10"/>
  <c r="G30" i="10"/>
  <c r="H48" i="10"/>
  <c r="H44" i="10"/>
  <c r="H45" i="10"/>
  <c r="H46" i="10"/>
  <c r="H49" i="10"/>
  <c r="I48" i="10"/>
  <c r="I44" i="10"/>
  <c r="I45" i="10"/>
  <c r="I46" i="10"/>
  <c r="I49" i="10"/>
  <c r="C45" i="10"/>
  <c r="C44" i="10"/>
  <c r="C49" i="10"/>
  <c r="C48" i="10"/>
  <c r="L49" i="10"/>
  <c r="L46" i="10"/>
  <c r="L44" i="10"/>
  <c r="L48" i="10"/>
  <c r="D49" i="10"/>
  <c r="D48" i="10"/>
  <c r="D44" i="10"/>
  <c r="D45" i="10"/>
  <c r="G46" i="10"/>
  <c r="B50" i="11" l="1"/>
  <c r="E16" i="11"/>
  <c r="D26" i="11"/>
  <c r="D18" i="11"/>
  <c r="C18" i="11"/>
  <c r="G19" i="11"/>
  <c r="I18" i="11"/>
  <c r="I19" i="11"/>
  <c r="H27" i="11"/>
  <c r="H26" i="11"/>
  <c r="I26" i="11"/>
  <c r="I27" i="11"/>
  <c r="H18" i="11"/>
  <c r="H19" i="11"/>
  <c r="L19" i="11"/>
  <c r="L25" i="11"/>
  <c r="B25" i="11"/>
  <c r="G27" i="11" s="1"/>
  <c r="E43" i="10"/>
  <c r="L52" i="11"/>
  <c r="L50" i="11"/>
  <c r="F17" i="11"/>
  <c r="F25" i="11"/>
  <c r="E17" i="11" l="1"/>
  <c r="G18" i="11" s="1"/>
  <c r="E21" i="11"/>
  <c r="E45" i="10"/>
  <c r="C26" i="11"/>
  <c r="L27" i="11"/>
  <c r="E48" i="10"/>
  <c r="E49" i="10"/>
  <c r="G45" i="10"/>
  <c r="E44" i="10"/>
  <c r="E29" i="11"/>
  <c r="E18" i="11" l="1"/>
  <c r="E24" i="11"/>
  <c r="E49" i="11"/>
  <c r="O64" i="8"/>
  <c r="S65" i="8"/>
  <c r="O56" i="8"/>
  <c r="S57" i="8"/>
  <c r="O60" i="8"/>
  <c r="S61" i="8"/>
  <c r="E50" i="11" l="1"/>
  <c r="E25" i="11"/>
  <c r="E52" i="11"/>
  <c r="S24" i="8"/>
  <c r="S36" i="8"/>
  <c r="S30" i="8"/>
  <c r="S42" i="8"/>
  <c r="N33" i="8"/>
  <c r="N39" i="8"/>
  <c r="N27" i="8"/>
  <c r="N45" i="8"/>
  <c r="N17" i="8"/>
  <c r="N20" i="8"/>
  <c r="G26" i="11" l="1"/>
  <c r="E26" i="11"/>
  <c r="S18" i="8"/>
  <c r="N47" i="8"/>
  <c r="N21" i="8"/>
  <c r="N63" i="8" l="1"/>
  <c r="N55" i="8"/>
  <c r="N59" i="8"/>
  <c r="O26" i="5" l="1"/>
  <c r="S27" i="5"/>
  <c r="O22" i="5"/>
  <c r="S23" i="5"/>
  <c r="O18" i="5" l="1"/>
  <c r="S19" i="5"/>
  <c r="N56" i="8" l="1"/>
  <c r="R57" i="8"/>
  <c r="N60" i="8"/>
  <c r="R61" i="8"/>
  <c r="N64" i="8"/>
  <c r="R65" i="8"/>
  <c r="N22" i="5" l="1"/>
  <c r="R19" i="5" l="1"/>
  <c r="R27" i="5"/>
  <c r="N18" i="5"/>
  <c r="N26" i="5"/>
  <c r="Q65" i="8" l="1"/>
  <c r="Q61" i="8"/>
  <c r="Q57" i="8"/>
  <c r="M60" i="8" l="1"/>
  <c r="P61" i="8"/>
  <c r="M56" i="8"/>
  <c r="P57" i="8"/>
  <c r="M64" i="8"/>
  <c r="P65" i="8"/>
  <c r="L6" i="5" l="1"/>
  <c r="Q42" i="8" l="1"/>
  <c r="Q36" i="8"/>
  <c r="Q30" i="8"/>
  <c r="Q24" i="8"/>
  <c r="Q27" i="5"/>
  <c r="Q23" i="5"/>
  <c r="Q19" i="5"/>
  <c r="P23" i="5"/>
  <c r="M26" i="5" l="1"/>
  <c r="P27" i="5"/>
  <c r="M18" i="5"/>
  <c r="P19" i="5"/>
  <c r="M22" i="5"/>
  <c r="L45" i="8" l="1"/>
  <c r="L39" i="8"/>
  <c r="L33" i="8"/>
  <c r="L27" i="8"/>
  <c r="L17" i="8"/>
  <c r="Q18" i="8" s="1"/>
  <c r="L47" i="8" l="1"/>
  <c r="L55" i="8" s="1"/>
  <c r="L59" i="8" l="1"/>
  <c r="L63" i="8"/>
  <c r="K56" i="8" l="1"/>
  <c r="O57" i="8"/>
  <c r="K60" i="8"/>
  <c r="O61" i="8"/>
  <c r="K64" i="8"/>
  <c r="O65" i="8"/>
  <c r="O27" i="5" l="1"/>
  <c r="O19" i="5"/>
  <c r="K22" i="5" l="1"/>
  <c r="O23" i="5"/>
  <c r="K18" i="5"/>
  <c r="K26" i="5"/>
  <c r="N57" i="8" l="1"/>
  <c r="N61" i="8"/>
  <c r="N65" i="8"/>
  <c r="J56" i="8"/>
  <c r="J60" i="8"/>
  <c r="J64" i="8"/>
  <c r="J18" i="5" l="1"/>
  <c r="N19" i="5"/>
  <c r="J22" i="5"/>
  <c r="N23" i="5"/>
  <c r="J26" i="5"/>
  <c r="N27" i="5"/>
  <c r="M57" i="8" l="1"/>
  <c r="M61" i="8"/>
  <c r="M65" i="8"/>
  <c r="I64" i="8"/>
  <c r="I60" i="8"/>
  <c r="I56" i="8"/>
  <c r="I26" i="5" l="1"/>
  <c r="M27" i="5"/>
  <c r="I18" i="5"/>
  <c r="M19" i="5"/>
  <c r="I22" i="5"/>
  <c r="M23" i="5"/>
  <c r="L65" i="8" l="1"/>
  <c r="L61" i="8"/>
  <c r="L57" i="8"/>
  <c r="H64" i="8" l="1"/>
  <c r="K65" i="8"/>
  <c r="H56" i="8"/>
  <c r="K57" i="8"/>
  <c r="H60" i="8"/>
  <c r="K61" i="8"/>
  <c r="L19" i="5" l="1"/>
  <c r="L23" i="5"/>
  <c r="L27" i="5"/>
  <c r="H18" i="5" l="1"/>
  <c r="K19" i="5"/>
  <c r="H22" i="5"/>
  <c r="K23" i="5"/>
  <c r="H26" i="5"/>
  <c r="K27" i="5"/>
  <c r="G6" i="5"/>
  <c r="J65" i="8" l="1"/>
  <c r="J57" i="8"/>
  <c r="J61" i="8"/>
  <c r="F56" i="8"/>
  <c r="F60" i="8"/>
  <c r="F64" i="8"/>
  <c r="J19" i="5" l="1"/>
  <c r="J23" i="5"/>
  <c r="J27" i="5"/>
  <c r="E39" i="8" l="1"/>
  <c r="E20" i="8"/>
  <c r="E27" i="8"/>
  <c r="E45" i="8" l="1"/>
  <c r="E33" i="8"/>
  <c r="E17" i="8"/>
  <c r="E47" i="8" l="1"/>
  <c r="E21" i="8"/>
  <c r="E63" i="8" l="1"/>
  <c r="E59" i="8"/>
  <c r="E55" i="8"/>
  <c r="E56" i="8" l="1"/>
  <c r="I57" i="8"/>
  <c r="E60" i="8"/>
  <c r="I61" i="8"/>
  <c r="E64" i="8"/>
  <c r="I65" i="8"/>
  <c r="D27" i="8" l="1"/>
  <c r="D39" i="8"/>
  <c r="D45" i="8"/>
  <c r="D33" i="8"/>
  <c r="D20" i="8"/>
  <c r="D17" i="8"/>
  <c r="D47" i="8" l="1"/>
  <c r="D21" i="8"/>
  <c r="D59" i="8" l="1"/>
  <c r="D55" i="8"/>
  <c r="D63" i="8"/>
  <c r="I27" i="5" l="1"/>
  <c r="I23" i="5"/>
  <c r="I19" i="5"/>
  <c r="D60" i="8" l="1"/>
  <c r="H61" i="8"/>
  <c r="D56" i="8"/>
  <c r="H57" i="8"/>
  <c r="D64" i="8"/>
  <c r="H65" i="8"/>
  <c r="H19" i="5" l="1"/>
  <c r="H23" i="5"/>
  <c r="H27" i="5"/>
  <c r="C45" i="8" l="1"/>
  <c r="C39" i="8"/>
  <c r="C33" i="8"/>
  <c r="C27" i="8"/>
  <c r="C20" i="8"/>
  <c r="C47" i="8" l="1"/>
  <c r="C21" i="8"/>
  <c r="C63" i="8" l="1"/>
  <c r="C55" i="8"/>
  <c r="C59" i="8"/>
  <c r="O42" i="8" l="1"/>
  <c r="O36" i="8"/>
  <c r="O30" i="8"/>
  <c r="O24" i="8"/>
  <c r="J30" i="8" l="1"/>
  <c r="J36" i="8"/>
  <c r="J24" i="8"/>
  <c r="J17" i="8"/>
  <c r="J42" i="8"/>
  <c r="O18" i="8" l="1"/>
  <c r="J18" i="8"/>
  <c r="J47" i="8"/>
  <c r="J55" i="8" l="1"/>
  <c r="J63" i="8"/>
  <c r="J59" i="8"/>
  <c r="J39" i="8" l="1"/>
  <c r="J33" i="8"/>
  <c r="J45" i="8"/>
  <c r="J27" i="8" l="1"/>
  <c r="J20" i="8"/>
  <c r="J21" i="8" l="1"/>
  <c r="H17" i="8" l="1"/>
  <c r="H24" i="8"/>
  <c r="H30" i="8"/>
  <c r="H36" i="8"/>
  <c r="H42" i="8"/>
  <c r="H47" i="8" l="1"/>
  <c r="H18" i="8"/>
  <c r="H63" i="8" l="1"/>
  <c r="H59" i="8"/>
  <c r="H55" i="8"/>
  <c r="H45" i="8" l="1"/>
  <c r="H33" i="8" l="1"/>
  <c r="H39" i="8" l="1"/>
  <c r="H20" i="8" l="1"/>
  <c r="H27" i="8"/>
  <c r="H21" i="8" l="1"/>
  <c r="N42" i="8" l="1"/>
  <c r="K41" i="8"/>
  <c r="I42" i="8"/>
  <c r="N24" i="8" l="1"/>
  <c r="N36" i="8"/>
  <c r="N30" i="8"/>
  <c r="K23" i="8"/>
  <c r="K29" i="8"/>
  <c r="K35" i="8"/>
  <c r="I17" i="8"/>
  <c r="I24" i="8"/>
  <c r="I30" i="8"/>
  <c r="I36" i="8"/>
  <c r="N18" i="8" l="1"/>
  <c r="K17" i="8"/>
  <c r="I47" i="8"/>
  <c r="I18" i="8"/>
  <c r="K47" i="8" l="1"/>
  <c r="I59" i="8"/>
  <c r="I63" i="8"/>
  <c r="I55" i="8"/>
  <c r="K55" i="8" l="1"/>
  <c r="K63" i="8"/>
  <c r="K59" i="8"/>
  <c r="K32" i="8" l="1"/>
  <c r="K44" i="8"/>
  <c r="I33" i="8"/>
  <c r="I39" i="8"/>
  <c r="I45" i="8"/>
  <c r="K45" i="8" l="1"/>
  <c r="K33" i="8"/>
  <c r="K26" i="8" l="1"/>
  <c r="I27" i="8"/>
  <c r="I20" i="8"/>
  <c r="K27" i="8" l="1"/>
  <c r="I21" i="8"/>
  <c r="L20" i="8" l="1"/>
  <c r="K38" i="8"/>
  <c r="K20" i="8" l="1"/>
  <c r="L21" i="8"/>
  <c r="K39" i="8"/>
  <c r="K21" i="8" l="1"/>
  <c r="L42" i="8" l="1"/>
  <c r="F41" i="8"/>
  <c r="K42" i="8" l="1"/>
  <c r="L30" i="8" l="1"/>
  <c r="F29" i="8"/>
  <c r="L24" i="8"/>
  <c r="G17" i="8"/>
  <c r="F23" i="8"/>
  <c r="L36" i="8"/>
  <c r="F35" i="8"/>
  <c r="G45" i="8"/>
  <c r="F44" i="8"/>
  <c r="K36" i="8" l="1"/>
  <c r="F17" i="8"/>
  <c r="K24" i="8"/>
  <c r="K30" i="8"/>
  <c r="G39" i="8"/>
  <c r="F38" i="8"/>
  <c r="L18" i="8"/>
  <c r="G47" i="8"/>
  <c r="F45" i="8"/>
  <c r="G20" i="8" l="1"/>
  <c r="G59" i="8"/>
  <c r="G55" i="8"/>
  <c r="G63" i="8"/>
  <c r="F39" i="8"/>
  <c r="F26" i="8"/>
  <c r="G27" i="8"/>
  <c r="K18" i="8"/>
  <c r="F47" i="8"/>
  <c r="F27" i="8" l="1"/>
  <c r="F59" i="8"/>
  <c r="F63" i="8"/>
  <c r="F55" i="8"/>
  <c r="F32" i="8"/>
  <c r="G33" i="8"/>
  <c r="G21" i="8"/>
  <c r="F20" i="8" l="1"/>
  <c r="F33" i="8"/>
  <c r="F21" i="8" l="1"/>
  <c r="R30" i="8" l="1"/>
  <c r="R36" i="8"/>
  <c r="R42" i="8"/>
  <c r="P29" i="8"/>
  <c r="P35" i="8"/>
  <c r="P41" i="8"/>
  <c r="U42" i="8" s="1"/>
  <c r="M30" i="8"/>
  <c r="M36" i="8"/>
  <c r="M42" i="8"/>
  <c r="R24" i="8" l="1"/>
  <c r="U36" i="8"/>
  <c r="U30" i="8"/>
  <c r="P36" i="8"/>
  <c r="P30" i="8"/>
  <c r="P42" i="8"/>
  <c r="P23" i="8"/>
  <c r="M17" i="8"/>
  <c r="M24" i="8"/>
  <c r="U24" i="8" l="1"/>
  <c r="R18" i="8"/>
  <c r="P17" i="8"/>
  <c r="P24" i="8"/>
  <c r="M47" i="8"/>
  <c r="M18" i="8"/>
  <c r="U18" i="8" l="1"/>
  <c r="P18" i="8"/>
  <c r="P47" i="8"/>
  <c r="M63" i="8"/>
  <c r="M59" i="8"/>
  <c r="M55" i="8"/>
  <c r="P59" i="8" l="1"/>
  <c r="P63" i="8"/>
  <c r="P55" i="8"/>
  <c r="P38" i="8" l="1"/>
  <c r="P44" i="8"/>
  <c r="M39" i="8"/>
  <c r="M45" i="8"/>
  <c r="P45" i="8" l="1"/>
  <c r="P39" i="8"/>
  <c r="P32" i="8"/>
  <c r="M33" i="8"/>
  <c r="P33" i="8" l="1"/>
  <c r="P26" i="8"/>
  <c r="M27" i="8"/>
  <c r="M20" i="8"/>
  <c r="P27" i="8" l="1"/>
  <c r="P20" i="8"/>
  <c r="M21" i="8"/>
  <c r="P21" i="8" l="1"/>
  <c r="M27" i="10" l="1"/>
  <c r="M22" i="11"/>
  <c r="M22" i="10"/>
  <c r="M10" i="10"/>
  <c r="M25" i="10"/>
  <c r="M14" i="10"/>
  <c r="M9" i="10"/>
  <c r="M19" i="10"/>
  <c r="M29" i="10" l="1"/>
  <c r="M15" i="10"/>
  <c r="M38" i="10" l="1"/>
  <c r="M32" i="10"/>
  <c r="M31" i="10"/>
  <c r="M30" i="10"/>
  <c r="M9" i="11"/>
  <c r="M16" i="11" l="1"/>
  <c r="M43" i="10"/>
  <c r="M45" i="10" s="1"/>
  <c r="M21" i="11" l="1"/>
  <c r="M24" i="11" s="1"/>
  <c r="M17" i="11"/>
  <c r="M49" i="10"/>
  <c r="M29" i="11"/>
  <c r="M49" i="11" s="1"/>
  <c r="M50" i="11" s="1"/>
  <c r="M46" i="10"/>
  <c r="M44" i="10"/>
  <c r="M48" i="10"/>
  <c r="M19" i="11" l="1"/>
  <c r="M18" i="11"/>
  <c r="M25" i="11"/>
  <c r="M52" i="11"/>
  <c r="M27" i="11" l="1"/>
  <c r="M26" i="11"/>
  <c r="N22" i="11" l="1"/>
  <c r="N25" i="10"/>
  <c r="N10" i="10"/>
  <c r="N9" i="10"/>
  <c r="N14" i="10" l="1"/>
  <c r="N22" i="10"/>
  <c r="N27" i="10"/>
  <c r="N15" i="10" l="1"/>
  <c r="N19" i="10"/>
  <c r="N29" i="10" l="1"/>
  <c r="N31" i="10" l="1"/>
  <c r="N30" i="10"/>
  <c r="N38" i="10"/>
  <c r="N9" i="11"/>
  <c r="N32" i="10"/>
  <c r="N43" i="10" l="1"/>
  <c r="N16" i="11"/>
  <c r="N21" i="11" s="1"/>
  <c r="N44" i="10" l="1"/>
  <c r="N45" i="10"/>
  <c r="N46" i="10"/>
  <c r="N48" i="10"/>
  <c r="N49" i="10"/>
  <c r="N17" i="11"/>
  <c r="N24" i="11"/>
  <c r="N29" i="11"/>
  <c r="N18" i="11" l="1"/>
  <c r="N19" i="11"/>
  <c r="N49" i="11"/>
  <c r="N25" i="11"/>
  <c r="N27" i="11" l="1"/>
  <c r="N26" i="11"/>
  <c r="N52" i="11"/>
  <c r="N50" i="11"/>
  <c r="N54" i="11" l="1"/>
  <c r="N53" i="11"/>
  <c r="O34" i="10" l="1"/>
  <c r="O41" i="10" l="1"/>
  <c r="P31" i="11" l="1"/>
  <c r="O10" i="11"/>
  <c r="O31" i="11" l="1"/>
  <c r="P27" i="10" l="1"/>
  <c r="O13" i="10"/>
  <c r="O35" i="10"/>
  <c r="P22" i="10"/>
  <c r="P14" i="10"/>
  <c r="O8" i="10"/>
  <c r="P19" i="10"/>
  <c r="O18" i="10"/>
  <c r="O21" i="10"/>
  <c r="P22" i="11"/>
  <c r="P25" i="10"/>
  <c r="O24" i="10"/>
  <c r="O27" i="10" l="1"/>
  <c r="O22" i="10"/>
  <c r="O25" i="10"/>
  <c r="O19" i="10"/>
  <c r="O9" i="10"/>
  <c r="O14" i="10"/>
  <c r="P15" i="10"/>
  <c r="P29" i="10"/>
  <c r="O22" i="11"/>
  <c r="O15" i="10" l="1"/>
  <c r="P32" i="10"/>
  <c r="P9" i="11"/>
  <c r="P38" i="10"/>
  <c r="O29" i="10"/>
  <c r="O9" i="11" l="1"/>
  <c r="O32" i="10"/>
  <c r="O30" i="10"/>
  <c r="O38" i="10"/>
  <c r="P30" i="11" l="1"/>
  <c r="O11" i="11"/>
  <c r="P16" i="11"/>
  <c r="P21" i="11" s="1"/>
  <c r="O16" i="11" l="1"/>
  <c r="O21" i="11" s="1"/>
  <c r="P17" i="11"/>
  <c r="P24" i="11"/>
  <c r="O30" i="11"/>
  <c r="O24" i="11" l="1"/>
  <c r="O17" i="11"/>
  <c r="P25" i="11"/>
  <c r="O18" i="11" l="1"/>
  <c r="O25" i="11"/>
  <c r="O26" i="11" l="1"/>
  <c r="O40" i="10"/>
  <c r="P43" i="10"/>
  <c r="O43" i="10" l="1"/>
  <c r="P29" i="11"/>
  <c r="P48" i="10"/>
  <c r="P44" i="10"/>
  <c r="P49" i="10"/>
  <c r="O44" i="10" l="1"/>
  <c r="O49" i="10"/>
  <c r="O48" i="10"/>
  <c r="O45" i="10"/>
  <c r="O29" i="11"/>
  <c r="P49" i="11"/>
  <c r="O49" i="11" l="1"/>
  <c r="O52" i="11" s="1"/>
  <c r="P52" i="11"/>
  <c r="P50" i="11"/>
  <c r="O50" i="11" l="1"/>
  <c r="O53" i="11"/>
  <c r="Q31" i="11" l="1"/>
  <c r="Q9" i="10" l="1"/>
  <c r="Q14" i="10"/>
  <c r="Q10" i="10"/>
  <c r="Q15" i="10" l="1"/>
  <c r="Q27" i="10" l="1"/>
  <c r="Q25" i="10"/>
  <c r="Q22" i="11"/>
  <c r="Q19" i="10"/>
  <c r="Q22" i="10"/>
  <c r="Q29" i="10" l="1"/>
  <c r="Q9" i="11" l="1"/>
  <c r="Q30" i="10"/>
  <c r="Q38" i="10"/>
  <c r="Q32" i="10"/>
  <c r="Q31" i="10"/>
  <c r="Q43" i="10" l="1"/>
  <c r="Q44" i="10" l="1"/>
  <c r="Q49" i="10"/>
  <c r="Q45" i="10"/>
  <c r="Q46" i="10"/>
  <c r="Q29" i="11"/>
  <c r="Q48" i="10"/>
  <c r="Q30" i="11" l="1"/>
  <c r="Q16" i="11"/>
  <c r="Q21" i="11" l="1"/>
  <c r="Q17" i="11"/>
  <c r="Q49" i="11"/>
  <c r="Q24" i="11" l="1"/>
  <c r="Q19" i="11"/>
  <c r="Q18" i="11"/>
  <c r="Q25" i="11"/>
  <c r="Q50" i="11"/>
  <c r="Q52" i="11"/>
  <c r="Q27" i="11" l="1"/>
  <c r="Q26" i="11"/>
  <c r="Q53" i="11"/>
  <c r="Q54" i="11"/>
  <c r="R31" i="11" l="1"/>
  <c r="R27" i="10" l="1"/>
  <c r="R22" i="10"/>
  <c r="R19" i="10"/>
  <c r="R22" i="11"/>
  <c r="R25" i="10"/>
  <c r="R14" i="10"/>
  <c r="R9" i="10"/>
  <c r="R10" i="10"/>
  <c r="R15" i="10" l="1"/>
  <c r="R29" i="10"/>
  <c r="R30" i="10" l="1"/>
  <c r="R38" i="10"/>
  <c r="R31" i="10"/>
  <c r="R32" i="10"/>
  <c r="R9" i="11"/>
  <c r="R43" i="10" l="1"/>
  <c r="R29" i="11" l="1"/>
  <c r="R46" i="10"/>
  <c r="R45" i="10"/>
  <c r="R49" i="10"/>
  <c r="R44" i="10"/>
  <c r="R48" i="10"/>
  <c r="R30" i="11" l="1"/>
  <c r="R16" i="11"/>
  <c r="R21" i="11" s="1"/>
  <c r="R24" i="11" l="1"/>
  <c r="R17" i="11"/>
  <c r="R49" i="11"/>
  <c r="R19" i="11" l="1"/>
  <c r="R18" i="11"/>
  <c r="R25" i="11"/>
  <c r="R50" i="11"/>
  <c r="R52" i="11"/>
  <c r="R27" i="11" l="1"/>
  <c r="R26" i="11"/>
  <c r="R54" i="11"/>
  <c r="R53" i="11"/>
  <c r="T42" i="11" l="1"/>
  <c r="J41" i="10" l="1"/>
  <c r="J35" i="10"/>
  <c r="J34" i="10"/>
  <c r="J13" i="10"/>
  <c r="K27" i="10" l="1"/>
  <c r="J18" i="10"/>
  <c r="K19" i="10"/>
  <c r="K22" i="10"/>
  <c r="J21" i="10"/>
  <c r="K10" i="10"/>
  <c r="K14" i="10"/>
  <c r="J8" i="10"/>
  <c r="P10" i="10"/>
  <c r="J24" i="10"/>
  <c r="K25" i="10"/>
  <c r="J27" i="10" l="1"/>
  <c r="J22" i="10"/>
  <c r="K29" i="10"/>
  <c r="K15" i="10"/>
  <c r="J25" i="10"/>
  <c r="L9" i="10"/>
  <c r="J9" i="10"/>
  <c r="J10" i="10"/>
  <c r="J14" i="10"/>
  <c r="O10" i="10"/>
  <c r="J19" i="10"/>
  <c r="J15" i="10" l="1"/>
  <c r="J29" i="10"/>
  <c r="K38" i="10"/>
  <c r="K31" i="10"/>
  <c r="K32" i="10"/>
  <c r="K9" i="11"/>
  <c r="P31" i="10"/>
  <c r="J9" i="11" l="1"/>
  <c r="J31" i="10"/>
  <c r="J38" i="10"/>
  <c r="J32" i="10"/>
  <c r="L30" i="10"/>
  <c r="J30" i="10"/>
  <c r="O31" i="10"/>
  <c r="K31" i="11" l="1"/>
  <c r="J31" i="11" s="1"/>
  <c r="J10" i="11"/>
  <c r="K22" i="11"/>
  <c r="J22" i="11" s="1"/>
  <c r="K30" i="11" l="1"/>
  <c r="J30" i="11" s="1"/>
  <c r="J11" i="11"/>
  <c r="K16" i="11"/>
  <c r="K21" i="11" s="1"/>
  <c r="J16" i="11" l="1"/>
  <c r="K24" i="11"/>
  <c r="K17" i="11"/>
  <c r="J21" i="11" l="1"/>
  <c r="K19" i="11"/>
  <c r="P19" i="11"/>
  <c r="K25" i="11"/>
  <c r="J24" i="11"/>
  <c r="J17" i="11"/>
  <c r="K27" i="11" l="1"/>
  <c r="P27" i="11"/>
  <c r="J18" i="11"/>
  <c r="J19" i="11"/>
  <c r="L18" i="11"/>
  <c r="O19" i="11"/>
  <c r="J25" i="11"/>
  <c r="J27" i="11" l="1"/>
  <c r="J26" i="11"/>
  <c r="L26" i="11"/>
  <c r="O27" i="11"/>
  <c r="J40" i="10" l="1"/>
  <c r="K43" i="10"/>
  <c r="K48" i="10" l="1"/>
  <c r="K29" i="11"/>
  <c r="K49" i="11" s="1"/>
  <c r="K44" i="10"/>
  <c r="K49" i="10"/>
  <c r="K46" i="10"/>
  <c r="P46" i="10"/>
  <c r="J43" i="10"/>
  <c r="J49" i="10" l="1"/>
  <c r="L45" i="10"/>
  <c r="J48" i="10"/>
  <c r="J45" i="10"/>
  <c r="J29" i="11"/>
  <c r="J44" i="10"/>
  <c r="J46" i="10"/>
  <c r="O46" i="10"/>
  <c r="K52" i="11"/>
  <c r="P54" i="11" s="1"/>
  <c r="K50" i="11"/>
  <c r="J49" i="11" l="1"/>
  <c r="J50" i="11" l="1"/>
  <c r="J52" i="11"/>
  <c r="O54" i="11" l="1"/>
  <c r="T14" i="14" l="1"/>
  <c r="T18" i="14"/>
  <c r="T26" i="14"/>
  <c r="T30" i="14"/>
  <c r="T28" i="14"/>
  <c r="T25" i="14"/>
  <c r="T21" i="14"/>
  <c r="P34" i="13" l="1"/>
  <c r="P40" i="13" s="1"/>
  <c r="P51" i="13" s="1"/>
  <c r="N34" i="13"/>
  <c r="N40" i="13" s="1"/>
  <c r="N51" i="13" s="1"/>
  <c r="M34" i="13"/>
  <c r="M40" i="13" s="1"/>
  <c r="M51" i="13" s="1"/>
  <c r="K34" i="13"/>
  <c r="K40" i="13" s="1"/>
  <c r="K51" i="13" s="1"/>
  <c r="J34" i="13"/>
  <c r="J40" i="13" s="1"/>
  <c r="J51" i="13" s="1"/>
  <c r="H34" i="13"/>
  <c r="H40" i="13" s="1"/>
  <c r="H51" i="13" s="1"/>
  <c r="F34" i="13"/>
  <c r="F40" i="13" s="1"/>
  <c r="F51" i="13" s="1"/>
  <c r="E34" i="13"/>
  <c r="E40" i="13" s="1"/>
  <c r="E51" i="13" s="1"/>
  <c r="G34" i="13" l="1"/>
  <c r="G40" i="13" s="1"/>
  <c r="G51" i="13" s="1"/>
  <c r="O34" i="13"/>
  <c r="O40" i="13" s="1"/>
  <c r="O51" i="13" s="1"/>
  <c r="I34" i="13"/>
  <c r="I40" i="13" s="1"/>
  <c r="I51" i="13" s="1"/>
  <c r="D34" i="13"/>
  <c r="D40" i="13" s="1"/>
  <c r="D51" i="13" s="1"/>
  <c r="L34" i="13"/>
  <c r="L40" i="13" s="1"/>
  <c r="L51" i="13" s="1"/>
  <c r="C34" i="13" l="1"/>
  <c r="C40" i="13" l="1"/>
  <c r="C51" i="13" l="1"/>
  <c r="T11" i="14" l="1"/>
  <c r="Q13" i="13" l="1"/>
  <c r="Q24" i="13" l="1"/>
  <c r="Q34" i="13" l="1"/>
  <c r="Q40" i="13" l="1"/>
  <c r="Q49" i="13" l="1"/>
  <c r="Q51" i="13" s="1"/>
  <c r="T38" i="14" l="1"/>
  <c r="S53" i="14" l="1"/>
  <c r="S19" i="10" l="1"/>
  <c r="S10" i="10"/>
  <c r="S27" i="10"/>
  <c r="S9" i="10"/>
  <c r="S25" i="10"/>
  <c r="S22" i="10"/>
  <c r="S14" i="10"/>
  <c r="S15" i="10" l="1"/>
  <c r="S29" i="10"/>
  <c r="S9" i="11" l="1"/>
  <c r="S31" i="10"/>
  <c r="S32" i="10"/>
  <c r="S30" i="10"/>
  <c r="S30" i="11" l="1"/>
  <c r="S31" i="11" l="1"/>
  <c r="S16" i="11"/>
  <c r="S22" i="11"/>
  <c r="S21" i="11" l="1"/>
  <c r="S24" i="11" s="1"/>
  <c r="S17" i="11"/>
  <c r="S18" i="11" l="1"/>
  <c r="S19" i="11"/>
  <c r="S25" i="11"/>
  <c r="S27" i="11" l="1"/>
  <c r="S26" i="11"/>
  <c r="S38" i="10" l="1"/>
  <c r="S43" i="10" l="1"/>
  <c r="S48" i="10" s="1"/>
  <c r="S46" i="10"/>
  <c r="S29" i="11"/>
  <c r="S49" i="10"/>
  <c r="S45" i="10"/>
  <c r="S44" i="10"/>
  <c r="S49" i="11" l="1"/>
  <c r="S52" i="11" l="1"/>
  <c r="S50" i="11"/>
  <c r="S53" i="11" l="1"/>
  <c r="S54" i="11"/>
  <c r="S42" i="14" l="1"/>
  <c r="S33" i="14" l="1"/>
  <c r="S57" i="14" l="1"/>
  <c r="S59" i="14" s="1"/>
  <c r="T58" i="14" l="1"/>
  <c r="V31" i="11" l="1"/>
  <c r="V22" i="11" l="1"/>
  <c r="V14" i="10"/>
  <c r="V15" i="10" s="1"/>
  <c r="V10" i="10"/>
  <c r="V22" i="10"/>
  <c r="V27" i="10"/>
  <c r="V25" i="10"/>
  <c r="V19" i="10"/>
  <c r="V29" i="10" l="1"/>
  <c r="V32" i="10" s="1"/>
  <c r="V31" i="10" l="1"/>
  <c r="V9" i="11"/>
  <c r="V16" i="11" s="1"/>
  <c r="V38" i="10"/>
  <c r="V43" i="10" s="1"/>
  <c r="S13" i="13" l="1"/>
  <c r="V44" i="10"/>
  <c r="V46" i="10"/>
  <c r="V48" i="10"/>
  <c r="V49" i="10"/>
  <c r="V29" i="11"/>
  <c r="V21" i="11"/>
  <c r="V17" i="11"/>
  <c r="S24" i="13" l="1"/>
  <c r="V49" i="11"/>
  <c r="V24" i="11"/>
  <c r="V19" i="11"/>
  <c r="V25" i="11" l="1"/>
  <c r="V50" i="11"/>
  <c r="V52" i="11"/>
  <c r="V54" i="11" l="1"/>
  <c r="V27" i="11"/>
  <c r="V53" i="14" l="1"/>
  <c r="V33" i="14" l="1"/>
  <c r="V42" i="14" l="1"/>
  <c r="V57" i="14" l="1"/>
  <c r="S49" i="13" l="1"/>
  <c r="S34" i="13" l="1"/>
  <c r="S40" i="13" s="1"/>
  <c r="S51" i="13" l="1"/>
  <c r="S9" i="16" l="1"/>
  <c r="S67" i="16"/>
  <c r="S69" i="16"/>
  <c r="S60" i="16"/>
  <c r="S62" i="16"/>
  <c r="S72" i="16"/>
  <c r="S53" i="16"/>
  <c r="S55" i="16"/>
  <c r="S18" i="16"/>
  <c r="S14" i="16"/>
  <c r="S52" i="16" l="1"/>
  <c r="S66" i="16"/>
  <c r="S59" i="16"/>
  <c r="W42" i="14" l="1"/>
  <c r="W31" i="11" l="1"/>
  <c r="W30" i="11" l="1"/>
  <c r="W22" i="10" l="1"/>
  <c r="W19" i="10"/>
  <c r="W27" i="10"/>
  <c r="W14" i="10"/>
  <c r="W10" i="10"/>
  <c r="W9" i="10"/>
  <c r="W22" i="11"/>
  <c r="W25" i="10"/>
  <c r="W15" i="10" l="1"/>
  <c r="W29" i="10"/>
  <c r="W30" i="10" l="1"/>
  <c r="W9" i="11"/>
  <c r="W32" i="10"/>
  <c r="W31" i="10"/>
  <c r="W16" i="11" l="1"/>
  <c r="W21" i="11" l="1"/>
  <c r="W17" i="11"/>
  <c r="W24" i="11" l="1"/>
  <c r="W19" i="11"/>
  <c r="W18" i="11"/>
  <c r="W25" i="11" l="1"/>
  <c r="W27" i="11" l="1"/>
  <c r="W26" i="11"/>
  <c r="W53" i="14" l="1"/>
  <c r="W38" i="10" l="1"/>
  <c r="T34" i="13" l="1"/>
  <c r="T40" i="13" l="1"/>
  <c r="W43" i="10" l="1"/>
  <c r="T13" i="13" l="1"/>
  <c r="W45" i="10"/>
  <c r="W29" i="11"/>
  <c r="W44" i="10"/>
  <c r="W48" i="10"/>
  <c r="W46" i="10"/>
  <c r="W49" i="10"/>
  <c r="W33" i="14" l="1"/>
  <c r="W57" i="14" s="1"/>
  <c r="W49" i="11"/>
  <c r="W50" i="11" s="1"/>
  <c r="T24" i="13"/>
  <c r="W52" i="11" l="1"/>
  <c r="W54" i="11" l="1"/>
  <c r="W53" i="11"/>
  <c r="T49" i="13" l="1"/>
  <c r="T51" i="13" l="1"/>
  <c r="T41" i="10" l="1"/>
  <c r="T13" i="10" l="1"/>
  <c r="U31" i="11" l="1"/>
  <c r="T31" i="11" s="1"/>
  <c r="T10" i="11"/>
  <c r="T12" i="14"/>
  <c r="T51" i="14" l="1"/>
  <c r="T52" i="14" l="1"/>
  <c r="T48" i="14"/>
  <c r="T49" i="14"/>
  <c r="T47" i="14"/>
  <c r="T46" i="14"/>
  <c r="T37" i="14"/>
  <c r="T32" i="14"/>
  <c r="T31" i="14"/>
  <c r="T27" i="14"/>
  <c r="T24" i="14"/>
  <c r="U53" i="14" l="1"/>
  <c r="T45" i="14"/>
  <c r="T36" i="14"/>
  <c r="T16" i="14"/>
  <c r="T20" i="14"/>
  <c r="T10" i="14"/>
  <c r="T17" i="14"/>
  <c r="T53" i="14" l="1"/>
  <c r="U14" i="10" l="1"/>
  <c r="U10" i="10"/>
  <c r="T8" i="10"/>
  <c r="T40" i="10"/>
  <c r="T35" i="10"/>
  <c r="T34" i="10"/>
  <c r="T14" i="10" l="1"/>
  <c r="T9" i="10"/>
  <c r="T10" i="10"/>
  <c r="V9" i="10"/>
  <c r="U15" i="10"/>
  <c r="T15" i="10" l="1"/>
  <c r="R34" i="13" l="1"/>
  <c r="R49" i="13"/>
  <c r="R13" i="13"/>
  <c r="U27" i="10"/>
  <c r="U29" i="10" s="1"/>
  <c r="U19" i="10"/>
  <c r="T18" i="10"/>
  <c r="U22" i="10"/>
  <c r="T21" i="10"/>
  <c r="U22" i="11"/>
  <c r="U25" i="10"/>
  <c r="T24" i="10"/>
  <c r="R24" i="13" l="1"/>
  <c r="T27" i="10"/>
  <c r="T19" i="10"/>
  <c r="T25" i="10"/>
  <c r="T22" i="11"/>
  <c r="U9" i="11"/>
  <c r="U31" i="10"/>
  <c r="U38" i="10"/>
  <c r="U43" i="10" s="1"/>
  <c r="U32" i="10"/>
  <c r="T22" i="10"/>
  <c r="R40" i="13"/>
  <c r="T29" i="10" l="1"/>
  <c r="R51" i="13"/>
  <c r="U49" i="10"/>
  <c r="U29" i="11"/>
  <c r="U44" i="10"/>
  <c r="U46" i="10"/>
  <c r="U48" i="10"/>
  <c r="T31" i="10" l="1"/>
  <c r="T32" i="10"/>
  <c r="T30" i="10"/>
  <c r="T9" i="11"/>
  <c r="T38" i="10"/>
  <c r="V30" i="10"/>
  <c r="T43" i="10" l="1"/>
  <c r="T29" i="11" l="1"/>
  <c r="T49" i="10"/>
  <c r="T48" i="10"/>
  <c r="T44" i="10"/>
  <c r="T45" i="10"/>
  <c r="T46" i="10"/>
  <c r="V45" i="10"/>
  <c r="U30" i="11" l="1"/>
  <c r="T11" i="11"/>
  <c r="U16" i="11"/>
  <c r="U21" i="11" l="1"/>
  <c r="U24" i="11" s="1"/>
  <c r="U25" i="11" s="1"/>
  <c r="U27" i="11" s="1"/>
  <c r="U17" i="11"/>
  <c r="U19" i="11" s="1"/>
  <c r="T16" i="11"/>
  <c r="T30" i="11"/>
  <c r="U49" i="11"/>
  <c r="T49" i="11" l="1"/>
  <c r="U50" i="11"/>
  <c r="U52" i="11"/>
  <c r="U54" i="11" s="1"/>
  <c r="T17" i="11"/>
  <c r="T21" i="11"/>
  <c r="T24" i="11" l="1"/>
  <c r="T19" i="11"/>
  <c r="T18" i="11"/>
  <c r="V18" i="11"/>
  <c r="T52" i="11"/>
  <c r="T50" i="11"/>
  <c r="T54" i="11" l="1"/>
  <c r="T53" i="11"/>
  <c r="V53" i="11"/>
  <c r="T25" i="11"/>
  <c r="T27" i="11" l="1"/>
  <c r="T26" i="11"/>
  <c r="V26" i="11"/>
  <c r="T8" i="14" l="1"/>
  <c r="T15" i="14" l="1"/>
  <c r="T55" i="14"/>
  <c r="T39" i="14" l="1"/>
  <c r="T29" i="14" l="1"/>
  <c r="U33" i="14"/>
  <c r="T33" i="14" l="1"/>
  <c r="T41" i="14" l="1"/>
  <c r="T40" i="14" l="1"/>
  <c r="U42" i="14"/>
  <c r="U57" i="14" s="1"/>
  <c r="U59" i="14" s="1"/>
  <c r="T42" i="14" l="1"/>
  <c r="T57" i="14" l="1"/>
  <c r="T59" i="14" l="1"/>
  <c r="V58" i="14" l="1"/>
  <c r="V59" i="14" s="1"/>
  <c r="W58" i="14" l="1"/>
  <c r="W59" i="14" l="1"/>
  <c r="X58" i="14" s="1"/>
  <c r="U13" i="13" l="1"/>
  <c r="U24" i="13" l="1"/>
  <c r="T67" i="16" l="1"/>
  <c r="T69" i="16"/>
  <c r="T9" i="16"/>
  <c r="T14" i="16"/>
  <c r="T60" i="16"/>
  <c r="T62" i="16"/>
  <c r="T72" i="16"/>
  <c r="T52" i="16"/>
  <c r="T53" i="16"/>
  <c r="T55" i="16"/>
  <c r="T59" i="16" l="1"/>
  <c r="T66" i="16"/>
  <c r="T18" i="16"/>
  <c r="X31" i="11" l="1"/>
  <c r="X30" i="11" l="1"/>
  <c r="X22" i="10" l="1"/>
  <c r="X19" i="10"/>
  <c r="X9" i="10"/>
  <c r="X10" i="10"/>
  <c r="X14" i="10"/>
  <c r="X22" i="11" l="1"/>
  <c r="X25" i="10"/>
  <c r="X27" i="10"/>
  <c r="X29" i="10" s="1"/>
  <c r="X15" i="10"/>
  <c r="X32" i="10" l="1"/>
  <c r="X31" i="10"/>
  <c r="X30" i="10"/>
  <c r="X9" i="11"/>
  <c r="X16" i="11" s="1"/>
  <c r="X21" i="11" l="1"/>
  <c r="X24" i="11" s="1"/>
  <c r="X25" i="11" s="1"/>
  <c r="X17" i="11"/>
  <c r="X19" i="11" l="1"/>
  <c r="X18" i="11"/>
  <c r="X27" i="11"/>
  <c r="X26" i="11"/>
  <c r="X38" i="10" l="1"/>
  <c r="X43" i="10" l="1"/>
  <c r="X29" i="11" l="1"/>
  <c r="X44" i="10"/>
  <c r="X46" i="10"/>
  <c r="X49" i="10"/>
  <c r="X48" i="10"/>
  <c r="X45" i="10"/>
  <c r="X49" i="11" l="1"/>
  <c r="X50" i="11" l="1"/>
  <c r="X52" i="11"/>
  <c r="X53" i="11" l="1"/>
  <c r="X54" i="11"/>
  <c r="X53" i="14" l="1"/>
  <c r="X42" i="14" l="1"/>
  <c r="X33" i="14" l="1"/>
  <c r="X57" i="14" l="1"/>
  <c r="X59" i="14" s="1"/>
  <c r="U49" i="13" l="1"/>
  <c r="U34" i="13" l="1"/>
  <c r="U40" i="13" l="1"/>
  <c r="U51" i="13" l="1"/>
</calcChain>
</file>

<file path=xl/sharedStrings.xml><?xml version="1.0" encoding="utf-8"?>
<sst xmlns="http://schemas.openxmlformats.org/spreadsheetml/2006/main" count="559" uniqueCount="230">
  <si>
    <t>Income Statement</t>
  </si>
  <si>
    <t>Balance Sheet</t>
  </si>
  <si>
    <t>Cashflow Statement</t>
  </si>
  <si>
    <t>Revenue and Margin</t>
  </si>
  <si>
    <t>Revenue and Margin (effective 2025)</t>
  </si>
  <si>
    <t>Non-GAAP</t>
  </si>
  <si>
    <t>Other metrics</t>
  </si>
  <si>
    <t>Back</t>
  </si>
  <si>
    <t>($ in thousands, except per share amount)</t>
  </si>
  <si>
    <t>Q1</t>
  </si>
  <si>
    <t>Q2</t>
  </si>
  <si>
    <t>Q3</t>
  </si>
  <si>
    <t>Q4</t>
  </si>
  <si>
    <t>FY</t>
  </si>
  <si>
    <t>Revenue, net</t>
  </si>
  <si>
    <t>Sequential Growth %</t>
  </si>
  <si>
    <t>NA</t>
  </si>
  <si>
    <t>Year-Over-Year Growth %</t>
  </si>
  <si>
    <t>Year-Over-Year Constant Currency Growth %</t>
  </si>
  <si>
    <r>
      <t xml:space="preserve">Cost of revenue </t>
    </r>
    <r>
      <rPr>
        <vertAlign val="superscript"/>
        <sz val="10"/>
        <rFont val="Arial"/>
        <family val="2"/>
      </rPr>
      <t>(1)</t>
    </r>
  </si>
  <si>
    <r>
      <t xml:space="preserve">Gross profit </t>
    </r>
    <r>
      <rPr>
        <vertAlign val="superscript"/>
        <sz val="10"/>
        <rFont val="Arial"/>
        <family val="2"/>
      </rPr>
      <t>(1)</t>
    </r>
  </si>
  <si>
    <t>Gross Margin %</t>
  </si>
  <si>
    <t>Operating expenses</t>
  </si>
  <si>
    <t>General and administrative expenses</t>
  </si>
  <si>
    <t>% of revenue</t>
  </si>
  <si>
    <t>Selling and marketing expenses</t>
  </si>
  <si>
    <t>Depreciation and amortization expense</t>
  </si>
  <si>
    <t>Total operating expenses</t>
  </si>
  <si>
    <t>Income from operations</t>
  </si>
  <si>
    <t>Operating Margin %</t>
  </si>
  <si>
    <t>Foreign exchange gain / (loss)</t>
  </si>
  <si>
    <t>Interest and other income, net</t>
  </si>
  <si>
    <t>Loss on settlement of convertible senior notes</t>
  </si>
  <si>
    <t>Income before income tax expense and earnings from equity affiliates</t>
  </si>
  <si>
    <t>Income tax (provision)/benefit</t>
  </si>
  <si>
    <t>(Loss)/Gain from equity-method investment</t>
  </si>
  <si>
    <t>Net income</t>
  </si>
  <si>
    <t>Earnings/(loss) per share</t>
  </si>
  <si>
    <t>Basic</t>
  </si>
  <si>
    <t>Diluted</t>
  </si>
  <si>
    <t>Weighted-average number of shares used in computing earnings per share</t>
  </si>
  <si>
    <t>(1) Exclusive of depreciation and amortization expense.</t>
  </si>
  <si>
    <t>($ in thousands)</t>
  </si>
  <si>
    <t>Assets</t>
  </si>
  <si>
    <t>Current assets:</t>
  </si>
  <si>
    <t>Cash and cash equivalents</t>
  </si>
  <si>
    <t>Short-term investments</t>
  </si>
  <si>
    <t>Restricted cash</t>
  </si>
  <si>
    <t>Accounts receivable, net</t>
  </si>
  <si>
    <t>Other current assets</t>
  </si>
  <si>
    <t>Total current assets</t>
  </si>
  <si>
    <t/>
  </si>
  <si>
    <t>Property and equipment, net</t>
  </si>
  <si>
    <t>Operating lease right-of-use assets</t>
  </si>
  <si>
    <t>Deferred tax assets, net</t>
  </si>
  <si>
    <t>Goodwill</t>
  </si>
  <si>
    <t>Other intangible assets, net</t>
  </si>
  <si>
    <t>Long-term investments - Equity affiliate</t>
  </si>
  <si>
    <t>Long-term investments - Others</t>
  </si>
  <si>
    <t>Other assets</t>
  </si>
  <si>
    <t>Total assets</t>
  </si>
  <si>
    <t>Liabilities and stockholders' equity</t>
  </si>
  <si>
    <t>Current liabilities:</t>
  </si>
  <si>
    <t>Accounts payable</t>
  </si>
  <si>
    <t>Current portion of long-term borrowings</t>
  </si>
  <si>
    <t>Deferred revenue</t>
  </si>
  <si>
    <t>Accrued employee costs</t>
  </si>
  <si>
    <t>Accrued expenses and other current liabilities</t>
  </si>
  <si>
    <t>Current portion of operating lease liabilities</t>
  </si>
  <si>
    <t>Total current liabilities</t>
  </si>
  <si>
    <t>Long-term borrowings, less current portion</t>
  </si>
  <si>
    <t>Operating lease liabilities, less current portion</t>
  </si>
  <si>
    <t>Deferred tax liabilities, net</t>
  </si>
  <si>
    <t>Other non-current liabilities</t>
  </si>
  <si>
    <t>Total Liabilities</t>
  </si>
  <si>
    <t>Stockholders’ equity:</t>
  </si>
  <si>
    <t>Common stock</t>
  </si>
  <si>
    <t>Additional paid-in capital</t>
  </si>
  <si>
    <t>Retained earnings</t>
  </si>
  <si>
    <t>Accumulated other comprehensive income/(loss)</t>
  </si>
  <si>
    <t>Less: Shares held in treasury</t>
  </si>
  <si>
    <t>Total stockholders' equity</t>
  </si>
  <si>
    <t>Total liabilities and stockholders' equity</t>
  </si>
  <si>
    <t>Cash Flow Statement</t>
  </si>
  <si>
    <t>Q01</t>
  </si>
  <si>
    <t>Q02</t>
  </si>
  <si>
    <t>Q03</t>
  </si>
  <si>
    <t>Q04</t>
  </si>
  <si>
    <t>Cash flows from operating activities</t>
  </si>
  <si>
    <t>Adjustments to reconcile net income to net cash provided by operating activities:</t>
  </si>
  <si>
    <t>Amortization of non-cash interest expense related to convertible notes</t>
  </si>
  <si>
    <t>Stock-based compensation expense</t>
  </si>
  <si>
    <t>Loss on settlement of convertible notes</t>
  </si>
  <si>
    <t>Loss / (Gain) from equity-method investment</t>
  </si>
  <si>
    <t>Unrealized foreign currency exchange (gain)/loss, net</t>
  </si>
  <si>
    <t>Fair value mark-to-market of investments</t>
  </si>
  <si>
    <t>Deferred income tax (benefit)/expense</t>
  </si>
  <si>
    <t>Allowance/(Reversal) for expected credit losses</t>
  </si>
  <si>
    <t>Fair value changes in contingent consideration</t>
  </si>
  <si>
    <t>Reduction in the carrying amount of operating lease right-of-use assets</t>
  </si>
  <si>
    <t>Others, net</t>
  </si>
  <si>
    <t>Change in operating assets and liabilities:</t>
  </si>
  <si>
    <t>Accounts receivable</t>
  </si>
  <si>
    <t>Accrued expenses and other liabilities</t>
  </si>
  <si>
    <t>Income taxes payable, net</t>
  </si>
  <si>
    <t>Operating lease liabilities</t>
  </si>
  <si>
    <t>Payment of contingent consideration</t>
  </si>
  <si>
    <t>Net cash provided by operating activities</t>
  </si>
  <si>
    <t>Cash flows from investing activities:</t>
  </si>
  <si>
    <t>Purchase of property and equipment</t>
  </si>
  <si>
    <t>Proceeds from sale of property and equipment</t>
  </si>
  <si>
    <t>Investment in equity affiliate</t>
  </si>
  <si>
    <t>Business acquisition (net of cash and cash equivalents acquired)</t>
  </si>
  <si>
    <t xml:space="preserve">Purchase of investments </t>
  </si>
  <si>
    <t>Proceeds from redemption of investments</t>
  </si>
  <si>
    <t>Net cash used for investing activities</t>
  </si>
  <si>
    <t>Cash flows from financing activities:</t>
  </si>
  <si>
    <t>Proceeds from borrowings</t>
  </si>
  <si>
    <t>Repayment of borrowings</t>
  </si>
  <si>
    <t>Payment of debt issuance cost</t>
  </si>
  <si>
    <t>Principal payments on finance lease obligations</t>
  </si>
  <si>
    <t>Proceeds from issuance of common stock</t>
  </si>
  <si>
    <t>Proceeds from ESPP contribution</t>
  </si>
  <si>
    <t>Acquisition of treasury stock</t>
  </si>
  <si>
    <t>Net cash provided by financing activities</t>
  </si>
  <si>
    <t>Effect of exchange rate changes on cash, cash equivalents and restricted cash</t>
  </si>
  <si>
    <t>Net (decrease)/increase in cash, cash equivalents and restricted cash</t>
  </si>
  <si>
    <t>Cash, cash equivalents and restricted cash at the beginning of the period</t>
  </si>
  <si>
    <t>Cash, cash equivalents and restricted cash at the end of the period</t>
  </si>
  <si>
    <t xml:space="preserve"> </t>
  </si>
  <si>
    <t>FY 21</t>
  </si>
  <si>
    <t>FY 22</t>
  </si>
  <si>
    <t>FY 23</t>
  </si>
  <si>
    <t>FY 24</t>
  </si>
  <si>
    <t>Revenue</t>
  </si>
  <si>
    <r>
      <t>Digital Operations and Solutions</t>
    </r>
    <r>
      <rPr>
        <b/>
        <vertAlign val="superscript"/>
        <sz val="10"/>
        <color theme="0"/>
        <rFont val="Arial"/>
        <family val="2"/>
      </rPr>
      <t>(2)</t>
    </r>
  </si>
  <si>
    <t>Y/Y revenue growth</t>
  </si>
  <si>
    <t xml:space="preserve">Y/Y constant currency revenue growth % </t>
  </si>
  <si>
    <t>GM</t>
  </si>
  <si>
    <t>GM%</t>
  </si>
  <si>
    <t>Insurance</t>
  </si>
  <si>
    <t>Healthcare</t>
  </si>
  <si>
    <t>Emerging</t>
  </si>
  <si>
    <t xml:space="preserve">Analytics </t>
  </si>
  <si>
    <t>Total Revenue</t>
  </si>
  <si>
    <t>(1) Effective January 1, 2020, the Company made certain operational and structural changes to more closely integrate its businesses and to simplify its organizational structure and accordingly new reportable segments are as follows</t>
  </si>
  <si>
    <t>Insurance, Healthcare, Emerging Business and Analytics.</t>
  </si>
  <si>
    <t>(2) The Company's operations management services are a part of its digital operations and solutions business and they are referred to as “digital operations and solutions” or “digital solutions.”</t>
  </si>
  <si>
    <r>
      <t xml:space="preserve">Revenue by Industry </t>
    </r>
    <r>
      <rPr>
        <b/>
        <u/>
        <vertAlign val="superscript"/>
        <sz val="10"/>
        <rFont val="Arial"/>
        <family val="2"/>
      </rPr>
      <t>(3)</t>
    </r>
  </si>
  <si>
    <t>Sequential Growth</t>
  </si>
  <si>
    <t>Year-Over-Year Growth</t>
  </si>
  <si>
    <t>Emerging Business</t>
  </si>
  <si>
    <t>Revenue by Geography</t>
  </si>
  <si>
    <t>United States</t>
  </si>
  <si>
    <t>United Kingdom</t>
  </si>
  <si>
    <t>Rest of world</t>
  </si>
  <si>
    <t xml:space="preserve">(3)  Revenue by Industry includes all solutions offered by EXL for each vertical listed.  </t>
  </si>
  <si>
    <t>For example, Insurance will include revenue from both Digital operations and Insurance clients in Analytics.</t>
  </si>
  <si>
    <t>FY 25</t>
  </si>
  <si>
    <r>
      <t xml:space="preserve">Revenue by Service-type </t>
    </r>
    <r>
      <rPr>
        <b/>
        <u/>
        <vertAlign val="superscript"/>
        <sz val="10"/>
        <color rgb="FF000000"/>
        <rFont val="Arial"/>
        <family val="2"/>
      </rPr>
      <t>(2)</t>
    </r>
  </si>
  <si>
    <t>Data and AI-Led</t>
  </si>
  <si>
    <t>Y/Y revenue growth %</t>
  </si>
  <si>
    <t>Sequential constant currency revenue growth %</t>
  </si>
  <si>
    <t>Digital Operations</t>
  </si>
  <si>
    <r>
      <t xml:space="preserve">Revenue by Reportable Segments </t>
    </r>
    <r>
      <rPr>
        <b/>
        <u/>
        <vertAlign val="superscript"/>
        <sz val="10"/>
        <color rgb="FF000000"/>
        <rFont val="Arial"/>
        <family val="2"/>
      </rPr>
      <t>(1) and (2)</t>
    </r>
  </si>
  <si>
    <t>Healthcare and Life Sciences</t>
  </si>
  <si>
    <t>Banking, Capital Markets and Diversified Industries</t>
  </si>
  <si>
    <t>International Growth Markets</t>
  </si>
  <si>
    <t>(1) Effective January 1, 2025, the Company implemented operational and structural changes to accelerate the execution of its data and AI-led strategy and accordingly new reportable segments are as follows :  Insurance, Healthcare and Life Sciences, Banking, Capital Markets and Diversified Industries and International Growth Markets.</t>
  </si>
  <si>
    <t>(2) Please refer to the Company's Quarterly Report on Form 10-Q for the quarter ended September 30, 2025 filed with the SEC on October 28, 2025 for details.</t>
  </si>
  <si>
    <r>
      <t xml:space="preserve">Revenue by Industry </t>
    </r>
    <r>
      <rPr>
        <b/>
        <u/>
        <vertAlign val="superscript"/>
        <sz val="10"/>
        <color indexed="8"/>
        <rFont val="Arial"/>
        <family val="2"/>
      </rPr>
      <t>(3)</t>
    </r>
  </si>
  <si>
    <t>Sequential revenue growth %</t>
  </si>
  <si>
    <t>Banking, Capital Markets, and Diversified Industries</t>
  </si>
  <si>
    <r>
      <t xml:space="preserve">Revenue by Geography </t>
    </r>
    <r>
      <rPr>
        <b/>
        <vertAlign val="superscript"/>
        <sz val="10"/>
        <color theme="0"/>
        <rFont val="Arial"/>
        <family val="2"/>
      </rPr>
      <t>(4)</t>
    </r>
  </si>
  <si>
    <t>North America</t>
  </si>
  <si>
    <t>U.K. &amp; Europe</t>
  </si>
  <si>
    <t>(3)  Revenue by Industry includes all services and solutions offered by EXL for each vertical listed.</t>
  </si>
  <si>
    <t>For example, Insurance will include revenue from Insurance segment and Insurance clients in International Growth Markets segment.</t>
  </si>
  <si>
    <t xml:space="preserve">(4) The Company attributes revenues based on geographical markets where the customer operations being served by it are located.
 </t>
  </si>
  <si>
    <t>Reconciliation of GAAP to Non-GAAP Measures</t>
  </si>
  <si>
    <t>Income from Operations</t>
  </si>
  <si>
    <t>add: Amortization of acquisition-related intangibles</t>
  </si>
  <si>
    <t>add: Stock-based compensation expense</t>
  </si>
  <si>
    <t>add: Provision for litigation settlement</t>
  </si>
  <si>
    <t>add: Acquisition-related expenses</t>
  </si>
  <si>
    <t xml:space="preserve">add/(subtract): Other (benefits)/expense </t>
  </si>
  <si>
    <t>add: Impairment and restructuring costs</t>
  </si>
  <si>
    <t>Adjusted Operating Income</t>
  </si>
  <si>
    <t>Adjusted Operating Income Margin</t>
  </si>
  <si>
    <t>Sequential Growth (bps)</t>
  </si>
  <si>
    <t>Year-Over-Year Growth (bps)</t>
  </si>
  <si>
    <t>add: Depreciation</t>
  </si>
  <si>
    <t>Adjusted EBITDA</t>
  </si>
  <si>
    <t>Adjusted EBITDA Margin</t>
  </si>
  <si>
    <t>Net Income</t>
  </si>
  <si>
    <t>add: Acquisition-related expenses/(income)</t>
  </si>
  <si>
    <t>add: Non-cash interest expense related to convertible senior notes</t>
  </si>
  <si>
    <t>add/(subtract): Allowance/(reversal) for expected credit losses</t>
  </si>
  <si>
    <t>add/(subtract): Effects of changes in fair value of contingent consideration</t>
  </si>
  <si>
    <t>add/(subtract): Other tax expense/(benefits)</t>
  </si>
  <si>
    <t>add: Loss on settlement of convertible senior notes</t>
  </si>
  <si>
    <t xml:space="preserve">subtract: Acquisition-related adjustments </t>
  </si>
  <si>
    <t>subtract: Tax impact on stock compensation expense</t>
  </si>
  <si>
    <t>subtract: Tax impact on amortization of acquisition-related intangibles</t>
  </si>
  <si>
    <t>add/(subtract): Tax impact on other (benefits)/expense</t>
  </si>
  <si>
    <t>subtract: Tax impact on non-cash interest expense related to convertible senior notes</t>
  </si>
  <si>
    <t>add/(subtract): Tax impact on allowance/(reversal) for expected credit losses</t>
  </si>
  <si>
    <t xml:space="preserve">add:Tax effects on reversal of acquisition related provision </t>
  </si>
  <si>
    <t>subtract: Tax impact on settlement of convertible senior notes</t>
  </si>
  <si>
    <t>Adjusted Net Income</t>
  </si>
  <si>
    <t>Adjusted Net Income Margin</t>
  </si>
  <si>
    <t>Adjusted Diluted Earnings Per Share</t>
  </si>
  <si>
    <t>Sequential Growth (%)</t>
  </si>
  <si>
    <t>Year-Over-Year Growth (%)</t>
  </si>
  <si>
    <t>Headcount</t>
  </si>
  <si>
    <t xml:space="preserve">Attrition </t>
  </si>
  <si>
    <t>Client Concentration</t>
  </si>
  <si>
    <t>Top - 1</t>
  </si>
  <si>
    <t>Top - 3</t>
  </si>
  <si>
    <t>Top - 5</t>
  </si>
  <si>
    <t>Top - 10</t>
  </si>
  <si>
    <t>Exchange Rates (average of month end exchange rates)</t>
  </si>
  <si>
    <t>Indian rupee / U.S. dollar</t>
  </si>
  <si>
    <t xml:space="preserve">    Q/Q Appreciation / (Depreciation)</t>
  </si>
  <si>
    <t xml:space="preserve">    Y/Y Appreciation / (Depreciation)</t>
  </si>
  <si>
    <t xml:space="preserve">U.S. dollar / U.K. pound sterling </t>
  </si>
  <si>
    <t xml:space="preserve">    Q/Q (Appreciation) / Depreciation</t>
  </si>
  <si>
    <t xml:space="preserve">    Y/Y (Appreciation) / Depreciation</t>
  </si>
  <si>
    <t>Philippine peso / U.S. dollar</t>
  </si>
  <si>
    <t>South African rand / U.S. dollar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</si>
</sst>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_(* #,##0.0_);_(* \(#,##0.0\);_(* &quot;-&quot;??_);_(@_)"/>
    <numFmt numFmtId="167" formatCode="#,##0.0"/>
    <numFmt numFmtId="168" formatCode="_(&quot;$&quot;* #,##0_);_(&quot;$&quot;* \(#,##0\);_(&quot;$&quot;* &quot;-&quot;??_);_(@_)"/>
    <numFmt numFmtId="169" formatCode="_(&quot;$&quot;* #,##0.0_);_(&quot;$&quot;* \(#,##0.0\);_(&quot;$&quot;* &quot;-&quot;?_);_(@_)"/>
    <numFmt numFmtId="170" formatCode="_(* #,##0.0000_);_(* \(#,##0.0000\);_(* &quot;-&quot;??_);_(@_)"/>
  </numFmts>
  <fonts count="40">
    <font>
      <sz val="11"/>
      <color theme="1"/>
      <name val="Calibri"/>
      <family val="2"/>
      <scheme val="minor"/>
    </font>
    <font>
      <sz val="11"/>
      <color indexed="8"/>
      <name val="Calibri"/>
      <family val="2"/>
    </font>
    <font>
      <sz val="10"/>
      <name val="Arial"/>
      <family val="2"/>
    </font>
    <font>
      <b/>
      <sz val="10"/>
      <color indexed="8"/>
      <name val="Arial"/>
      <family val="2"/>
    </font>
    <font>
      <sz val="10"/>
      <color indexed="8"/>
      <name val="Arial"/>
      <family val="2"/>
    </font>
    <font>
      <b/>
      <sz val="10"/>
      <name val="Arial"/>
      <family val="2"/>
    </font>
    <font>
      <sz val="10"/>
      <color indexed="8"/>
      <name val="Arial"/>
      <family val="2"/>
    </font>
    <font>
      <b/>
      <sz val="10"/>
      <color indexed="20"/>
      <name val="Arial"/>
      <family val="2"/>
    </font>
    <font>
      <b/>
      <sz val="10"/>
      <color indexed="0"/>
      <name val="Arial"/>
      <family val="2"/>
    </font>
    <font>
      <sz val="10"/>
      <color indexed="0"/>
      <name val="Arial"/>
      <family val="2"/>
    </font>
    <font>
      <i/>
      <sz val="10"/>
      <name val="Arial"/>
      <family val="2"/>
    </font>
    <font>
      <sz val="10"/>
      <color indexed="28"/>
      <name val="Arial"/>
      <family val="2"/>
    </font>
    <font>
      <b/>
      <sz val="10"/>
      <color indexed="28"/>
      <name val="Arial"/>
      <family val="2"/>
    </font>
    <font>
      <sz val="10"/>
      <color indexed="10"/>
      <name val="Arial"/>
      <family val="2"/>
    </font>
    <font>
      <b/>
      <sz val="12"/>
      <color indexed="8"/>
      <name val="Arial"/>
      <family val="2"/>
    </font>
    <font>
      <sz val="11"/>
      <color indexed="8"/>
      <name val="Calibri"/>
      <family val="2"/>
    </font>
    <font>
      <u/>
      <sz val="11"/>
      <color theme="10"/>
      <name val="Calibri"/>
      <family val="2"/>
    </font>
    <font>
      <sz val="11"/>
      <color theme="1"/>
      <name val="Calibri"/>
      <family val="2"/>
      <scheme val="minor"/>
    </font>
    <font>
      <sz val="10"/>
      <color rgb="FFFF0000"/>
      <name val="Arial"/>
      <family val="2"/>
    </font>
    <font>
      <b/>
      <i/>
      <sz val="12"/>
      <color rgb="FFFF0000"/>
      <name val="Arial"/>
      <family val="2"/>
    </font>
    <font>
      <b/>
      <sz val="10"/>
      <color rgb="FFFF0000"/>
      <name val="Arial"/>
      <family val="2"/>
    </font>
    <font>
      <sz val="9"/>
      <name val="Arial"/>
      <family val="2"/>
    </font>
    <font>
      <b/>
      <sz val="9"/>
      <name val="Arial"/>
      <family val="2"/>
    </font>
    <font>
      <b/>
      <i/>
      <sz val="10"/>
      <color rgb="FFFF0000"/>
      <name val="Arial"/>
      <family val="2"/>
    </font>
    <font>
      <b/>
      <i/>
      <sz val="8"/>
      <color rgb="FFFF0000"/>
      <name val="Arial"/>
      <family val="2"/>
    </font>
    <font>
      <b/>
      <sz val="8"/>
      <color rgb="FFFF0000"/>
      <name val="Arial"/>
      <family val="2"/>
    </font>
    <font>
      <sz val="9"/>
      <color rgb="FFFF0000"/>
      <name val="Arial"/>
      <family val="2"/>
    </font>
    <font>
      <b/>
      <sz val="10"/>
      <color theme="0"/>
      <name val="Arial"/>
      <family val="2"/>
    </font>
    <font>
      <sz val="10"/>
      <color theme="0"/>
      <name val="Arial"/>
      <family val="2"/>
    </font>
    <font>
      <b/>
      <vertAlign val="superscript"/>
      <sz val="10"/>
      <color theme="0"/>
      <name val="Arial"/>
      <family val="2"/>
    </font>
    <font>
      <sz val="10"/>
      <color theme="1"/>
      <name val="Arial"/>
      <family val="2"/>
    </font>
    <font>
      <b/>
      <u/>
      <sz val="10"/>
      <color indexed="8"/>
      <name val="Arial"/>
      <family val="2"/>
    </font>
    <font>
      <b/>
      <u/>
      <vertAlign val="superscript"/>
      <sz val="10"/>
      <color indexed="8"/>
      <name val="Arial"/>
      <family val="2"/>
    </font>
    <font>
      <sz val="9"/>
      <color indexed="8"/>
      <name val="Arial"/>
      <family val="2"/>
    </font>
    <font>
      <u/>
      <sz val="11"/>
      <color theme="0"/>
      <name val="Calibri"/>
      <family val="2"/>
    </font>
    <font>
      <vertAlign val="superscript"/>
      <sz val="10"/>
      <name val="Arial"/>
      <family val="2"/>
    </font>
    <font>
      <b/>
      <u/>
      <vertAlign val="superscript"/>
      <sz val="10"/>
      <name val="Arial"/>
      <family val="2"/>
    </font>
    <font>
      <i/>
      <sz val="10"/>
      <color indexed="8"/>
      <name val="Arial"/>
      <family val="2"/>
    </font>
    <font>
      <b/>
      <u/>
      <vertAlign val="superscript"/>
      <sz val="10"/>
      <color rgb="FF000000"/>
      <name val="Arial"/>
      <family val="2"/>
    </font>
    <font>
      <sz val="7"/>
      <color rgb="FFFF0000"/>
      <name val="Calibri"/>
      <family val="2"/>
      <scheme val="minor"/>
    </font>
  </fonts>
  <fills count="8">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4"/>
        <bgColor indexed="64"/>
      </patternFill>
    </fill>
    <fill>
      <patternFill patternType="solid">
        <fgColor rgb="FFFFFF00"/>
        <bgColor indexed="64"/>
      </patternFill>
    </fill>
    <fill>
      <patternFill patternType="solid">
        <fgColor rgb="FFFFFFCC"/>
        <bgColor indexed="64"/>
      </patternFill>
    </fill>
    <fill>
      <patternFill patternType="solid">
        <fgColor rgb="FFFF5C01"/>
        <bgColor indexed="64"/>
      </patternFill>
    </fill>
  </fills>
  <borders count="15">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
    <xf numFmtId="0" fontId="0" fillId="0" borderId="0"/>
    <xf numFmtId="0" fontId="2" fillId="0" borderId="0"/>
    <xf numFmtId="43" fontId="1" fillId="0" borderId="0" applyFont="0" applyFill="0" applyBorder="0" applyAlignment="0" applyProtection="0"/>
    <xf numFmtId="43" fontId="15" fillId="0" borderId="0" applyFont="0" applyFill="0" applyBorder="0" applyAlignment="0" applyProtection="0"/>
    <xf numFmtId="0" fontId="16" fillId="0" borderId="0" applyNumberFormat="0" applyFill="0" applyBorder="0" applyAlignment="0" applyProtection="0">
      <alignment vertical="top"/>
      <protection locked="0"/>
    </xf>
    <xf numFmtId="9" fontId="1" fillId="0" borderId="0" applyFont="0" applyFill="0" applyBorder="0" applyAlignment="0" applyProtection="0"/>
    <xf numFmtId="9" fontId="15" fillId="0" borderId="0" applyFont="0" applyFill="0" applyBorder="0" applyAlignment="0" applyProtection="0"/>
    <xf numFmtId="9"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cellStyleXfs>
  <cellXfs count="254">
    <xf numFmtId="0" fontId="0" fillId="0" borderId="0" xfId="0"/>
    <xf numFmtId="0" fontId="3" fillId="0" borderId="0" xfId="0" applyFont="1"/>
    <xf numFmtId="0" fontId="4" fillId="0" borderId="0" xfId="0" applyFont="1"/>
    <xf numFmtId="0" fontId="3" fillId="0" borderId="0" xfId="0" applyFont="1" applyAlignment="1">
      <alignment horizontal="center"/>
    </xf>
    <xf numFmtId="0" fontId="5" fillId="0" borderId="0" xfId="0" applyFont="1" applyAlignment="1">
      <alignment horizontal="center"/>
    </xf>
    <xf numFmtId="0" fontId="6" fillId="0" borderId="0" xfId="0" applyFont="1"/>
    <xf numFmtId="0" fontId="4" fillId="0" borderId="0" xfId="0" applyFont="1" applyAlignment="1">
      <alignment horizontal="center"/>
    </xf>
    <xf numFmtId="0" fontId="3" fillId="0" borderId="0" xfId="0" applyFont="1" applyAlignment="1">
      <alignment horizontal="left"/>
    </xf>
    <xf numFmtId="0" fontId="7" fillId="0" borderId="0" xfId="0" applyFont="1"/>
    <xf numFmtId="10" fontId="4" fillId="0" borderId="0" xfId="0" applyNumberFormat="1" applyFont="1"/>
    <xf numFmtId="0" fontId="5" fillId="0" borderId="0" xfId="0" applyFont="1"/>
    <xf numFmtId="0" fontId="9" fillId="0" borderId="0" xfId="0" applyFont="1" applyAlignment="1">
      <alignment horizontal="left" indent="1"/>
    </xf>
    <xf numFmtId="0" fontId="9" fillId="0" borderId="0" xfId="0" applyFont="1"/>
    <xf numFmtId="0" fontId="9" fillId="0" borderId="0" xfId="0" applyFont="1" applyAlignment="1">
      <alignment horizontal="right"/>
    </xf>
    <xf numFmtId="0" fontId="3" fillId="0" borderId="0" xfId="0" applyFont="1" applyAlignment="1">
      <alignment horizontal="left" wrapText="1"/>
    </xf>
    <xf numFmtId="0" fontId="9" fillId="0" borderId="0" xfId="0" applyFont="1" applyAlignment="1">
      <alignment wrapText="1"/>
    </xf>
    <xf numFmtId="0" fontId="9" fillId="0" borderId="0" xfId="0" applyFont="1" applyAlignment="1">
      <alignment horizontal="left" wrapText="1" indent="1"/>
    </xf>
    <xf numFmtId="0" fontId="8" fillId="0" borderId="0" xfId="0" applyFont="1" applyAlignment="1">
      <alignment wrapText="1"/>
    </xf>
    <xf numFmtId="0" fontId="9" fillId="0" borderId="0" xfId="0" applyFont="1" applyAlignment="1">
      <alignment horizontal="right" wrapText="1"/>
    </xf>
    <xf numFmtId="0" fontId="4" fillId="0" borderId="0" xfId="0" applyFont="1" applyAlignment="1">
      <alignment horizontal="left" wrapText="1"/>
    </xf>
    <xf numFmtId="0" fontId="2" fillId="0" borderId="0" xfId="0" applyFont="1"/>
    <xf numFmtId="0" fontId="5" fillId="0" borderId="0" xfId="0" applyFont="1" applyAlignment="1">
      <alignment horizontal="left"/>
    </xf>
    <xf numFmtId="164" fontId="5" fillId="0" borderId="0" xfId="2" applyNumberFormat="1" applyFont="1"/>
    <xf numFmtId="164" fontId="2" fillId="0" borderId="0" xfId="2" applyNumberFormat="1" applyFont="1"/>
    <xf numFmtId="164" fontId="2" fillId="0" borderId="0" xfId="2" applyNumberFormat="1" applyFont="1" applyFill="1"/>
    <xf numFmtId="43" fontId="2" fillId="0" borderId="0" xfId="2" applyFont="1"/>
    <xf numFmtId="165" fontId="10" fillId="0" borderId="0" xfId="5" applyNumberFormat="1" applyFont="1"/>
    <xf numFmtId="165" fontId="10" fillId="0" borderId="0" xfId="5" applyNumberFormat="1" applyFont="1" applyAlignment="1">
      <alignment horizontal="right"/>
    </xf>
    <xf numFmtId="0" fontId="9" fillId="0" borderId="0" xfId="0" applyFont="1" applyAlignment="1">
      <alignment horizontal="left" indent="2"/>
    </xf>
    <xf numFmtId="0" fontId="11" fillId="0" borderId="0" xfId="0" applyFont="1"/>
    <xf numFmtId="0" fontId="12" fillId="0" borderId="0" xfId="0" applyFont="1"/>
    <xf numFmtId="0" fontId="8" fillId="0" borderId="1" xfId="0" applyFont="1" applyBorder="1" applyAlignment="1">
      <alignment wrapText="1"/>
    </xf>
    <xf numFmtId="0" fontId="3" fillId="0" borderId="1" xfId="0" applyFont="1" applyBorder="1"/>
    <xf numFmtId="0" fontId="2" fillId="0" borderId="0" xfId="0" applyFont="1" applyAlignment="1">
      <alignment horizontal="left" indent="1"/>
    </xf>
    <xf numFmtId="0" fontId="3" fillId="2" borderId="0" xfId="0" applyFont="1" applyFill="1"/>
    <xf numFmtId="0" fontId="5" fillId="0" borderId="1" xfId="0" applyFont="1" applyBorder="1" applyAlignment="1">
      <alignment horizontal="left" wrapText="1" indent="1"/>
    </xf>
    <xf numFmtId="37" fontId="2" fillId="0" borderId="0" xfId="2" applyNumberFormat="1" applyFont="1"/>
    <xf numFmtId="0" fontId="10" fillId="0" borderId="4" xfId="1" applyFont="1" applyBorder="1" applyAlignment="1">
      <alignment horizontal="left" indent="2"/>
    </xf>
    <xf numFmtId="0" fontId="2" fillId="0" borderId="4" xfId="1" applyBorder="1" applyAlignment="1">
      <alignment horizontal="left" indent="1"/>
    </xf>
    <xf numFmtId="0" fontId="5" fillId="0" borderId="4" xfId="1" applyFont="1" applyBorder="1"/>
    <xf numFmtId="0" fontId="2" fillId="0" borderId="4" xfId="0" applyFont="1" applyBorder="1" applyAlignment="1">
      <alignment horizontal="left" indent="1"/>
    </xf>
    <xf numFmtId="0" fontId="2" fillId="0" borderId="4" xfId="1" applyBorder="1"/>
    <xf numFmtId="5" fontId="2" fillId="0" borderId="0" xfId="0" applyNumberFormat="1" applyFont="1"/>
    <xf numFmtId="0" fontId="5" fillId="0" borderId="0" xfId="0" applyFont="1" applyAlignment="1">
      <alignment horizontal="left" wrapText="1" indent="1"/>
    </xf>
    <xf numFmtId="0" fontId="9" fillId="3" borderId="0" xfId="0" applyFont="1" applyFill="1" applyAlignment="1">
      <alignment horizontal="left" wrapText="1" indent="2"/>
    </xf>
    <xf numFmtId="0" fontId="9" fillId="3" borderId="0" xfId="0" applyFont="1" applyFill="1" applyAlignment="1">
      <alignment horizontal="left" wrapText="1" indent="1"/>
    </xf>
    <xf numFmtId="0" fontId="2" fillId="3" borderId="0" xfId="0" applyFont="1" applyFill="1" applyAlignment="1">
      <alignment horizontal="left" wrapText="1" indent="1"/>
    </xf>
    <xf numFmtId="0" fontId="4" fillId="3" borderId="0" xfId="0" applyFont="1" applyFill="1"/>
    <xf numFmtId="0" fontId="9" fillId="3" borderId="0" xfId="0" applyFont="1" applyFill="1" applyAlignment="1">
      <alignment wrapText="1"/>
    </xf>
    <xf numFmtId="0" fontId="3" fillId="4" borderId="1" xfId="0" applyFont="1" applyFill="1" applyBorder="1"/>
    <xf numFmtId="0" fontId="4" fillId="4" borderId="1" xfId="0" applyFont="1" applyFill="1" applyBorder="1"/>
    <xf numFmtId="16" fontId="3" fillId="0" borderId="0" xfId="0" applyNumberFormat="1" applyFont="1" applyAlignment="1">
      <alignment horizontal="center"/>
    </xf>
    <xf numFmtId="165" fontId="10" fillId="0" borderId="5" xfId="5" applyNumberFormat="1" applyFont="1" applyBorder="1"/>
    <xf numFmtId="0" fontId="4" fillId="0" borderId="0" xfId="0" applyFont="1" applyAlignment="1">
      <alignment horizontal="left" indent="1"/>
    </xf>
    <xf numFmtId="37" fontId="2" fillId="0" borderId="0" xfId="0" applyNumberFormat="1" applyFont="1"/>
    <xf numFmtId="165" fontId="10" fillId="0" borderId="2" xfId="5" applyNumberFormat="1" applyFont="1" applyBorder="1" applyAlignment="1">
      <alignment horizontal="right"/>
    </xf>
    <xf numFmtId="0" fontId="14" fillId="0" borderId="0" xfId="0" applyFont="1" applyAlignment="1">
      <alignment horizontal="center"/>
    </xf>
    <xf numFmtId="5" fontId="4" fillId="0" borderId="0" xfId="0" applyNumberFormat="1" applyFont="1"/>
    <xf numFmtId="165" fontId="2" fillId="0" borderId="0" xfId="5" applyNumberFormat="1" applyFont="1"/>
    <xf numFmtId="165" fontId="10" fillId="0" borderId="0" xfId="5" applyNumberFormat="1" applyFont="1" applyBorder="1" applyAlignment="1">
      <alignment horizontal="right"/>
    </xf>
    <xf numFmtId="164" fontId="2" fillId="0" borderId="0" xfId="2" applyNumberFormat="1" applyFont="1" applyBorder="1" applyAlignment="1">
      <alignment horizontal="right"/>
    </xf>
    <xf numFmtId="165" fontId="10" fillId="0" borderId="0" xfId="5" applyNumberFormat="1" applyFont="1" applyBorder="1"/>
    <xf numFmtId="0" fontId="10" fillId="0" borderId="4" xfId="0" applyFont="1" applyBorder="1" applyAlignment="1">
      <alignment horizontal="left" indent="2"/>
    </xf>
    <xf numFmtId="0" fontId="10" fillId="0" borderId="6" xfId="1" applyFont="1" applyBorder="1" applyAlignment="1">
      <alignment horizontal="left" indent="2"/>
    </xf>
    <xf numFmtId="165" fontId="10" fillId="0" borderId="4" xfId="5" applyNumberFormat="1" applyFont="1" applyBorder="1" applyAlignment="1">
      <alignment horizontal="right"/>
    </xf>
    <xf numFmtId="10" fontId="2" fillId="0" borderId="0" xfId="0" applyNumberFormat="1" applyFont="1"/>
    <xf numFmtId="0" fontId="10" fillId="0" borderId="0" xfId="1" applyFont="1" applyAlignment="1">
      <alignment horizontal="left" indent="2"/>
    </xf>
    <xf numFmtId="0" fontId="10" fillId="0" borderId="2" xfId="1" applyFont="1" applyBorder="1" applyAlignment="1">
      <alignment horizontal="left" indent="2"/>
    </xf>
    <xf numFmtId="0" fontId="3" fillId="0" borderId="1" xfId="0" applyFont="1" applyBorder="1" applyAlignment="1">
      <alignment wrapText="1"/>
    </xf>
    <xf numFmtId="0" fontId="10" fillId="0" borderId="0" xfId="0" applyFont="1"/>
    <xf numFmtId="167" fontId="2" fillId="0" borderId="0" xfId="0" applyNumberFormat="1" applyFont="1"/>
    <xf numFmtId="9" fontId="10" fillId="0" borderId="0" xfId="5" applyFont="1"/>
    <xf numFmtId="4" fontId="2" fillId="0" borderId="0" xfId="0" applyNumberFormat="1" applyFont="1"/>
    <xf numFmtId="165" fontId="10" fillId="0" borderId="0" xfId="5" applyNumberFormat="1" applyFont="1" applyFill="1"/>
    <xf numFmtId="164" fontId="4" fillId="0" borderId="0" xfId="2" applyNumberFormat="1" applyFont="1"/>
    <xf numFmtId="0" fontId="16" fillId="0" borderId="0" xfId="4" applyBorder="1" applyAlignment="1" applyProtection="1"/>
    <xf numFmtId="0" fontId="5" fillId="0" borderId="0" xfId="0" applyFont="1" applyAlignment="1">
      <alignment horizontal="center" vertical="center"/>
    </xf>
    <xf numFmtId="164" fontId="2" fillId="0" borderId="0" xfId="0" applyNumberFormat="1" applyFont="1"/>
    <xf numFmtId="43" fontId="4" fillId="0" borderId="0" xfId="2" applyFont="1"/>
    <xf numFmtId="164" fontId="2" fillId="0" borderId="0" xfId="2" applyNumberFormat="1" applyFont="1" applyFill="1" applyAlignment="1">
      <alignment horizontal="right"/>
    </xf>
    <xf numFmtId="165" fontId="4" fillId="0" borderId="0" xfId="5" applyNumberFormat="1" applyFont="1"/>
    <xf numFmtId="165" fontId="2" fillId="0" borderId="0" xfId="5" applyNumberFormat="1" applyFont="1" applyBorder="1"/>
    <xf numFmtId="164" fontId="2" fillId="0" borderId="0" xfId="2" applyNumberFormat="1" applyFont="1" applyFill="1" applyBorder="1" applyAlignment="1">
      <alignment horizontal="right"/>
    </xf>
    <xf numFmtId="0" fontId="18" fillId="0" borderId="0" xfId="0" applyFont="1"/>
    <xf numFmtId="165" fontId="10" fillId="0" borderId="0" xfId="5" applyNumberFormat="1" applyFont="1" applyFill="1" applyBorder="1" applyAlignment="1">
      <alignment horizontal="right"/>
    </xf>
    <xf numFmtId="165" fontId="4" fillId="0" borderId="0" xfId="5" applyNumberFormat="1" applyFont="1" applyFill="1"/>
    <xf numFmtId="165" fontId="2" fillId="0" borderId="0" xfId="5" applyNumberFormat="1" applyFont="1" applyFill="1"/>
    <xf numFmtId="164" fontId="2" fillId="0" borderId="0" xfId="2" applyNumberFormat="1" applyFont="1" applyFill="1" applyBorder="1" applyAlignment="1">
      <alignment horizontal="right" vertical="center"/>
    </xf>
    <xf numFmtId="0" fontId="2" fillId="0" borderId="0" xfId="0" applyFont="1" applyAlignment="1">
      <alignment horizontal="right"/>
    </xf>
    <xf numFmtId="165" fontId="10" fillId="0" borderId="0" xfId="5" applyNumberFormat="1" applyFont="1" applyFill="1" applyBorder="1"/>
    <xf numFmtId="164" fontId="2" fillId="0" borderId="0" xfId="2" applyNumberFormat="1" applyFont="1" applyFill="1" applyBorder="1"/>
    <xf numFmtId="164" fontId="4" fillId="0" borderId="0" xfId="0" applyNumberFormat="1" applyFont="1"/>
    <xf numFmtId="43" fontId="4" fillId="0" borderId="0" xfId="0" applyNumberFormat="1" applyFont="1"/>
    <xf numFmtId="37" fontId="2" fillId="0" borderId="0" xfId="2" applyNumberFormat="1" applyFont="1" applyFill="1"/>
    <xf numFmtId="2" fontId="4" fillId="0" borderId="0" xfId="0" applyNumberFormat="1" applyFont="1"/>
    <xf numFmtId="9" fontId="2" fillId="0" borderId="0" xfId="5" applyFont="1" applyFill="1" applyBorder="1"/>
    <xf numFmtId="165" fontId="10" fillId="0" borderId="0" xfId="5" applyNumberFormat="1" applyFont="1" applyFill="1" applyAlignment="1">
      <alignment horizontal="right"/>
    </xf>
    <xf numFmtId="7" fontId="2" fillId="0" borderId="0" xfId="0" applyNumberFormat="1" applyFont="1"/>
    <xf numFmtId="0" fontId="19" fillId="0" borderId="0" xfId="0" applyFont="1"/>
    <xf numFmtId="9" fontId="2" fillId="0" borderId="0" xfId="5" applyFont="1"/>
    <xf numFmtId="0" fontId="9" fillId="0" borderId="0" xfId="0" applyFont="1" applyAlignment="1">
      <alignment horizontal="left" wrapText="1" indent="2"/>
    </xf>
    <xf numFmtId="164" fontId="4" fillId="0" borderId="0" xfId="2" applyNumberFormat="1" applyFont="1" applyFill="1"/>
    <xf numFmtId="43" fontId="2" fillId="0" borderId="0" xfId="2" applyFont="1" applyFill="1" applyBorder="1" applyAlignment="1">
      <alignment horizontal="right"/>
    </xf>
    <xf numFmtId="43" fontId="2" fillId="0" borderId="0" xfId="2" applyFont="1" applyFill="1"/>
    <xf numFmtId="0" fontId="21" fillId="0" borderId="0" xfId="0" applyFont="1"/>
    <xf numFmtId="0" fontId="23" fillId="0" borderId="0" xfId="0" applyFont="1"/>
    <xf numFmtId="37" fontId="4" fillId="0" borderId="0" xfId="0" applyNumberFormat="1" applyFont="1"/>
    <xf numFmtId="0" fontId="20" fillId="0" borderId="0" xfId="0" applyFont="1"/>
    <xf numFmtId="0" fontId="4" fillId="5" borderId="0" xfId="0" applyFont="1" applyFill="1"/>
    <xf numFmtId="166" fontId="2" fillId="0" borderId="0" xfId="2" applyNumberFormat="1" applyFont="1" applyFill="1" applyBorder="1" applyAlignment="1">
      <alignment horizontal="right"/>
    </xf>
    <xf numFmtId="0" fontId="2" fillId="5" borderId="0" xfId="0" applyFont="1" applyFill="1"/>
    <xf numFmtId="0" fontId="5" fillId="5" borderId="0" xfId="0" applyFont="1" applyFill="1"/>
    <xf numFmtId="0" fontId="2" fillId="0" borderId="4" xfId="0" applyFont="1" applyBorder="1" applyAlignment="1">
      <alignment horizontal="left" wrapText="1" indent="1"/>
    </xf>
    <xf numFmtId="0" fontId="24" fillId="0" borderId="0" xfId="0" applyFont="1"/>
    <xf numFmtId="43" fontId="18" fillId="0" borderId="0" xfId="2" applyFont="1"/>
    <xf numFmtId="165" fontId="10" fillId="0" borderId="2" xfId="5" applyNumberFormat="1" applyFont="1" applyFill="1" applyBorder="1"/>
    <xf numFmtId="165" fontId="10" fillId="0" borderId="2" xfId="5" applyNumberFormat="1" applyFont="1" applyFill="1" applyBorder="1" applyAlignment="1">
      <alignment horizontal="right"/>
    </xf>
    <xf numFmtId="0" fontId="2" fillId="0" borderId="4" xfId="1" applyBorder="1" applyAlignment="1">
      <alignment horizontal="left" indent="2"/>
    </xf>
    <xf numFmtId="7" fontId="2" fillId="0" borderId="0" xfId="2" applyNumberFormat="1" applyFont="1" applyFill="1"/>
    <xf numFmtId="164" fontId="2" fillId="0" borderId="5" xfId="2" applyNumberFormat="1" applyFont="1" applyFill="1" applyBorder="1"/>
    <xf numFmtId="43" fontId="5" fillId="0" borderId="0" xfId="2" applyFont="1"/>
    <xf numFmtId="43" fontId="0" fillId="0" borderId="0" xfId="0" applyNumberFormat="1"/>
    <xf numFmtId="0" fontId="16" fillId="0" borderId="0" xfId="4" applyAlignment="1" applyProtection="1"/>
    <xf numFmtId="43" fontId="22" fillId="0" borderId="0" xfId="2" applyFont="1"/>
    <xf numFmtId="164" fontId="2" fillId="0" borderId="0" xfId="2" quotePrefix="1" applyNumberFormat="1" applyFont="1" applyFill="1" applyBorder="1"/>
    <xf numFmtId="164" fontId="4" fillId="0" borderId="0" xfId="9" applyNumberFormat="1" applyFont="1"/>
    <xf numFmtId="164" fontId="4" fillId="3" borderId="0" xfId="9" applyNumberFormat="1" applyFont="1" applyFill="1"/>
    <xf numFmtId="164" fontId="4" fillId="0" borderId="1" xfId="9" applyNumberFormat="1" applyFont="1" applyBorder="1"/>
    <xf numFmtId="164" fontId="13" fillId="3" borderId="0" xfId="9" applyNumberFormat="1" applyFont="1" applyFill="1"/>
    <xf numFmtId="164" fontId="3" fillId="3" borderId="0" xfId="9" applyNumberFormat="1" applyFont="1" applyFill="1"/>
    <xf numFmtId="43" fontId="4" fillId="3" borderId="0" xfId="9" applyFont="1" applyFill="1"/>
    <xf numFmtId="164" fontId="4" fillId="0" borderId="0" xfId="9" applyNumberFormat="1" applyFont="1" applyBorder="1"/>
    <xf numFmtId="5" fontId="5" fillId="0" borderId="0" xfId="2" applyNumberFormat="1" applyFont="1" applyFill="1" applyBorder="1"/>
    <xf numFmtId="164" fontId="2" fillId="0" borderId="0" xfId="2" applyNumberFormat="1" applyFont="1" applyBorder="1"/>
    <xf numFmtId="43" fontId="2" fillId="0" borderId="0" xfId="2" applyFont="1" applyBorder="1"/>
    <xf numFmtId="7" fontId="2" fillId="0" borderId="0" xfId="2" applyNumberFormat="1" applyFont="1" applyFill="1" applyBorder="1"/>
    <xf numFmtId="43" fontId="18" fillId="0" borderId="0" xfId="2" applyFont="1" applyBorder="1"/>
    <xf numFmtId="0" fontId="27" fillId="7" borderId="3" xfId="1" applyFont="1" applyFill="1" applyBorder="1"/>
    <xf numFmtId="5" fontId="27" fillId="7" borderId="1" xfId="2" applyNumberFormat="1" applyFont="1" applyFill="1" applyBorder="1"/>
    <xf numFmtId="5" fontId="27" fillId="7" borderId="3" xfId="2" applyNumberFormat="1" applyFont="1" applyFill="1" applyBorder="1"/>
    <xf numFmtId="0" fontId="27" fillId="7" borderId="1" xfId="0" applyFont="1" applyFill="1" applyBorder="1"/>
    <xf numFmtId="5" fontId="27" fillId="7" borderId="1" xfId="9" applyNumberFormat="1" applyFont="1" applyFill="1" applyBorder="1"/>
    <xf numFmtId="5" fontId="27" fillId="7" borderId="1" xfId="3" applyNumberFormat="1" applyFont="1" applyFill="1" applyBorder="1"/>
    <xf numFmtId="164" fontId="27" fillId="7" borderId="1" xfId="9" applyNumberFormat="1" applyFont="1" applyFill="1" applyBorder="1"/>
    <xf numFmtId="5" fontId="27" fillId="7" borderId="1" xfId="9" applyNumberFormat="1" applyFont="1" applyFill="1" applyBorder="1" applyAlignment="1">
      <alignment horizontal="right"/>
    </xf>
    <xf numFmtId="5" fontId="27" fillId="7" borderId="1" xfId="3" applyNumberFormat="1" applyFont="1" applyFill="1" applyBorder="1" applyAlignment="1">
      <alignment horizontal="right"/>
    </xf>
    <xf numFmtId="164" fontId="27" fillId="7" borderId="1" xfId="2" applyNumberFormat="1" applyFont="1" applyFill="1" applyBorder="1"/>
    <xf numFmtId="0" fontId="27" fillId="7" borderId="7" xfId="1" applyFont="1" applyFill="1" applyBorder="1"/>
    <xf numFmtId="7" fontId="27" fillId="7" borderId="1" xfId="2" applyNumberFormat="1" applyFont="1" applyFill="1" applyBorder="1"/>
    <xf numFmtId="0" fontId="27" fillId="7" borderId="1" xfId="0" applyFont="1" applyFill="1" applyBorder="1" applyAlignment="1">
      <alignment horizontal="center"/>
    </xf>
    <xf numFmtId="0" fontId="28" fillId="7" borderId="1" xfId="0" applyFont="1" applyFill="1" applyBorder="1"/>
    <xf numFmtId="0" fontId="27" fillId="7" borderId="1" xfId="0" applyFont="1" applyFill="1" applyBorder="1" applyAlignment="1">
      <alignment horizontal="left"/>
    </xf>
    <xf numFmtId="165" fontId="27" fillId="7" borderId="1" xfId="0" applyNumberFormat="1" applyFont="1" applyFill="1" applyBorder="1"/>
    <xf numFmtId="0" fontId="30" fillId="0" borderId="0" xfId="0" applyFont="1"/>
    <xf numFmtId="0" fontId="4" fillId="0" borderId="0" xfId="0" applyFont="1" applyAlignment="1">
      <alignment horizontal="center" vertical="center"/>
    </xf>
    <xf numFmtId="0" fontId="4" fillId="0" borderId="0" xfId="0" applyFont="1" applyAlignment="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0" fillId="0" borderId="0" xfId="0" applyFont="1" applyAlignment="1">
      <alignment vertical="center"/>
    </xf>
    <xf numFmtId="0" fontId="28" fillId="0" borderId="0" xfId="0" applyFont="1"/>
    <xf numFmtId="165" fontId="30" fillId="0" borderId="0" xfId="5" applyNumberFormat="1" applyFont="1"/>
    <xf numFmtId="0" fontId="28" fillId="7" borderId="1" xfId="0" applyFont="1" applyFill="1" applyBorder="1" applyAlignment="1">
      <alignment horizontal="center"/>
    </xf>
    <xf numFmtId="42" fontId="27" fillId="7" borderId="1" xfId="2" applyNumberFormat="1" applyFont="1" applyFill="1" applyBorder="1"/>
    <xf numFmtId="42" fontId="30" fillId="0" borderId="0" xfId="0" applyNumberFormat="1" applyFont="1"/>
    <xf numFmtId="165" fontId="4" fillId="0" borderId="0" xfId="5" applyNumberFormat="1" applyFont="1" applyBorder="1"/>
    <xf numFmtId="165" fontId="4" fillId="0" borderId="0" xfId="5" applyNumberFormat="1" applyFont="1" applyFill="1" applyBorder="1"/>
    <xf numFmtId="37" fontId="2" fillId="3" borderId="0" xfId="2" applyNumberFormat="1" applyFont="1" applyFill="1" applyBorder="1"/>
    <xf numFmtId="37" fontId="2" fillId="0" borderId="0" xfId="2" applyNumberFormat="1" applyFont="1" applyFill="1" applyBorder="1"/>
    <xf numFmtId="5" fontId="30" fillId="0" borderId="0" xfId="0" applyNumberFormat="1" applyFont="1"/>
    <xf numFmtId="0" fontId="27" fillId="7" borderId="0" xfId="0" applyFont="1" applyFill="1"/>
    <xf numFmtId="42" fontId="27" fillId="7" borderId="0" xfId="2" applyNumberFormat="1" applyFont="1" applyFill="1" applyBorder="1"/>
    <xf numFmtId="165" fontId="2" fillId="0" borderId="0" xfId="5" applyNumberFormat="1" applyFont="1" applyFill="1" applyBorder="1"/>
    <xf numFmtId="0" fontId="3" fillId="4" borderId="0" xfId="0" applyFont="1" applyFill="1"/>
    <xf numFmtId="165" fontId="30" fillId="0" borderId="0" xfId="0" applyNumberFormat="1" applyFont="1"/>
    <xf numFmtId="165" fontId="30" fillId="0" borderId="0" xfId="5" applyNumberFormat="1" applyFont="1" applyBorder="1"/>
    <xf numFmtId="0" fontId="28" fillId="7" borderId="3" xfId="0" applyFont="1" applyFill="1" applyBorder="1" applyAlignment="1">
      <alignment horizontal="center"/>
    </xf>
    <xf numFmtId="42" fontId="27" fillId="7" borderId="13" xfId="2" applyNumberFormat="1" applyFont="1" applyFill="1" applyBorder="1"/>
    <xf numFmtId="168" fontId="27" fillId="7" borderId="1" xfId="8" applyNumberFormat="1" applyFont="1" applyFill="1" applyBorder="1"/>
    <xf numFmtId="168" fontId="18" fillId="0" borderId="0" xfId="8" applyNumberFormat="1" applyFont="1"/>
    <xf numFmtId="164" fontId="30" fillId="0" borderId="0" xfId="2" applyNumberFormat="1" applyFont="1"/>
    <xf numFmtId="0" fontId="18" fillId="0" borderId="0" xfId="0" applyFont="1" applyAlignment="1">
      <alignment horizontal="center"/>
    </xf>
    <xf numFmtId="165" fontId="2" fillId="0" borderId="0" xfId="0" applyNumberFormat="1" applyFont="1"/>
    <xf numFmtId="165" fontId="2" fillId="0" borderId="0" xfId="0" applyNumberFormat="1" applyFont="1" applyAlignment="1">
      <alignment horizontal="right"/>
    </xf>
    <xf numFmtId="165" fontId="30" fillId="0" borderId="0" xfId="5" applyNumberFormat="1" applyFont="1" applyFill="1"/>
    <xf numFmtId="164" fontId="30" fillId="0" borderId="0" xfId="2" applyNumberFormat="1" applyFont="1" applyFill="1"/>
    <xf numFmtId="0" fontId="31" fillId="0" borderId="0" xfId="0" applyFont="1"/>
    <xf numFmtId="43" fontId="30" fillId="0" borderId="0" xfId="2" applyFont="1"/>
    <xf numFmtId="164" fontId="30" fillId="0" borderId="0" xfId="0" applyNumberFormat="1" applyFont="1"/>
    <xf numFmtId="0" fontId="16" fillId="0" borderId="0" xfId="4" quotePrefix="1" applyAlignment="1" applyProtection="1"/>
    <xf numFmtId="0" fontId="34" fillId="7" borderId="3" xfId="4" applyFont="1" applyFill="1" applyBorder="1" applyAlignment="1" applyProtection="1">
      <alignment horizontal="center" vertical="center"/>
    </xf>
    <xf numFmtId="0" fontId="27" fillId="0" borderId="0" xfId="0" applyFont="1" applyAlignment="1">
      <alignment horizontal="center"/>
    </xf>
    <xf numFmtId="0" fontId="27" fillId="0" borderId="0" xfId="0" applyFont="1"/>
    <xf numFmtId="164" fontId="27" fillId="0" borderId="0" xfId="2" applyNumberFormat="1" applyFont="1" applyFill="1" applyBorder="1"/>
    <xf numFmtId="0" fontId="27" fillId="0" borderId="0" xfId="0" applyFont="1" applyAlignment="1">
      <alignment horizontal="left"/>
    </xf>
    <xf numFmtId="165" fontId="27" fillId="0" borderId="0" xfId="0" applyNumberFormat="1" applyFont="1"/>
    <xf numFmtId="0" fontId="2" fillId="0" borderId="6" xfId="1" applyBorder="1" applyAlignment="1">
      <alignment horizontal="left" indent="2"/>
    </xf>
    <xf numFmtId="0" fontId="27" fillId="7" borderId="1" xfId="0" applyFont="1" applyFill="1" applyBorder="1" applyAlignment="1">
      <alignment wrapText="1"/>
    </xf>
    <xf numFmtId="164" fontId="28" fillId="7" borderId="1" xfId="9" applyNumberFormat="1" applyFont="1" applyFill="1" applyBorder="1"/>
    <xf numFmtId="5" fontId="27" fillId="7" borderId="1" xfId="0" applyNumberFormat="1" applyFont="1" applyFill="1" applyBorder="1"/>
    <xf numFmtId="0" fontId="31" fillId="0" borderId="0" xfId="0" applyFont="1" applyAlignment="1">
      <alignment horizontal="left"/>
    </xf>
    <xf numFmtId="0" fontId="28" fillId="7" borderId="1" xfId="0" applyFont="1" applyFill="1" applyBorder="1" applyAlignment="1">
      <alignment horizontal="left" indent="1"/>
    </xf>
    <xf numFmtId="5" fontId="28" fillId="7" borderId="1" xfId="0" applyNumberFormat="1" applyFont="1" applyFill="1" applyBorder="1"/>
    <xf numFmtId="0" fontId="33" fillId="0" borderId="0" xfId="0" applyFont="1"/>
    <xf numFmtId="164" fontId="5" fillId="0" borderId="0" xfId="0" applyNumberFormat="1" applyFont="1"/>
    <xf numFmtId="165" fontId="37" fillId="0" borderId="0" xfId="5" applyNumberFormat="1" applyFont="1" applyFill="1" applyBorder="1" applyAlignment="1">
      <alignment horizontal="right"/>
    </xf>
    <xf numFmtId="164" fontId="10" fillId="0" borderId="0" xfId="2" applyNumberFormat="1" applyFont="1" applyFill="1"/>
    <xf numFmtId="164" fontId="10" fillId="0" borderId="5" xfId="2" applyNumberFormat="1" applyFont="1" applyBorder="1"/>
    <xf numFmtId="164" fontId="10" fillId="0" borderId="0" xfId="2" applyNumberFormat="1" applyFont="1" applyFill="1" applyBorder="1" applyAlignment="1">
      <alignment horizontal="right"/>
    </xf>
    <xf numFmtId="165" fontId="4" fillId="0" borderId="0" xfId="0" applyNumberFormat="1" applyFont="1"/>
    <xf numFmtId="5" fontId="27" fillId="7" borderId="13" xfId="0" applyNumberFormat="1" applyFont="1" applyFill="1" applyBorder="1"/>
    <xf numFmtId="0" fontId="28" fillId="7" borderId="14" xfId="0" applyFont="1" applyFill="1" applyBorder="1" applyAlignment="1">
      <alignment horizontal="center"/>
    </xf>
    <xf numFmtId="0" fontId="27" fillId="7" borderId="14" xfId="0" applyFont="1" applyFill="1" applyBorder="1"/>
    <xf numFmtId="0" fontId="28" fillId="7" borderId="14" xfId="0" applyFont="1" applyFill="1" applyBorder="1"/>
    <xf numFmtId="43" fontId="21" fillId="0" borderId="0" xfId="2" applyFont="1"/>
    <xf numFmtId="43" fontId="0" fillId="0" borderId="0" xfId="2" applyFont="1"/>
    <xf numFmtId="5" fontId="5" fillId="0" borderId="0" xfId="0" applyNumberFormat="1" applyFont="1"/>
    <xf numFmtId="168" fontId="4" fillId="0" borderId="0" xfId="8" applyNumberFormat="1" applyFont="1"/>
    <xf numFmtId="164" fontId="3" fillId="3" borderId="1" xfId="2" applyNumberFormat="1" applyFont="1" applyFill="1" applyBorder="1"/>
    <xf numFmtId="164" fontId="3" fillId="0" borderId="1" xfId="2" applyNumberFormat="1" applyFont="1" applyFill="1" applyBorder="1"/>
    <xf numFmtId="164" fontId="3" fillId="0" borderId="1" xfId="2" applyNumberFormat="1" applyFont="1" applyBorder="1"/>
    <xf numFmtId="164" fontId="5" fillId="0" borderId="0" xfId="2" applyNumberFormat="1" applyFont="1" applyFill="1"/>
    <xf numFmtId="164" fontId="27" fillId="7" borderId="1" xfId="2" applyNumberFormat="1" applyFont="1" applyFill="1" applyBorder="1" applyAlignment="1">
      <alignment horizontal="right"/>
    </xf>
    <xf numFmtId="164" fontId="5" fillId="0" borderId="0" xfId="2" applyNumberFormat="1" applyFont="1" applyFill="1" applyAlignment="1">
      <alignment horizontal="right"/>
    </xf>
    <xf numFmtId="164" fontId="4" fillId="0" borderId="0" xfId="2" applyNumberFormat="1" applyFont="1" applyAlignment="1">
      <alignment horizontal="right"/>
    </xf>
    <xf numFmtId="168" fontId="4" fillId="0" borderId="0" xfId="0" applyNumberFormat="1" applyFont="1"/>
    <xf numFmtId="169" fontId="30" fillId="0" borderId="0" xfId="0" applyNumberFormat="1" applyFont="1"/>
    <xf numFmtId="164" fontId="3" fillId="0" borderId="0" xfId="2" applyNumberFormat="1" applyFont="1" applyAlignment="1">
      <alignment horizontal="center"/>
    </xf>
    <xf numFmtId="43" fontId="5" fillId="2" borderId="0" xfId="2" applyFont="1" applyFill="1" applyBorder="1"/>
    <xf numFmtId="43" fontId="2" fillId="0" borderId="0" xfId="2" applyFont="1" applyFill="1" applyBorder="1"/>
    <xf numFmtId="39" fontId="2" fillId="0" borderId="0" xfId="2" applyNumberFormat="1" applyFont="1" applyFill="1" applyBorder="1" applyAlignment="1">
      <alignment horizontal="right"/>
    </xf>
    <xf numFmtId="43" fontId="5" fillId="0" borderId="0" xfId="2" applyFont="1" applyFill="1" applyBorder="1"/>
    <xf numFmtId="39" fontId="10" fillId="0" borderId="0" xfId="5" applyNumberFormat="1" applyFont="1" applyFill="1" applyBorder="1"/>
    <xf numFmtId="39" fontId="2" fillId="0" borderId="0" xfId="0" applyNumberFormat="1" applyFont="1"/>
    <xf numFmtId="164" fontId="5" fillId="0" borderId="0" xfId="2" applyNumberFormat="1" applyFont="1" applyFill="1" applyBorder="1"/>
    <xf numFmtId="164" fontId="2" fillId="6" borderId="0" xfId="2" applyNumberFormat="1" applyFont="1" applyFill="1"/>
    <xf numFmtId="39" fontId="2" fillId="0" borderId="0" xfId="2" applyNumberFormat="1" applyFont="1" applyFill="1" applyBorder="1"/>
    <xf numFmtId="39" fontId="10" fillId="0" borderId="0" xfId="5" applyNumberFormat="1" applyFont="1" applyFill="1" applyBorder="1" applyAlignment="1">
      <alignment horizontal="right"/>
    </xf>
    <xf numFmtId="37" fontId="2" fillId="0" borderId="0" xfId="2" applyNumberFormat="1" applyFont="1" applyFill="1" applyBorder="1" applyAlignment="1">
      <alignment horizontal="right"/>
    </xf>
    <xf numFmtId="168" fontId="2" fillId="0" borderId="0" xfId="8" applyNumberFormat="1" applyFont="1"/>
    <xf numFmtId="170" fontId="5" fillId="0" borderId="0" xfId="2" applyNumberFormat="1" applyFont="1"/>
    <xf numFmtId="170" fontId="21" fillId="0" borderId="0" xfId="2" applyNumberFormat="1" applyFont="1"/>
    <xf numFmtId="43" fontId="5" fillId="0" borderId="0" xfId="0" applyNumberFormat="1" applyFont="1"/>
    <xf numFmtId="43" fontId="26" fillId="0" borderId="0" xfId="2" applyFont="1" applyAlignment="1">
      <alignment horizontal="center" wrapText="1"/>
    </xf>
    <xf numFmtId="0" fontId="26" fillId="0" borderId="0" xfId="0" applyFont="1" applyAlignment="1">
      <alignment horizontal="center" wrapText="1"/>
    </xf>
    <xf numFmtId="0" fontId="25" fillId="0" borderId="0" xfId="0" applyFont="1" applyAlignment="1">
      <alignment horizontal="center" wrapText="1"/>
    </xf>
    <xf numFmtId="164" fontId="25" fillId="0" borderId="0" xfId="2" applyNumberFormat="1" applyFont="1" applyAlignment="1">
      <alignment horizontal="center" wrapText="1"/>
    </xf>
    <xf numFmtId="0" fontId="20" fillId="0" borderId="0" xfId="0" applyFont="1" applyAlignment="1">
      <alignment horizontal="center" wrapText="1"/>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3" fillId="0" borderId="0" xfId="0" applyFont="1" applyAlignment="1">
      <alignment horizontal="left"/>
    </xf>
    <xf numFmtId="0" fontId="33" fillId="0" borderId="0" xfId="0" applyFont="1" applyAlignment="1">
      <alignment horizontal="left" vertical="center" wrapText="1"/>
    </xf>
    <xf numFmtId="0" fontId="30" fillId="0" borderId="0" xfId="0" applyFont="1" applyAlignment="1">
      <alignment horizontal="center"/>
    </xf>
    <xf numFmtId="0" fontId="39" fillId="0" borderId="0" xfId="0" applyFont="1" applyAlignment="1">
      <alignment horizontal="center" wrapText="1"/>
    </xf>
  </cellXfs>
  <cellStyles count="10">
    <cellStyle name="%" xfId="1" xr:uid="{00000000-0005-0000-0000-000000000000}"/>
    <cellStyle name="Comma" xfId="2" builtinId="3"/>
    <cellStyle name="Comma 2" xfId="3" xr:uid="{00000000-0005-0000-0000-000002000000}"/>
    <cellStyle name="Comma 2 2" xfId="9" xr:uid="{7FF4B589-6789-4E7D-AAC6-8FD4EF3114CB}"/>
    <cellStyle name="Currency" xfId="8" builtinId="4"/>
    <cellStyle name="Hyperlink" xfId="4" builtinId="8"/>
    <cellStyle name="Normal" xfId="0" builtinId="0"/>
    <cellStyle name="Percent" xfId="5" builtinId="5"/>
    <cellStyle name="Percent 2" xfId="6" xr:uid="{00000000-0005-0000-0000-000007000000}"/>
    <cellStyle name="Percent 3" xfId="7" xr:uid="{00000000-0005-0000-0000-000008000000}"/>
  </cellStyles>
  <dxfs count="0"/>
  <tableStyles count="0" defaultTableStyle="TableStyleMedium9" defaultPivotStyle="PivotStyleLight16"/>
  <colors>
    <mruColors>
      <color rgb="FFFF5C01"/>
      <color rgb="FFFF9966"/>
      <color rgb="FFFF937D"/>
      <color rgb="FFFFCC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47627</xdr:colOff>
      <xdr:row>0</xdr:row>
      <xdr:rowOff>2</xdr:rowOff>
    </xdr:from>
    <xdr:to>
      <xdr:col>1</xdr:col>
      <xdr:colOff>335758</xdr:colOff>
      <xdr:row>1</xdr:row>
      <xdr:rowOff>366714</xdr:rowOff>
    </xdr:to>
    <xdr:pic>
      <xdr:nvPicPr>
        <xdr:cNvPr id="3" name="Picture 2" descr="cid:image001.png@01D7AA39.D1F7E16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7" y="2"/>
          <a:ext cx="895350" cy="5334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0</xdr:col>
      <xdr:colOff>833967</xdr:colOff>
      <xdr:row>1</xdr:row>
      <xdr:rowOff>232833</xdr:rowOff>
    </xdr:to>
    <xdr:pic>
      <xdr:nvPicPr>
        <xdr:cNvPr id="2" name="Picture 1" descr="cid:image001.png@01D7AA39.D1F7E160">
          <a:extLst>
            <a:ext uri="{FF2B5EF4-FFF2-40B4-BE49-F238E27FC236}">
              <a16:creationId xmlns:a16="http://schemas.microsoft.com/office/drawing/2014/main" id="{168189A8-B751-4979-9F76-E5413126790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0"/>
          <a:ext cx="762000" cy="4222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762000</xdr:colOff>
      <xdr:row>1</xdr:row>
      <xdr:rowOff>232833</xdr:rowOff>
    </xdr:to>
    <xdr:pic>
      <xdr:nvPicPr>
        <xdr:cNvPr id="3" name="Picture 2" descr="cid:image001.png@01D7AA39.D1F7E160">
          <a:extLst>
            <a:ext uri="{FF2B5EF4-FFF2-40B4-BE49-F238E27FC236}">
              <a16:creationId xmlns:a16="http://schemas.microsoft.com/office/drawing/2014/main" id="{3EC02254-23F0-4949-BC3A-8E39D58448F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000" cy="423333"/>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762000</xdr:colOff>
      <xdr:row>2</xdr:row>
      <xdr:rowOff>72813</xdr:rowOff>
    </xdr:to>
    <xdr:pic>
      <xdr:nvPicPr>
        <xdr:cNvPr id="4" name="Picture 3" descr="cid:image001.png@01D7AA39.D1F7E160">
          <a:extLst>
            <a:ext uri="{FF2B5EF4-FFF2-40B4-BE49-F238E27FC236}">
              <a16:creationId xmlns:a16="http://schemas.microsoft.com/office/drawing/2014/main" id="{43A2AD35-0363-447C-A4EE-9F8298E9C78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000" cy="42333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603250</xdr:colOff>
      <xdr:row>2</xdr:row>
      <xdr:rowOff>58208</xdr:rowOff>
    </xdr:to>
    <xdr:pic>
      <xdr:nvPicPr>
        <xdr:cNvPr id="2" name="Picture 1" descr="cid:image001.png@01D7AA39.D1F7E160">
          <a:extLst>
            <a:ext uri="{FF2B5EF4-FFF2-40B4-BE49-F238E27FC236}">
              <a16:creationId xmlns:a16="http://schemas.microsoft.com/office/drawing/2014/main" id="{2FE602F4-13F6-44D8-B8C2-14A6203D852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000" cy="42333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606425</xdr:colOff>
      <xdr:row>2</xdr:row>
      <xdr:rowOff>64558</xdr:rowOff>
    </xdr:to>
    <xdr:pic>
      <xdr:nvPicPr>
        <xdr:cNvPr id="3" name="Picture 2" descr="cid:image001.png@01D7AA39.D1F7E160">
          <a:extLst>
            <a:ext uri="{FF2B5EF4-FFF2-40B4-BE49-F238E27FC236}">
              <a16:creationId xmlns:a16="http://schemas.microsoft.com/office/drawing/2014/main" id="{AEBE2103-D8F9-4467-99B6-8B76795F3CA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5175" cy="42968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0</xdr:col>
      <xdr:colOff>814917</xdr:colOff>
      <xdr:row>1</xdr:row>
      <xdr:rowOff>222250</xdr:rowOff>
    </xdr:to>
    <xdr:pic>
      <xdr:nvPicPr>
        <xdr:cNvPr id="2" name="Picture 1" descr="cid:image001.png@01D7AA39.D1F7E160">
          <a:extLst>
            <a:ext uri="{FF2B5EF4-FFF2-40B4-BE49-F238E27FC236}">
              <a16:creationId xmlns:a16="http://schemas.microsoft.com/office/drawing/2014/main" id="{FD89F8C3-97EB-417C-8817-C614E3C1AAD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0"/>
          <a:ext cx="762000" cy="4222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31750</xdr:colOff>
      <xdr:row>0</xdr:row>
      <xdr:rowOff>1</xdr:rowOff>
    </xdr:from>
    <xdr:to>
      <xdr:col>1</xdr:col>
      <xdr:colOff>568537</xdr:colOff>
      <xdr:row>2</xdr:row>
      <xdr:rowOff>1</xdr:rowOff>
    </xdr:to>
    <xdr:pic>
      <xdr:nvPicPr>
        <xdr:cNvPr id="3" name="Picture 2" descr="cid:image001.png@01D7AA39.D1F7E16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1"/>
          <a:ext cx="687917" cy="3492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6"/>
  <sheetViews>
    <sheetView showGridLines="0" tabSelected="1" zoomScale="80" zoomScaleNormal="80" workbookViewId="0"/>
  </sheetViews>
  <sheetFormatPr defaultColWidth="9.140625" defaultRowHeight="12.75"/>
  <cols>
    <col min="1" max="1" width="9.140625" style="5"/>
    <col min="2" max="2" width="36.42578125" style="5" customWidth="1"/>
    <col min="3" max="16384" width="9.140625" style="5"/>
  </cols>
  <sheetData>
    <row r="1" spans="1:10" s="2" customFormat="1"/>
    <row r="2" spans="1:10" ht="34.5" customHeight="1">
      <c r="A2" s="2"/>
      <c r="B2" s="2"/>
      <c r="C2" s="2"/>
      <c r="D2" s="2"/>
      <c r="E2" s="2"/>
      <c r="F2" s="2"/>
      <c r="G2" s="2"/>
      <c r="H2" s="2"/>
      <c r="I2" s="2"/>
      <c r="J2" s="2"/>
    </row>
    <row r="4" spans="1:10" ht="15.75">
      <c r="A4" s="56">
        <v>1</v>
      </c>
      <c r="B4" s="75" t="s">
        <v>0</v>
      </c>
      <c r="C4" s="2"/>
      <c r="D4" s="2"/>
      <c r="E4" s="2"/>
      <c r="F4" s="2"/>
      <c r="G4" s="2"/>
      <c r="H4" s="2"/>
      <c r="I4" s="2"/>
      <c r="J4" s="2"/>
    </row>
    <row r="5" spans="1:10" ht="15.75">
      <c r="A5" s="56">
        <v>2</v>
      </c>
      <c r="B5" s="75" t="s">
        <v>1</v>
      </c>
      <c r="C5" s="2"/>
      <c r="D5" s="2"/>
      <c r="E5" s="2"/>
      <c r="F5" s="2"/>
      <c r="G5" s="2"/>
      <c r="H5" s="2"/>
      <c r="I5" s="2"/>
      <c r="J5" s="2"/>
    </row>
    <row r="6" spans="1:10" ht="15.75">
      <c r="A6" s="56">
        <v>3</v>
      </c>
      <c r="B6" s="75" t="s">
        <v>2</v>
      </c>
      <c r="C6" s="2"/>
      <c r="D6" s="2"/>
      <c r="E6" s="2"/>
      <c r="F6" s="2"/>
      <c r="G6" s="2"/>
      <c r="H6" s="2"/>
      <c r="I6" s="2"/>
      <c r="J6" s="2"/>
    </row>
    <row r="7" spans="1:10" ht="15.75">
      <c r="A7" s="56">
        <v>4</v>
      </c>
      <c r="B7" s="75" t="s">
        <v>3</v>
      </c>
      <c r="C7" s="2"/>
      <c r="D7" s="2"/>
      <c r="E7" s="2"/>
      <c r="F7" s="2"/>
      <c r="G7" s="2"/>
      <c r="H7" s="2"/>
      <c r="I7" s="2"/>
      <c r="J7" s="2"/>
    </row>
    <row r="8" spans="1:10" ht="15.75">
      <c r="A8" s="56">
        <v>5</v>
      </c>
      <c r="B8" s="188" t="s">
        <v>4</v>
      </c>
      <c r="C8" s="2"/>
      <c r="D8" s="2"/>
      <c r="E8" s="2"/>
      <c r="F8" s="2"/>
      <c r="G8" s="2"/>
      <c r="H8" s="2"/>
      <c r="I8" s="2"/>
      <c r="J8" s="2"/>
    </row>
    <row r="9" spans="1:10" ht="15.75">
      <c r="A9" s="56">
        <v>6</v>
      </c>
      <c r="B9" s="122" t="s">
        <v>5</v>
      </c>
      <c r="C9" s="29"/>
      <c r="D9" s="29"/>
      <c r="E9" s="29"/>
      <c r="F9" s="29"/>
      <c r="G9" s="29"/>
      <c r="H9" s="29"/>
      <c r="I9" s="29"/>
      <c r="J9" s="29"/>
    </row>
    <row r="10" spans="1:10" ht="15.75">
      <c r="A10" s="56">
        <v>7</v>
      </c>
      <c r="B10" s="75" t="s">
        <v>6</v>
      </c>
      <c r="C10" s="29"/>
      <c r="D10" s="29"/>
      <c r="E10" s="29"/>
      <c r="F10" s="29"/>
      <c r="G10" s="29"/>
      <c r="H10" s="29"/>
      <c r="I10" s="29"/>
      <c r="J10" s="29"/>
    </row>
    <row r="11" spans="1:10">
      <c r="A11" s="29"/>
      <c r="B11" s="30"/>
      <c r="C11" s="29"/>
      <c r="D11" s="29"/>
      <c r="E11" s="29"/>
      <c r="F11" s="29"/>
      <c r="G11" s="29"/>
      <c r="H11" s="29"/>
      <c r="I11" s="29"/>
      <c r="J11" s="29"/>
    </row>
    <row r="12" spans="1:10">
      <c r="A12" s="29"/>
      <c r="B12" s="30"/>
      <c r="C12" s="29"/>
      <c r="D12" s="29"/>
      <c r="E12" s="29"/>
      <c r="F12" s="29"/>
      <c r="G12" s="29"/>
      <c r="H12" s="29"/>
      <c r="I12" s="29"/>
      <c r="J12" s="29"/>
    </row>
    <row r="13" spans="1:10">
      <c r="A13" s="29"/>
      <c r="B13" s="30"/>
      <c r="C13" s="29"/>
      <c r="D13" s="29"/>
      <c r="E13" s="29"/>
      <c r="F13" s="29"/>
      <c r="G13" s="29"/>
      <c r="H13" s="29"/>
      <c r="I13" s="29"/>
      <c r="J13" s="29"/>
    </row>
    <row r="14" spans="1:10">
      <c r="A14" s="29"/>
      <c r="B14" s="29"/>
      <c r="C14" s="29"/>
      <c r="D14" s="29"/>
      <c r="E14" s="29"/>
      <c r="F14" s="29"/>
      <c r="G14" s="29"/>
      <c r="H14" s="29"/>
      <c r="I14" s="29"/>
      <c r="J14" s="29"/>
    </row>
    <row r="15" spans="1:10">
      <c r="A15" s="29"/>
      <c r="B15" s="29"/>
      <c r="C15" s="29"/>
      <c r="D15" s="29"/>
      <c r="E15" s="29"/>
      <c r="F15" s="29"/>
      <c r="G15" s="29"/>
      <c r="H15" s="29"/>
      <c r="I15" s="29"/>
      <c r="J15" s="29"/>
    </row>
    <row r="16" spans="1:10">
      <c r="A16" s="29"/>
      <c r="B16" s="29"/>
      <c r="C16" s="29"/>
      <c r="D16" s="29"/>
      <c r="E16" s="29"/>
      <c r="F16" s="29"/>
      <c r="G16" s="29"/>
      <c r="H16" s="29"/>
      <c r="I16" s="29"/>
      <c r="J16" s="29"/>
    </row>
  </sheetData>
  <hyperlinks>
    <hyperlink ref="B4" location="'Income Statement'!A1" display="Income Statement" xr:uid="{00000000-0004-0000-0000-000000000000}"/>
    <hyperlink ref="B5" location="'Balance Sheet'!A1" display="Balance Sheet" xr:uid="{00000000-0004-0000-0000-000001000000}"/>
    <hyperlink ref="B6" location="Cashflow!A1" display="Cashflow Statement" xr:uid="{00000000-0004-0000-0000-000002000000}"/>
    <hyperlink ref="B10" location="'Other Metrics'!A1" display="Other metrics" xr:uid="{00000000-0004-0000-0000-000003000000}"/>
    <hyperlink ref="B7" location="'Revenue &amp; Margin'!A1" display="Revenue and Margin" xr:uid="{00000000-0004-0000-0000-000004000000}"/>
    <hyperlink ref="B9" location="'Non-GAAP'!A1" display="Non-GAAP" xr:uid="{93297CB1-A8B1-467B-BCDC-E009AF99227C}"/>
    <hyperlink ref="B8" location="'Revenue &amp; Margin (eff. 2025)'!A1" display="Revenue and Margin (effective 2025)" xr:uid="{C67EB0AD-6B8F-43AD-8F26-5C22293A3626}"/>
  </hyperlinks>
  <pageMargins left="0.7" right="0.7" top="0.75" bottom="0.75" header="0.3" footer="0.3"/>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3A709-D052-42CF-A377-1FE16C865CF9}">
  <sheetPr>
    <pageSetUpPr fitToPage="1"/>
  </sheetPr>
  <dimension ref="A1:AW64"/>
  <sheetViews>
    <sheetView showGridLines="0" view="pageBreakPreview" zoomScale="80" zoomScaleNormal="90" zoomScaleSheetLayoutView="80" workbookViewId="0">
      <pane xSplit="1" ySplit="8" topLeftCell="B9" activePane="bottomRight" state="frozen"/>
      <selection pane="bottomRight"/>
      <selection pane="bottomLeft" activeCell="W25" sqref="W25"/>
      <selection pane="topRight" activeCell="W25" sqref="W25"/>
    </sheetView>
  </sheetViews>
  <sheetFormatPr defaultColWidth="9.140625" defaultRowHeight="12.75" outlineLevelCol="1"/>
  <cols>
    <col min="1" max="1" width="79.5703125" style="20" customWidth="1"/>
    <col min="2" max="5" width="12.140625" style="20" hidden="1" customWidth="1" outlineLevel="1"/>
    <col min="6" max="6" width="12.140625" style="20" customWidth="1" collapsed="1"/>
    <col min="7" max="10" width="12.140625" style="20" hidden="1" customWidth="1" outlineLevel="1"/>
    <col min="11" max="11" width="12.140625" style="20" customWidth="1" collapsed="1"/>
    <col min="12" max="15" width="12.140625" style="20" hidden="1" customWidth="1" outlineLevel="1"/>
    <col min="16" max="16" width="12.140625" style="20" customWidth="1" collapsed="1"/>
    <col min="17" max="20" width="12.140625" style="20" hidden="1" customWidth="1" outlineLevel="1"/>
    <col min="21" max="21" width="12.140625" style="20" customWidth="1" collapsed="1"/>
    <col min="22" max="24" width="12.140625" style="20" customWidth="1"/>
    <col min="25" max="25" width="10.5703125" style="213" customWidth="1"/>
    <col min="26" max="26" width="10.28515625" style="20" customWidth="1"/>
    <col min="27" max="27" width="12.140625" style="20" customWidth="1"/>
    <col min="28" max="28" width="11.7109375" style="20" bestFit="1" customWidth="1"/>
    <col min="29" max="30" width="12.7109375" style="20" bestFit="1" customWidth="1"/>
    <col min="31" max="16384" width="9.140625" style="20"/>
  </cols>
  <sheetData>
    <row r="1" spans="1:49" ht="15">
      <c r="C1" s="98"/>
      <c r="D1" s="98"/>
      <c r="E1" s="98"/>
      <c r="J1" s="98"/>
      <c r="X1" s="189" t="s">
        <v>7</v>
      </c>
      <c r="AA1" s="105"/>
      <c r="AB1" s="105"/>
    </row>
    <row r="2" spans="1:49" ht="30.75" customHeight="1">
      <c r="A2" s="65"/>
      <c r="F2" s="97"/>
      <c r="G2" s="97"/>
      <c r="H2" s="97"/>
      <c r="I2" s="97"/>
      <c r="J2" s="97"/>
      <c r="K2" s="97"/>
      <c r="L2" s="97"/>
      <c r="M2" s="97"/>
      <c r="N2" s="97"/>
      <c r="O2" s="97"/>
      <c r="P2" s="97"/>
      <c r="Q2" s="97"/>
      <c r="R2" s="97"/>
      <c r="S2" s="97"/>
      <c r="T2" s="97"/>
      <c r="U2" s="97"/>
      <c r="V2" s="97"/>
      <c r="W2" s="97"/>
      <c r="X2" s="97"/>
      <c r="AA2" s="97"/>
    </row>
    <row r="3" spans="1:49" ht="15" customHeight="1">
      <c r="Y3" s="242"/>
      <c r="Z3" s="243"/>
      <c r="AA3" s="243"/>
    </row>
    <row r="4" spans="1:49" s="4" customFormat="1">
      <c r="A4" s="21" t="s">
        <v>0</v>
      </c>
      <c r="B4" s="4">
        <v>2021</v>
      </c>
      <c r="C4" s="4">
        <v>2021</v>
      </c>
      <c r="D4" s="4">
        <v>2021</v>
      </c>
      <c r="E4" s="4">
        <v>2021</v>
      </c>
      <c r="F4" s="4">
        <v>2021</v>
      </c>
      <c r="G4" s="4">
        <v>2022</v>
      </c>
      <c r="H4" s="4">
        <v>2022</v>
      </c>
      <c r="I4" s="4">
        <v>2022</v>
      </c>
      <c r="J4" s="4">
        <v>2022</v>
      </c>
      <c r="K4" s="4">
        <v>2022</v>
      </c>
      <c r="L4" s="4">
        <v>2023</v>
      </c>
      <c r="M4" s="4">
        <v>2023</v>
      </c>
      <c r="N4" s="4">
        <v>2023</v>
      </c>
      <c r="O4" s="4">
        <v>2023</v>
      </c>
      <c r="P4" s="4">
        <v>2023</v>
      </c>
      <c r="Q4" s="4">
        <v>2024</v>
      </c>
      <c r="R4" s="4">
        <v>2024</v>
      </c>
      <c r="S4" s="4">
        <v>2024</v>
      </c>
      <c r="T4" s="4">
        <v>2024</v>
      </c>
      <c r="U4" s="4">
        <v>2024</v>
      </c>
      <c r="V4" s="4">
        <v>2025</v>
      </c>
      <c r="W4" s="4">
        <v>2025</v>
      </c>
      <c r="X4" s="4">
        <v>2025</v>
      </c>
      <c r="Y4" s="242"/>
      <c r="Z4" s="243"/>
      <c r="AA4" s="243"/>
    </row>
    <row r="5" spans="1:49" s="4" customFormat="1" ht="15" customHeight="1">
      <c r="A5" s="21" t="s">
        <v>8</v>
      </c>
      <c r="B5" s="4" t="s">
        <v>9</v>
      </c>
      <c r="C5" s="4" t="s">
        <v>10</v>
      </c>
      <c r="D5" s="4" t="s">
        <v>11</v>
      </c>
      <c r="E5" s="4" t="s">
        <v>12</v>
      </c>
      <c r="F5" s="4" t="s">
        <v>13</v>
      </c>
      <c r="G5" s="4" t="s">
        <v>9</v>
      </c>
      <c r="H5" s="4" t="s">
        <v>10</v>
      </c>
      <c r="I5" s="4" t="s">
        <v>11</v>
      </c>
      <c r="J5" s="4" t="s">
        <v>12</v>
      </c>
      <c r="K5" s="4" t="s">
        <v>13</v>
      </c>
      <c r="L5" s="4" t="s">
        <v>9</v>
      </c>
      <c r="M5" s="4" t="s">
        <v>10</v>
      </c>
      <c r="N5" s="4" t="s">
        <v>11</v>
      </c>
      <c r="O5" s="4" t="s">
        <v>12</v>
      </c>
      <c r="P5" s="4" t="s">
        <v>13</v>
      </c>
      <c r="Q5" s="4" t="s">
        <v>9</v>
      </c>
      <c r="R5" s="4" t="s">
        <v>10</v>
      </c>
      <c r="S5" s="4" t="s">
        <v>11</v>
      </c>
      <c r="T5" s="4" t="s">
        <v>12</v>
      </c>
      <c r="U5" s="4" t="s">
        <v>13</v>
      </c>
      <c r="V5" s="4" t="s">
        <v>9</v>
      </c>
      <c r="W5" s="4" t="s">
        <v>10</v>
      </c>
      <c r="X5" s="4" t="s">
        <v>11</v>
      </c>
      <c r="Y5" s="242"/>
      <c r="Z5" s="243"/>
      <c r="AA5" s="243"/>
    </row>
    <row r="6" spans="1:49" ht="6" customHeight="1">
      <c r="Y6" s="242"/>
      <c r="Z6" s="243"/>
      <c r="AA6" s="243"/>
    </row>
    <row r="7" spans="1:49" ht="6" customHeight="1">
      <c r="Z7" s="104"/>
    </row>
    <row r="8" spans="1:49" s="10" customFormat="1">
      <c r="A8" s="137" t="s">
        <v>14</v>
      </c>
      <c r="B8" s="138">
        <v>261415</v>
      </c>
      <c r="C8" s="138">
        <v>275064</v>
      </c>
      <c r="D8" s="138">
        <v>290325</v>
      </c>
      <c r="E8" s="138">
        <f>+F8-SUM(B8:D8)</f>
        <v>295489</v>
      </c>
      <c r="F8" s="138">
        <v>1122293</v>
      </c>
      <c r="G8" s="138">
        <v>329208</v>
      </c>
      <c r="H8" s="138">
        <v>346782</v>
      </c>
      <c r="I8" s="138">
        <v>361351</v>
      </c>
      <c r="J8" s="138">
        <f>+K8-SUM(G8:I8)</f>
        <v>374703</v>
      </c>
      <c r="K8" s="138">
        <v>1412044</v>
      </c>
      <c r="L8" s="138">
        <v>400643</v>
      </c>
      <c r="M8" s="138">
        <v>404996</v>
      </c>
      <c r="N8" s="138">
        <v>410971</v>
      </c>
      <c r="O8" s="138">
        <f>+P8-SUM(L8:N8)</f>
        <v>414058</v>
      </c>
      <c r="P8" s="138">
        <v>1630668</v>
      </c>
      <c r="Q8" s="138">
        <v>436507</v>
      </c>
      <c r="R8" s="138">
        <v>448366</v>
      </c>
      <c r="S8" s="138">
        <v>472073</v>
      </c>
      <c r="T8" s="138">
        <f>U8-SUM(Q8:S8)</f>
        <v>481426</v>
      </c>
      <c r="U8" s="138">
        <v>1838372</v>
      </c>
      <c r="V8" s="138">
        <v>501019</v>
      </c>
      <c r="W8" s="138">
        <v>514460</v>
      </c>
      <c r="X8" s="138">
        <v>529585</v>
      </c>
      <c r="Y8" s="123"/>
      <c r="Z8" s="22"/>
      <c r="AA8" s="227"/>
      <c r="AB8" s="215"/>
      <c r="AC8" s="120"/>
      <c r="AD8" s="120"/>
    </row>
    <row r="9" spans="1:49" s="10" customFormat="1">
      <c r="A9" s="37" t="s">
        <v>15</v>
      </c>
      <c r="B9" s="73">
        <v>5.0057641402192488E-2</v>
      </c>
      <c r="C9" s="73">
        <f>C8/B8-1</f>
        <v>5.2212000076506726E-2</v>
      </c>
      <c r="D9" s="73">
        <f>D8/C8-1</f>
        <v>5.5481633365325855E-2</v>
      </c>
      <c r="E9" s="73">
        <f>E8/D8-1</f>
        <v>1.7786962886420454E-2</v>
      </c>
      <c r="F9" s="96" t="s">
        <v>16</v>
      </c>
      <c r="G9" s="73">
        <f>G8/E8-1</f>
        <v>0.11411253887623563</v>
      </c>
      <c r="H9" s="73">
        <f>H8/G8-1</f>
        <v>5.3382663847780121E-2</v>
      </c>
      <c r="I9" s="73">
        <f>I8/H8-1</f>
        <v>4.2011984474396025E-2</v>
      </c>
      <c r="J9" s="73">
        <f>J8/I8-1</f>
        <v>3.6950222913455288E-2</v>
      </c>
      <c r="K9" s="96" t="s">
        <v>16</v>
      </c>
      <c r="L9" s="73">
        <f>L8/J8-1</f>
        <v>6.9228162037667129E-2</v>
      </c>
      <c r="M9" s="73">
        <f>M8/L8-1</f>
        <v>1.0865034457110179E-2</v>
      </c>
      <c r="N9" s="73">
        <f>N8/M8-1</f>
        <v>1.4753232130687799E-2</v>
      </c>
      <c r="O9" s="73">
        <f>O8/N8-1</f>
        <v>7.511478912137326E-3</v>
      </c>
      <c r="P9" s="96" t="s">
        <v>16</v>
      </c>
      <c r="Q9" s="73">
        <f>Q8/O8-1</f>
        <v>5.4217042056909914E-2</v>
      </c>
      <c r="R9" s="73">
        <f>R8/Q8-1</f>
        <v>2.7167949196690966E-2</v>
      </c>
      <c r="S9" s="73">
        <f>S8/R8-1</f>
        <v>5.2874214369510675E-2</v>
      </c>
      <c r="T9" s="73">
        <f>T8/S8-1</f>
        <v>1.9812613727114181E-2</v>
      </c>
      <c r="U9" s="96" t="s">
        <v>16</v>
      </c>
      <c r="V9" s="96">
        <f>V8/T8-1</f>
        <v>4.0697843489965191E-2</v>
      </c>
      <c r="W9" s="96">
        <f>W8/V8-1</f>
        <v>2.6827325909795752E-2</v>
      </c>
      <c r="X9" s="96">
        <f>X8/W8-1</f>
        <v>2.9399758970571011E-2</v>
      </c>
      <c r="Y9" s="123"/>
      <c r="Z9" s="22"/>
      <c r="AA9" s="84"/>
      <c r="AC9" s="120"/>
      <c r="AD9" s="120"/>
    </row>
    <row r="10" spans="1:49" s="10" customFormat="1">
      <c r="A10" s="37" t="s">
        <v>17</v>
      </c>
      <c r="B10" s="26">
        <v>6.2705801048823062E-2</v>
      </c>
      <c r="C10" s="26">
        <v>0.23639273080328849</v>
      </c>
      <c r="D10" s="26">
        <v>0.20457808130513078</v>
      </c>
      <c r="E10" s="26">
        <v>0.18692684964631878</v>
      </c>
      <c r="F10" s="26">
        <v>0.17096534555326715</v>
      </c>
      <c r="G10" s="26">
        <f t="shared" ref="G10:H10" si="0">G8/B8-1</f>
        <v>0.25933094887439512</v>
      </c>
      <c r="H10" s="26">
        <f t="shared" si="0"/>
        <v>0.26073204781432691</v>
      </c>
      <c r="I10" s="26">
        <f>I8/D8-1</f>
        <v>0.24464307241884087</v>
      </c>
      <c r="J10" s="26">
        <f>J8/E8-1</f>
        <v>0.26807766109736741</v>
      </c>
      <c r="K10" s="26">
        <f>K8/F8-1</f>
        <v>0.25817767730886665</v>
      </c>
      <c r="L10" s="26">
        <f>L8/G8-1</f>
        <v>0.21699047410755501</v>
      </c>
      <c r="M10" s="26">
        <f t="shared" ref="M10:N10" si="1">M8/H8-1</f>
        <v>0.16786915122468882</v>
      </c>
      <c r="N10" s="26">
        <f t="shared" si="1"/>
        <v>0.13731800935932093</v>
      </c>
      <c r="O10" s="26">
        <f t="shared" ref="O10:X10" si="2">O8/J8-1</f>
        <v>0.10502985030811063</v>
      </c>
      <c r="P10" s="26">
        <f t="shared" si="2"/>
        <v>0.15482803652010846</v>
      </c>
      <c r="Q10" s="26">
        <f t="shared" si="2"/>
        <v>8.9516102864645175E-2</v>
      </c>
      <c r="R10" s="26">
        <f t="shared" si="2"/>
        <v>0.10708747740718416</v>
      </c>
      <c r="S10" s="26">
        <f t="shared" si="2"/>
        <v>0.14867715726900443</v>
      </c>
      <c r="T10" s="26">
        <f t="shared" si="2"/>
        <v>0.16270184370305607</v>
      </c>
      <c r="U10" s="26">
        <f t="shared" si="2"/>
        <v>0.1273735671516214</v>
      </c>
      <c r="V10" s="26">
        <f t="shared" si="2"/>
        <v>0.14779144435255342</v>
      </c>
      <c r="W10" s="26">
        <f t="shared" si="2"/>
        <v>0.14741082062422217</v>
      </c>
      <c r="X10" s="26">
        <f t="shared" si="2"/>
        <v>0.12182861548955359</v>
      </c>
      <c r="Y10" s="123"/>
      <c r="AA10" s="61"/>
      <c r="AC10" s="120"/>
      <c r="AD10" s="120"/>
    </row>
    <row r="11" spans="1:49" s="10" customFormat="1">
      <c r="A11" s="37" t="s">
        <v>18</v>
      </c>
      <c r="B11" s="73">
        <v>5.5E-2</v>
      </c>
      <c r="C11" s="73">
        <v>0.223</v>
      </c>
      <c r="D11" s="73">
        <v>0.20100000000000001</v>
      </c>
      <c r="E11" s="73">
        <v>0.188</v>
      </c>
      <c r="F11" s="73">
        <v>0.16533874046285768</v>
      </c>
      <c r="G11" s="73">
        <v>0.26501976341791211</v>
      </c>
      <c r="H11" s="73">
        <v>0.27568127445590584</v>
      </c>
      <c r="I11" s="73">
        <v>0.26422748555478948</v>
      </c>
      <c r="J11" s="73">
        <v>0.28616981913631379</v>
      </c>
      <c r="K11" s="73">
        <v>0.27302096514315943</v>
      </c>
      <c r="L11" s="73">
        <v>0.23003700227235901</v>
      </c>
      <c r="M11" s="73">
        <v>0.17107155375930061</v>
      </c>
      <c r="N11" s="73">
        <v>0.13203389810483412</v>
      </c>
      <c r="O11" s="73">
        <v>0.10130271668599766</v>
      </c>
      <c r="P11" s="73">
        <v>0.15631493969436305</v>
      </c>
      <c r="Q11" s="73">
        <v>8.831214494408246E-2</v>
      </c>
      <c r="R11" s="73">
        <v>0.10769557469535829</v>
      </c>
      <c r="S11" s="73">
        <v>0.14518131086536834</v>
      </c>
      <c r="T11" s="73">
        <v>0.16343360170872878</v>
      </c>
      <c r="U11" s="73">
        <v>0.12653352896162784</v>
      </c>
      <c r="V11" s="73">
        <v>0.15146601290369355</v>
      </c>
      <c r="W11" s="73">
        <v>0.1460612586155936</v>
      </c>
      <c r="X11" s="73">
        <v>0.12330461704982687</v>
      </c>
      <c r="Y11" s="123"/>
      <c r="Z11" s="120"/>
      <c r="AC11" s="120"/>
      <c r="AD11" s="120"/>
    </row>
    <row r="12" spans="1:49" s="10" customFormat="1" ht="6" customHeight="1">
      <c r="A12" s="37"/>
      <c r="Y12" s="123"/>
      <c r="AC12" s="120"/>
      <c r="AD12" s="120"/>
    </row>
    <row r="13" spans="1:49" ht="14.25">
      <c r="A13" s="38" t="s">
        <v>19</v>
      </c>
      <c r="B13" s="77">
        <v>-158821</v>
      </c>
      <c r="C13" s="77">
        <v>-170701</v>
      </c>
      <c r="D13" s="77">
        <v>-177743</v>
      </c>
      <c r="E13" s="77">
        <f>+F13-SUM(B13:D13)</f>
        <v>-183669</v>
      </c>
      <c r="F13" s="77">
        <v>-690934</v>
      </c>
      <c r="G13" s="77">
        <v>-207516</v>
      </c>
      <c r="H13" s="77">
        <v>-221207</v>
      </c>
      <c r="I13" s="77">
        <v>-230462</v>
      </c>
      <c r="J13" s="77">
        <f>+K13-SUM(G13:I13)</f>
        <v>-237410</v>
      </c>
      <c r="K13" s="77">
        <v>-896595</v>
      </c>
      <c r="L13" s="77">
        <v>-251469</v>
      </c>
      <c r="M13" s="77">
        <v>-253220</v>
      </c>
      <c r="N13" s="77">
        <v>-256002</v>
      </c>
      <c r="O13" s="77">
        <f>+P13-SUM(L13:N13)</f>
        <v>-262211</v>
      </c>
      <c r="P13" s="77">
        <v>-1022902</v>
      </c>
      <c r="Q13" s="77">
        <v>-273424</v>
      </c>
      <c r="R13" s="77">
        <v>-282106</v>
      </c>
      <c r="S13" s="77">
        <v>-293806</v>
      </c>
      <c r="T13" s="77">
        <f>U13-SUM(Q13:S13)</f>
        <v>-298023</v>
      </c>
      <c r="U13" s="77">
        <v>-1147359</v>
      </c>
      <c r="V13" s="77">
        <v>-307705</v>
      </c>
      <c r="W13" s="77">
        <v>-320272</v>
      </c>
      <c r="X13" s="77">
        <v>-325649</v>
      </c>
      <c r="Y13" s="123"/>
      <c r="Z13" s="77"/>
      <c r="AA13" s="77"/>
      <c r="AC13" s="120"/>
      <c r="AD13" s="120"/>
      <c r="AG13" s="10"/>
      <c r="AH13" s="10"/>
      <c r="AI13" s="10"/>
      <c r="AJ13" s="10"/>
      <c r="AK13" s="10"/>
      <c r="AL13" s="10"/>
      <c r="AM13" s="10"/>
      <c r="AN13" s="10"/>
      <c r="AO13" s="10"/>
      <c r="AP13" s="10"/>
      <c r="AQ13" s="10"/>
      <c r="AR13" s="10"/>
      <c r="AS13" s="10"/>
      <c r="AT13" s="10"/>
      <c r="AU13" s="10"/>
      <c r="AV13" s="10"/>
      <c r="AW13" s="10"/>
    </row>
    <row r="14" spans="1:49" s="10" customFormat="1" ht="14.25">
      <c r="A14" s="39" t="s">
        <v>20</v>
      </c>
      <c r="B14" s="220">
        <f t="shared" ref="B14:M14" si="3">B8+B13</f>
        <v>102594</v>
      </c>
      <c r="C14" s="220">
        <f t="shared" si="3"/>
        <v>104363</v>
      </c>
      <c r="D14" s="220">
        <f t="shared" si="3"/>
        <v>112582</v>
      </c>
      <c r="E14" s="220">
        <f t="shared" si="3"/>
        <v>111820</v>
      </c>
      <c r="F14" s="220">
        <f t="shared" si="3"/>
        <v>431359</v>
      </c>
      <c r="G14" s="220">
        <f t="shared" si="3"/>
        <v>121692</v>
      </c>
      <c r="H14" s="220">
        <f t="shared" si="3"/>
        <v>125575</v>
      </c>
      <c r="I14" s="220">
        <f t="shared" si="3"/>
        <v>130889</v>
      </c>
      <c r="J14" s="220">
        <f t="shared" si="3"/>
        <v>137293</v>
      </c>
      <c r="K14" s="220">
        <f t="shared" si="3"/>
        <v>515449</v>
      </c>
      <c r="L14" s="220">
        <f t="shared" si="3"/>
        <v>149174</v>
      </c>
      <c r="M14" s="220">
        <f t="shared" si="3"/>
        <v>151776</v>
      </c>
      <c r="N14" s="220">
        <f t="shared" ref="N14:Q14" si="4">N8+N13</f>
        <v>154969</v>
      </c>
      <c r="O14" s="220">
        <f t="shared" si="4"/>
        <v>151847</v>
      </c>
      <c r="P14" s="220">
        <f t="shared" si="4"/>
        <v>607766</v>
      </c>
      <c r="Q14" s="220">
        <f t="shared" si="4"/>
        <v>163083</v>
      </c>
      <c r="R14" s="220">
        <f t="shared" ref="R14:S14" si="5">R8+R13</f>
        <v>166260</v>
      </c>
      <c r="S14" s="220">
        <f t="shared" si="5"/>
        <v>178267</v>
      </c>
      <c r="T14" s="220">
        <f t="shared" ref="T14:U14" si="6">T8+T13</f>
        <v>183403</v>
      </c>
      <c r="U14" s="220">
        <f t="shared" si="6"/>
        <v>691013</v>
      </c>
      <c r="V14" s="220">
        <f t="shared" ref="V14:X14" si="7">V8+V13</f>
        <v>193314</v>
      </c>
      <c r="W14" s="220">
        <f t="shared" si="7"/>
        <v>194188</v>
      </c>
      <c r="X14" s="220">
        <f t="shared" si="7"/>
        <v>203936</v>
      </c>
      <c r="Y14" s="123"/>
      <c r="Z14" s="22"/>
      <c r="AA14" s="22"/>
      <c r="AC14" s="120"/>
      <c r="AD14" s="120"/>
    </row>
    <row r="15" spans="1:49">
      <c r="A15" s="37" t="s">
        <v>21</v>
      </c>
      <c r="B15" s="73">
        <f t="shared" ref="B15:H15" si="8">B14/B8</f>
        <v>0.39245643899546701</v>
      </c>
      <c r="C15" s="73">
        <f t="shared" si="8"/>
        <v>0.37941351830846637</v>
      </c>
      <c r="D15" s="73">
        <f t="shared" si="8"/>
        <v>0.3877792129510032</v>
      </c>
      <c r="E15" s="73">
        <f t="shared" si="8"/>
        <v>0.37842356229842733</v>
      </c>
      <c r="F15" s="73">
        <f t="shared" si="8"/>
        <v>0.38435506592307001</v>
      </c>
      <c r="G15" s="73">
        <f t="shared" si="8"/>
        <v>0.3696507982795072</v>
      </c>
      <c r="H15" s="73">
        <f t="shared" si="8"/>
        <v>0.36211510401347247</v>
      </c>
      <c r="I15" s="73">
        <f>I14/I8</f>
        <v>0.36222121981120847</v>
      </c>
      <c r="J15" s="73">
        <f t="shared" ref="J15:M15" si="9">J14/J8</f>
        <v>0.36640485931524436</v>
      </c>
      <c r="K15" s="73">
        <f t="shared" si="9"/>
        <v>0.36503749174954886</v>
      </c>
      <c r="L15" s="73">
        <f t="shared" si="9"/>
        <v>0.37233646912588014</v>
      </c>
      <c r="M15" s="73">
        <f t="shared" si="9"/>
        <v>0.37475925688154943</v>
      </c>
      <c r="N15" s="73">
        <f t="shared" ref="N15:Q15" si="10">N14/N8</f>
        <v>0.37708013460803802</v>
      </c>
      <c r="O15" s="73">
        <f t="shared" si="10"/>
        <v>0.3667288157697714</v>
      </c>
      <c r="P15" s="73">
        <f t="shared" si="10"/>
        <v>0.37270983425197529</v>
      </c>
      <c r="Q15" s="73">
        <f t="shared" si="10"/>
        <v>0.37360912883413094</v>
      </c>
      <c r="R15" s="73">
        <f t="shared" ref="R15:S15" si="11">R14/R8</f>
        <v>0.37081313034440611</v>
      </c>
      <c r="S15" s="73">
        <f t="shared" si="11"/>
        <v>0.37762591802539014</v>
      </c>
      <c r="T15" s="73">
        <f t="shared" ref="T15:U15" si="12">T14/T8</f>
        <v>0.38095782113969751</v>
      </c>
      <c r="U15" s="73">
        <f t="shared" si="12"/>
        <v>0.37588311832425647</v>
      </c>
      <c r="V15" s="73">
        <f t="shared" ref="V15:X15" si="13">V14/V8</f>
        <v>0.38584165470770571</v>
      </c>
      <c r="W15" s="73">
        <f t="shared" si="13"/>
        <v>0.37745986082494265</v>
      </c>
      <c r="X15" s="73">
        <f t="shared" si="13"/>
        <v>0.38508643560523809</v>
      </c>
      <c r="Y15" s="123"/>
      <c r="AA15" s="89"/>
      <c r="AC15" s="120"/>
      <c r="AD15" s="120"/>
      <c r="AG15" s="10"/>
      <c r="AH15" s="10"/>
      <c r="AI15" s="10"/>
      <c r="AJ15" s="10"/>
      <c r="AK15" s="10"/>
      <c r="AL15" s="10"/>
      <c r="AM15" s="10"/>
      <c r="AN15" s="10"/>
      <c r="AO15" s="10"/>
      <c r="AP15" s="10"/>
      <c r="AQ15" s="10"/>
      <c r="AR15" s="10"/>
      <c r="AS15" s="10"/>
      <c r="AT15" s="10"/>
      <c r="AU15" s="10"/>
      <c r="AV15" s="10"/>
      <c r="AW15" s="10"/>
    </row>
    <row r="16" spans="1:49" ht="6" customHeight="1">
      <c r="A16" s="37"/>
      <c r="Y16" s="123"/>
      <c r="AC16" s="120"/>
      <c r="AD16" s="120"/>
      <c r="AG16" s="10"/>
      <c r="AH16" s="10"/>
      <c r="AI16" s="10"/>
      <c r="AJ16" s="10"/>
      <c r="AK16" s="10"/>
      <c r="AL16" s="10"/>
      <c r="AM16" s="10"/>
      <c r="AN16" s="10"/>
      <c r="AO16" s="10"/>
      <c r="AP16" s="10"/>
      <c r="AQ16" s="10"/>
      <c r="AR16" s="10"/>
      <c r="AS16" s="10"/>
      <c r="AT16" s="10"/>
      <c r="AU16" s="10"/>
      <c r="AV16" s="10"/>
      <c r="AW16" s="10"/>
    </row>
    <row r="17" spans="1:49">
      <c r="A17" s="39" t="s">
        <v>22</v>
      </c>
      <c r="Y17" s="123"/>
      <c r="AC17" s="120"/>
      <c r="AD17" s="120"/>
      <c r="AG17" s="10"/>
      <c r="AH17" s="10"/>
      <c r="AI17" s="10"/>
      <c r="AJ17" s="10"/>
      <c r="AK17" s="10"/>
      <c r="AL17" s="10"/>
      <c r="AM17" s="10"/>
      <c r="AN17" s="10"/>
      <c r="AO17" s="10"/>
      <c r="AP17" s="10"/>
      <c r="AQ17" s="10"/>
      <c r="AR17" s="10"/>
      <c r="AS17" s="10"/>
      <c r="AT17" s="10"/>
      <c r="AU17" s="10"/>
      <c r="AV17" s="10"/>
      <c r="AW17" s="10"/>
    </row>
    <row r="18" spans="1:49">
      <c r="A18" s="38" t="s">
        <v>23</v>
      </c>
      <c r="B18" s="77">
        <v>-30703</v>
      </c>
      <c r="C18" s="77">
        <v>-36499</v>
      </c>
      <c r="D18" s="77">
        <v>-36167</v>
      </c>
      <c r="E18" s="77">
        <f>+F18-SUM(B18:D18)</f>
        <v>-38671</v>
      </c>
      <c r="F18" s="77">
        <v>-142040</v>
      </c>
      <c r="G18" s="77">
        <v>-39945</v>
      </c>
      <c r="H18" s="77">
        <v>-40434</v>
      </c>
      <c r="I18" s="77">
        <v>-42519</v>
      </c>
      <c r="J18" s="77">
        <f>+K18-SUM(G18:I18)</f>
        <v>-46118</v>
      </c>
      <c r="K18" s="77">
        <v>-169016</v>
      </c>
      <c r="L18" s="77">
        <v>-46746</v>
      </c>
      <c r="M18" s="77">
        <v>-45605</v>
      </c>
      <c r="N18" s="77">
        <v>-52213</v>
      </c>
      <c r="O18" s="77">
        <f>+P18-SUM(L18:N18)</f>
        <v>-53730</v>
      </c>
      <c r="P18" s="77">
        <v>-198294</v>
      </c>
      <c r="Q18" s="77">
        <v>-53243</v>
      </c>
      <c r="R18" s="77">
        <v>-56457</v>
      </c>
      <c r="S18" s="77">
        <v>-57495</v>
      </c>
      <c r="T18" s="77">
        <f>U18-SUM(Q18:S18)</f>
        <v>-58477</v>
      </c>
      <c r="U18" s="77">
        <v>-225672</v>
      </c>
      <c r="V18" s="77">
        <v>-59417</v>
      </c>
      <c r="W18" s="77">
        <v>-59549</v>
      </c>
      <c r="X18" s="77">
        <v>-66251</v>
      </c>
      <c r="Y18" s="123"/>
      <c r="Z18" s="77"/>
      <c r="AA18" s="77"/>
      <c r="AC18" s="120"/>
      <c r="AD18" s="120"/>
      <c r="AG18" s="10"/>
      <c r="AH18" s="10"/>
      <c r="AI18" s="10"/>
      <c r="AJ18" s="10"/>
      <c r="AK18" s="10"/>
      <c r="AL18" s="10"/>
      <c r="AM18" s="10"/>
      <c r="AN18" s="10"/>
      <c r="AO18" s="10"/>
      <c r="AP18" s="10"/>
      <c r="AQ18" s="10"/>
      <c r="AR18" s="10"/>
      <c r="AS18" s="10"/>
      <c r="AT18" s="10"/>
      <c r="AU18" s="10"/>
      <c r="AV18" s="10"/>
      <c r="AW18" s="10"/>
    </row>
    <row r="19" spans="1:49">
      <c r="A19" s="37" t="s">
        <v>24</v>
      </c>
      <c r="B19" s="73">
        <f t="shared" ref="B19:P19" si="14">-B18/B$8</f>
        <v>0.11744926649197636</v>
      </c>
      <c r="C19" s="73">
        <f t="shared" si="14"/>
        <v>0.13269275514062182</v>
      </c>
      <c r="D19" s="73">
        <f t="shared" si="14"/>
        <v>0.12457418410402135</v>
      </c>
      <c r="E19" s="73">
        <f t="shared" si="14"/>
        <v>0.13087119994314508</v>
      </c>
      <c r="F19" s="73">
        <f t="shared" si="14"/>
        <v>0.12656231483222297</v>
      </c>
      <c r="G19" s="73">
        <f t="shared" si="14"/>
        <v>0.12133666253553985</v>
      </c>
      <c r="H19" s="73">
        <f t="shared" si="14"/>
        <v>0.11659774728792152</v>
      </c>
      <c r="I19" s="73">
        <f t="shared" si="14"/>
        <v>0.1176667561456866</v>
      </c>
      <c r="J19" s="73">
        <f t="shared" si="14"/>
        <v>0.12307881175224111</v>
      </c>
      <c r="K19" s="73">
        <f t="shared" si="14"/>
        <v>0.11969598681060931</v>
      </c>
      <c r="L19" s="73">
        <f t="shared" si="14"/>
        <v>0.11667744101357068</v>
      </c>
      <c r="M19" s="73">
        <f t="shared" si="14"/>
        <v>0.11260605043012771</v>
      </c>
      <c r="N19" s="73">
        <f t="shared" ref="N19:O19" si="15">-N18/N$8</f>
        <v>0.12704789389032317</v>
      </c>
      <c r="O19" s="73">
        <f t="shared" si="15"/>
        <v>0.12976442913794686</v>
      </c>
      <c r="P19" s="73">
        <f t="shared" si="14"/>
        <v>0.12160292591747676</v>
      </c>
      <c r="Q19" s="73">
        <f t="shared" ref="Q19:R19" si="16">-Q18/Q$8</f>
        <v>0.12197513441937929</v>
      </c>
      <c r="R19" s="73">
        <f t="shared" si="16"/>
        <v>0.12591721941449618</v>
      </c>
      <c r="S19" s="73">
        <f t="shared" ref="S19:T19" si="17">-S18/S$8</f>
        <v>0.12179260410995757</v>
      </c>
      <c r="T19" s="73">
        <f t="shared" si="17"/>
        <v>0.12146622741605148</v>
      </c>
      <c r="U19" s="73">
        <f t="shared" ref="U19:X19" si="18">-U18/U$8</f>
        <v>0.12275643884915567</v>
      </c>
      <c r="V19" s="73">
        <f t="shared" si="18"/>
        <v>0.11859230887451375</v>
      </c>
      <c r="W19" s="73">
        <f t="shared" si="18"/>
        <v>0.11575049566535785</v>
      </c>
      <c r="X19" s="73">
        <f t="shared" si="18"/>
        <v>0.1250998423293711</v>
      </c>
      <c r="Y19" s="123"/>
      <c r="AA19" s="77"/>
      <c r="AC19" s="120"/>
      <c r="AD19" s="120"/>
      <c r="AG19" s="10"/>
      <c r="AH19" s="10"/>
      <c r="AI19" s="10"/>
      <c r="AJ19" s="10"/>
      <c r="AK19" s="10"/>
      <c r="AL19" s="10"/>
      <c r="AM19" s="10"/>
      <c r="AN19" s="10"/>
      <c r="AO19" s="10"/>
      <c r="AP19" s="10"/>
      <c r="AQ19" s="10"/>
      <c r="AR19" s="10"/>
      <c r="AS19" s="10"/>
      <c r="AT19" s="10"/>
      <c r="AU19" s="10"/>
      <c r="AV19" s="10"/>
      <c r="AW19" s="10"/>
    </row>
    <row r="20" spans="1:49" ht="6" customHeight="1">
      <c r="A20" s="37"/>
      <c r="Y20" s="123"/>
      <c r="AC20" s="120"/>
      <c r="AD20" s="120"/>
      <c r="AG20" s="10"/>
      <c r="AH20" s="10"/>
      <c r="AI20" s="10"/>
      <c r="AJ20" s="10"/>
      <c r="AK20" s="10"/>
      <c r="AL20" s="10"/>
      <c r="AM20" s="10"/>
      <c r="AN20" s="10"/>
      <c r="AO20" s="10"/>
      <c r="AP20" s="10"/>
      <c r="AQ20" s="10"/>
      <c r="AR20" s="10"/>
      <c r="AS20" s="10"/>
      <c r="AT20" s="10"/>
      <c r="AU20" s="10"/>
      <c r="AV20" s="10"/>
      <c r="AW20" s="10"/>
    </row>
    <row r="21" spans="1:49">
      <c r="A21" s="38" t="s">
        <v>25</v>
      </c>
      <c r="B21" s="77">
        <v>-18235</v>
      </c>
      <c r="C21" s="77">
        <v>-19724</v>
      </c>
      <c r="D21" s="77">
        <v>-21672</v>
      </c>
      <c r="E21" s="77">
        <f>+F21-SUM(B21:D21)</f>
        <v>-24675</v>
      </c>
      <c r="F21" s="77">
        <v>-84306</v>
      </c>
      <c r="G21" s="77">
        <v>-24170</v>
      </c>
      <c r="H21" s="77">
        <v>-23985</v>
      </c>
      <c r="I21" s="77">
        <v>-23879</v>
      </c>
      <c r="J21" s="77">
        <f>+K21-SUM(G21:I21)</f>
        <v>-25955</v>
      </c>
      <c r="K21" s="77">
        <v>-97989</v>
      </c>
      <c r="L21" s="77">
        <v>-29493</v>
      </c>
      <c r="M21" s="77">
        <v>-28238</v>
      </c>
      <c r="N21" s="77">
        <v>-30943</v>
      </c>
      <c r="O21" s="77">
        <f>+P21-SUM(L21:N21)</f>
        <v>-31553</v>
      </c>
      <c r="P21" s="77">
        <v>-120227</v>
      </c>
      <c r="Q21" s="77">
        <v>-35970</v>
      </c>
      <c r="R21" s="77">
        <v>-35444</v>
      </c>
      <c r="S21" s="77">
        <v>-37568</v>
      </c>
      <c r="T21" s="77">
        <f>U21-SUM(Q21:S21)</f>
        <v>-37520</v>
      </c>
      <c r="U21" s="77">
        <v>-146502</v>
      </c>
      <c r="V21" s="77">
        <v>-41925</v>
      </c>
      <c r="W21" s="77">
        <v>-39446</v>
      </c>
      <c r="X21" s="77">
        <v>-46383</v>
      </c>
      <c r="Y21" s="123"/>
      <c r="Z21" s="77"/>
      <c r="AA21" s="77"/>
      <c r="AC21" s="120"/>
      <c r="AD21" s="120"/>
      <c r="AG21" s="10"/>
      <c r="AH21" s="10"/>
      <c r="AI21" s="10"/>
      <c r="AJ21" s="10"/>
      <c r="AK21" s="10"/>
      <c r="AL21" s="10"/>
      <c r="AM21" s="10"/>
      <c r="AN21" s="10"/>
      <c r="AO21" s="10"/>
      <c r="AP21" s="10"/>
      <c r="AQ21" s="10"/>
      <c r="AR21" s="10"/>
      <c r="AS21" s="10"/>
      <c r="AT21" s="10"/>
      <c r="AU21" s="10"/>
      <c r="AV21" s="10"/>
      <c r="AW21" s="10"/>
    </row>
    <row r="22" spans="1:49">
      <c r="A22" s="37" t="s">
        <v>24</v>
      </c>
      <c r="B22" s="73">
        <f t="shared" ref="B22:C22" si="19">-B21/B$8</f>
        <v>6.9754987280760475E-2</v>
      </c>
      <c r="C22" s="73">
        <f t="shared" si="19"/>
        <v>7.1706948201145912E-2</v>
      </c>
      <c r="D22" s="73">
        <f>-D21/D$8-0.05%</f>
        <v>7.4147377938517181E-2</v>
      </c>
      <c r="E22" s="73">
        <f>ROUNDDOWN(-E21/E$8,3)</f>
        <v>8.3000000000000004E-2</v>
      </c>
      <c r="F22" s="73">
        <f>-F21/F$8</f>
        <v>7.5119420686041882E-2</v>
      </c>
      <c r="G22" s="73">
        <f>-G21/G$8</f>
        <v>7.3418628951908829E-2</v>
      </c>
      <c r="H22" s="73">
        <f>-H21/H$8</f>
        <v>6.916448950637577E-2</v>
      </c>
      <c r="I22" s="73">
        <f>-I21/I$8</f>
        <v>6.6082562383942486E-2</v>
      </c>
      <c r="J22" s="73">
        <f>ROUNDDOWN(-J21/J$8,3)</f>
        <v>6.9000000000000006E-2</v>
      </c>
      <c r="K22" s="73">
        <f t="shared" ref="K22:O22" si="20">-K21/K$8</f>
        <v>6.9395146326884996E-2</v>
      </c>
      <c r="L22" s="73">
        <f t="shared" si="20"/>
        <v>7.3614165229393749E-2</v>
      </c>
      <c r="M22" s="73">
        <f t="shared" si="20"/>
        <v>6.9724145423658498E-2</v>
      </c>
      <c r="N22" s="73">
        <f t="shared" si="20"/>
        <v>7.5292417226519637E-2</v>
      </c>
      <c r="O22" s="73">
        <f t="shared" si="20"/>
        <v>7.6204299880693049E-2</v>
      </c>
      <c r="P22" s="73">
        <f>ROUNDDOWN(-P21/P$8,3)</f>
        <v>7.2999999999999995E-2</v>
      </c>
      <c r="Q22" s="73">
        <f t="shared" ref="Q22:R22" si="21">-Q21/Q$8</f>
        <v>8.2404176794415668E-2</v>
      </c>
      <c r="R22" s="73">
        <f t="shared" si="21"/>
        <v>7.9051489185174614E-2</v>
      </c>
      <c r="S22" s="73">
        <f t="shared" ref="S22:T22" si="22">-S21/S$8</f>
        <v>7.9580912274160989E-2</v>
      </c>
      <c r="T22" s="73">
        <f t="shared" si="22"/>
        <v>7.7935134371637599E-2</v>
      </c>
      <c r="U22" s="73">
        <f t="shared" ref="U22:X22" si="23">-U21/U$8</f>
        <v>7.9691161527699506E-2</v>
      </c>
      <c r="V22" s="73">
        <f t="shared" si="23"/>
        <v>8.3679461257956292E-2</v>
      </c>
      <c r="W22" s="73">
        <f t="shared" si="23"/>
        <v>7.6674571395249386E-2</v>
      </c>
      <c r="X22" s="73">
        <f t="shared" si="23"/>
        <v>8.7583674008893761E-2</v>
      </c>
      <c r="Y22" s="123"/>
      <c r="AA22" s="89"/>
      <c r="AC22" s="120"/>
      <c r="AD22" s="120"/>
      <c r="AG22" s="10"/>
      <c r="AH22" s="10"/>
      <c r="AI22" s="10"/>
      <c r="AJ22" s="10"/>
      <c r="AK22" s="10"/>
      <c r="AL22" s="10"/>
      <c r="AM22" s="10"/>
      <c r="AN22" s="10"/>
      <c r="AO22" s="10"/>
      <c r="AP22" s="10"/>
      <c r="AQ22" s="10"/>
      <c r="AR22" s="10"/>
      <c r="AS22" s="10"/>
      <c r="AT22" s="10"/>
      <c r="AU22" s="10"/>
      <c r="AV22" s="10"/>
      <c r="AW22" s="10"/>
    </row>
    <row r="23" spans="1:49" ht="6" customHeight="1">
      <c r="A23" s="37"/>
      <c r="Y23" s="123"/>
      <c r="AC23" s="120"/>
      <c r="AD23" s="120"/>
      <c r="AG23" s="10"/>
      <c r="AH23" s="10"/>
      <c r="AI23" s="10"/>
      <c r="AJ23" s="10"/>
      <c r="AK23" s="10"/>
      <c r="AL23" s="10"/>
      <c r="AM23" s="10"/>
      <c r="AN23" s="10"/>
      <c r="AO23" s="10"/>
      <c r="AP23" s="10"/>
      <c r="AQ23" s="10"/>
      <c r="AR23" s="10"/>
      <c r="AS23" s="10"/>
      <c r="AT23" s="10"/>
      <c r="AU23" s="10"/>
      <c r="AV23" s="10"/>
      <c r="AW23" s="10"/>
    </row>
    <row r="24" spans="1:49">
      <c r="A24" s="38" t="s">
        <v>26</v>
      </c>
      <c r="B24" s="23">
        <v>-12101</v>
      </c>
      <c r="C24" s="23">
        <v>-12310</v>
      </c>
      <c r="D24" s="23">
        <v>-12305</v>
      </c>
      <c r="E24" s="23">
        <f>+F24-SUM(B24:D24)</f>
        <v>-12416</v>
      </c>
      <c r="F24" s="23">
        <v>-49132</v>
      </c>
      <c r="G24" s="23">
        <v>-13602</v>
      </c>
      <c r="H24" s="23">
        <v>-14075</v>
      </c>
      <c r="I24" s="23">
        <v>-14380</v>
      </c>
      <c r="J24" s="23">
        <f>+K24-SUM(G24:I24)</f>
        <v>-14225</v>
      </c>
      <c r="K24" s="23">
        <v>-56282</v>
      </c>
      <c r="L24" s="23">
        <v>-13487</v>
      </c>
      <c r="M24" s="23">
        <v>-13122</v>
      </c>
      <c r="N24" s="23">
        <v>-11583</v>
      </c>
      <c r="O24" s="23">
        <f>+P24-SUM(L24:N24)</f>
        <v>-12298</v>
      </c>
      <c r="P24" s="23">
        <v>-50490</v>
      </c>
      <c r="Q24" s="23">
        <v>-12346</v>
      </c>
      <c r="R24" s="23">
        <v>-12910</v>
      </c>
      <c r="S24" s="23">
        <v>-13799</v>
      </c>
      <c r="T24" s="77">
        <f>U24-SUM(Q24:S24)</f>
        <v>-16164</v>
      </c>
      <c r="U24" s="23">
        <v>-55219</v>
      </c>
      <c r="V24" s="23">
        <v>-13557</v>
      </c>
      <c r="W24" s="23">
        <v>-14055</v>
      </c>
      <c r="X24" s="23">
        <v>-15128</v>
      </c>
      <c r="Y24" s="123"/>
      <c r="Z24" s="77"/>
      <c r="AA24" s="133"/>
      <c r="AC24" s="120"/>
      <c r="AD24" s="120"/>
      <c r="AG24" s="10"/>
      <c r="AH24" s="10"/>
      <c r="AI24" s="10"/>
      <c r="AJ24" s="10"/>
      <c r="AK24" s="10"/>
      <c r="AL24" s="10"/>
      <c r="AM24" s="10"/>
      <c r="AN24" s="10"/>
      <c r="AO24" s="10"/>
      <c r="AP24" s="10"/>
      <c r="AQ24" s="10"/>
      <c r="AR24" s="10"/>
      <c r="AS24" s="10"/>
      <c r="AT24" s="10"/>
      <c r="AU24" s="10"/>
      <c r="AV24" s="10"/>
      <c r="AW24" s="10"/>
    </row>
    <row r="25" spans="1:49">
      <c r="A25" s="37" t="s">
        <v>24</v>
      </c>
      <c r="B25" s="26">
        <f t="shared" ref="B25:M25" si="24">-B24/B$8</f>
        <v>4.6290381194652182E-2</v>
      </c>
      <c r="C25" s="26">
        <f t="shared" si="24"/>
        <v>4.475322106855132E-2</v>
      </c>
      <c r="D25" s="26">
        <f t="shared" si="24"/>
        <v>4.2383535692758115E-2</v>
      </c>
      <c r="E25" s="26">
        <f t="shared" si="24"/>
        <v>4.2018484613640439E-2</v>
      </c>
      <c r="F25" s="26">
        <f t="shared" si="24"/>
        <v>4.3778229036445918E-2</v>
      </c>
      <c r="G25" s="26">
        <f t="shared" si="24"/>
        <v>4.1317343442443685E-2</v>
      </c>
      <c r="H25" s="26">
        <f t="shared" si="24"/>
        <v>4.0587458403261993E-2</v>
      </c>
      <c r="I25" s="26">
        <f t="shared" si="24"/>
        <v>3.9795102268985007E-2</v>
      </c>
      <c r="J25" s="26">
        <f t="shared" si="24"/>
        <v>3.7963400346407689E-2</v>
      </c>
      <c r="K25" s="26">
        <f t="shared" si="24"/>
        <v>3.9858531320553753E-2</v>
      </c>
      <c r="L25" s="26">
        <f t="shared" si="24"/>
        <v>3.3663386106833268E-2</v>
      </c>
      <c r="M25" s="26">
        <f t="shared" si="24"/>
        <v>3.2400320003160524E-2</v>
      </c>
      <c r="N25" s="26">
        <f t="shared" ref="N25:Q25" si="25">-N24/N$8</f>
        <v>2.81844704370868E-2</v>
      </c>
      <c r="O25" s="26">
        <f t="shared" si="25"/>
        <v>2.9701152978568221E-2</v>
      </c>
      <c r="P25" s="26">
        <f t="shared" si="25"/>
        <v>3.096277108522397E-2</v>
      </c>
      <c r="Q25" s="26">
        <f t="shared" si="25"/>
        <v>2.828362431759399E-2</v>
      </c>
      <c r="R25" s="26">
        <f t="shared" ref="R25:S25" si="26">-R24/R$8</f>
        <v>2.8793441072695075E-2</v>
      </c>
      <c r="S25" s="26">
        <f t="shared" si="26"/>
        <v>2.923064864967918E-2</v>
      </c>
      <c r="T25" s="26">
        <f t="shared" ref="T25:U25" si="27">-T24/T$8</f>
        <v>3.3575253517674576E-2</v>
      </c>
      <c r="U25" s="26">
        <f t="shared" si="27"/>
        <v>3.0036902215656025E-2</v>
      </c>
      <c r="V25" s="26">
        <f t="shared" ref="V25:X25" si="28">-V24/V$8</f>
        <v>2.7058854055435025E-2</v>
      </c>
      <c r="W25" s="26">
        <f t="shared" si="28"/>
        <v>2.7319908253314155E-2</v>
      </c>
      <c r="X25" s="26">
        <f t="shared" si="28"/>
        <v>2.8565763758414606E-2</v>
      </c>
      <c r="Y25" s="123"/>
      <c r="AA25" s="61"/>
      <c r="AC25" s="120"/>
      <c r="AD25" s="120"/>
      <c r="AG25" s="10"/>
      <c r="AH25" s="10"/>
      <c r="AI25" s="10"/>
      <c r="AJ25" s="10"/>
      <c r="AK25" s="10"/>
      <c r="AL25" s="10"/>
      <c r="AM25" s="10"/>
      <c r="AN25" s="10"/>
      <c r="AO25" s="10"/>
      <c r="AP25" s="10"/>
      <c r="AQ25" s="10"/>
      <c r="AR25" s="10"/>
      <c r="AS25" s="10"/>
      <c r="AT25" s="10"/>
      <c r="AU25" s="10"/>
      <c r="AV25" s="10"/>
      <c r="AW25" s="10"/>
    </row>
    <row r="26" spans="1:49" ht="6" customHeight="1">
      <c r="A26" s="37"/>
      <c r="Y26" s="123"/>
      <c r="AC26" s="120"/>
      <c r="AD26" s="120"/>
      <c r="AG26" s="10"/>
      <c r="AH26" s="10"/>
      <c r="AI26" s="10"/>
      <c r="AJ26" s="10"/>
      <c r="AK26" s="10"/>
      <c r="AL26" s="10"/>
      <c r="AM26" s="10"/>
      <c r="AN26" s="10"/>
      <c r="AO26" s="10"/>
      <c r="AP26" s="10"/>
      <c r="AQ26" s="10"/>
      <c r="AR26" s="10"/>
      <c r="AS26" s="10"/>
      <c r="AT26" s="10"/>
      <c r="AU26" s="10"/>
      <c r="AV26" s="10"/>
      <c r="AW26" s="10"/>
    </row>
    <row r="27" spans="1:49" s="10" customFormat="1">
      <c r="A27" s="39" t="s">
        <v>27</v>
      </c>
      <c r="B27" s="22">
        <f>B18+B21+B24</f>
        <v>-61039</v>
      </c>
      <c r="C27" s="22">
        <f t="shared" ref="C27:X27" si="29">C18+C21+C24</f>
        <v>-68533</v>
      </c>
      <c r="D27" s="22">
        <f t="shared" si="29"/>
        <v>-70144</v>
      </c>
      <c r="E27" s="22">
        <f t="shared" si="29"/>
        <v>-75762</v>
      </c>
      <c r="F27" s="22">
        <f t="shared" si="29"/>
        <v>-275478</v>
      </c>
      <c r="G27" s="22">
        <f t="shared" si="29"/>
        <v>-77717</v>
      </c>
      <c r="H27" s="22">
        <f t="shared" si="29"/>
        <v>-78494</v>
      </c>
      <c r="I27" s="22">
        <f t="shared" si="29"/>
        <v>-80778</v>
      </c>
      <c r="J27" s="22">
        <f t="shared" si="29"/>
        <v>-86298</v>
      </c>
      <c r="K27" s="22">
        <f t="shared" si="29"/>
        <v>-323287</v>
      </c>
      <c r="L27" s="22">
        <f t="shared" si="29"/>
        <v>-89726</v>
      </c>
      <c r="M27" s="22">
        <f t="shared" si="29"/>
        <v>-86965</v>
      </c>
      <c r="N27" s="22">
        <f t="shared" si="29"/>
        <v>-94739</v>
      </c>
      <c r="O27" s="22">
        <f t="shared" si="29"/>
        <v>-97581</v>
      </c>
      <c r="P27" s="22">
        <f t="shared" si="29"/>
        <v>-369011</v>
      </c>
      <c r="Q27" s="22">
        <f t="shared" si="29"/>
        <v>-101559</v>
      </c>
      <c r="R27" s="22">
        <f t="shared" si="29"/>
        <v>-104811</v>
      </c>
      <c r="S27" s="22">
        <f t="shared" si="29"/>
        <v>-108862</v>
      </c>
      <c r="T27" s="22">
        <f t="shared" si="29"/>
        <v>-112161</v>
      </c>
      <c r="U27" s="22">
        <f t="shared" si="29"/>
        <v>-427393</v>
      </c>
      <c r="V27" s="22">
        <f t="shared" si="29"/>
        <v>-114899</v>
      </c>
      <c r="W27" s="22">
        <f t="shared" si="29"/>
        <v>-113050</v>
      </c>
      <c r="X27" s="22">
        <f t="shared" si="29"/>
        <v>-127762</v>
      </c>
      <c r="Y27" s="123"/>
      <c r="Z27" s="203"/>
      <c r="AA27" s="203"/>
      <c r="AC27" s="120"/>
      <c r="AD27" s="120"/>
    </row>
    <row r="28" spans="1:49" ht="6" customHeight="1">
      <c r="A28" s="37"/>
      <c r="Y28" s="123"/>
      <c r="AC28" s="120"/>
      <c r="AD28" s="120"/>
      <c r="AG28" s="10"/>
      <c r="AH28" s="10"/>
      <c r="AI28" s="10"/>
      <c r="AJ28" s="10"/>
      <c r="AK28" s="10"/>
      <c r="AL28" s="10"/>
      <c r="AM28" s="10"/>
      <c r="AN28" s="10"/>
      <c r="AO28" s="10"/>
      <c r="AP28" s="10"/>
      <c r="AQ28" s="10"/>
      <c r="AR28" s="10"/>
      <c r="AS28" s="10"/>
      <c r="AT28" s="10"/>
      <c r="AU28" s="10"/>
      <c r="AV28" s="10"/>
      <c r="AW28" s="10"/>
    </row>
    <row r="29" spans="1:49" s="10" customFormat="1">
      <c r="A29" s="137" t="s">
        <v>28</v>
      </c>
      <c r="B29" s="146">
        <f t="shared" ref="B29:X29" si="30">B14+B27</f>
        <v>41555</v>
      </c>
      <c r="C29" s="146">
        <f t="shared" si="30"/>
        <v>35830</v>
      </c>
      <c r="D29" s="146">
        <f t="shared" si="30"/>
        <v>42438</v>
      </c>
      <c r="E29" s="146">
        <f t="shared" si="30"/>
        <v>36058</v>
      </c>
      <c r="F29" s="146">
        <f t="shared" si="30"/>
        <v>155881</v>
      </c>
      <c r="G29" s="146">
        <f t="shared" si="30"/>
        <v>43975</v>
      </c>
      <c r="H29" s="146">
        <f t="shared" si="30"/>
        <v>47081</v>
      </c>
      <c r="I29" s="146">
        <f t="shared" si="30"/>
        <v>50111</v>
      </c>
      <c r="J29" s="146">
        <f t="shared" si="30"/>
        <v>50995</v>
      </c>
      <c r="K29" s="146">
        <f t="shared" si="30"/>
        <v>192162</v>
      </c>
      <c r="L29" s="146">
        <f t="shared" si="30"/>
        <v>59448</v>
      </c>
      <c r="M29" s="146">
        <f t="shared" si="30"/>
        <v>64811</v>
      </c>
      <c r="N29" s="146">
        <f t="shared" si="30"/>
        <v>60230</v>
      </c>
      <c r="O29" s="146">
        <f t="shared" si="30"/>
        <v>54266</v>
      </c>
      <c r="P29" s="146">
        <f t="shared" si="30"/>
        <v>238755</v>
      </c>
      <c r="Q29" s="146">
        <f t="shared" si="30"/>
        <v>61524</v>
      </c>
      <c r="R29" s="146">
        <f t="shared" si="30"/>
        <v>61449</v>
      </c>
      <c r="S29" s="146">
        <f t="shared" si="30"/>
        <v>69405</v>
      </c>
      <c r="T29" s="146">
        <f t="shared" si="30"/>
        <v>71242</v>
      </c>
      <c r="U29" s="146">
        <f t="shared" si="30"/>
        <v>263620</v>
      </c>
      <c r="V29" s="146">
        <f t="shared" si="30"/>
        <v>78415</v>
      </c>
      <c r="W29" s="146">
        <f t="shared" si="30"/>
        <v>81138</v>
      </c>
      <c r="X29" s="146">
        <f t="shared" si="30"/>
        <v>76174</v>
      </c>
      <c r="Y29" s="123"/>
      <c r="Z29" s="22"/>
      <c r="AA29" s="22"/>
      <c r="AC29" s="120"/>
      <c r="AD29" s="120"/>
    </row>
    <row r="30" spans="1:49" s="10" customFormat="1">
      <c r="A30" s="37" t="s">
        <v>15</v>
      </c>
      <c r="B30" s="26">
        <v>8.6036118443404863E-2</v>
      </c>
      <c r="C30" s="26">
        <f>C29/B29-1</f>
        <v>-0.13776922151365656</v>
      </c>
      <c r="D30" s="26">
        <f>D29/C29-1</f>
        <v>0.18442645827518844</v>
      </c>
      <c r="E30" s="26">
        <f>E29/D29-1</f>
        <v>-0.15033696215655779</v>
      </c>
      <c r="F30" s="27" t="s">
        <v>16</v>
      </c>
      <c r="G30" s="26">
        <f>G29/E29-1</f>
        <v>0.21956292639636144</v>
      </c>
      <c r="H30" s="26">
        <f>H29/G29-1</f>
        <v>7.0631040363843045E-2</v>
      </c>
      <c r="I30" s="26">
        <f>I29/H29-1</f>
        <v>6.4357171682844383E-2</v>
      </c>
      <c r="J30" s="26">
        <f>J29/I29-1</f>
        <v>1.7640837341102777E-2</v>
      </c>
      <c r="K30" s="27" t="s">
        <v>16</v>
      </c>
      <c r="L30" s="26">
        <f>L29/J29-1</f>
        <v>0.16576134915187768</v>
      </c>
      <c r="M30" s="26">
        <f>M29/L29-1</f>
        <v>9.0213295653344128E-2</v>
      </c>
      <c r="N30" s="26">
        <f>N29/M29-1</f>
        <v>-7.0682445881100398E-2</v>
      </c>
      <c r="O30" s="26">
        <f>O29/N29-1</f>
        <v>-9.9020421716752405E-2</v>
      </c>
      <c r="P30" s="27" t="s">
        <v>16</v>
      </c>
      <c r="Q30" s="26">
        <f>Q29/O29-1</f>
        <v>0.13374857184977706</v>
      </c>
      <c r="R30" s="26">
        <f>R29/Q29-1</f>
        <v>-1.2190364735712444E-3</v>
      </c>
      <c r="S30" s="26">
        <f>S29/R29-1</f>
        <v>0.12947322169604059</v>
      </c>
      <c r="T30" s="26">
        <f>T29/S29-1</f>
        <v>2.6467833729558299E-2</v>
      </c>
      <c r="U30" s="27" t="s">
        <v>16</v>
      </c>
      <c r="V30" s="27">
        <f>V29/T29-1</f>
        <v>0.10068498919176894</v>
      </c>
      <c r="W30" s="27">
        <f>W29/V29-1</f>
        <v>3.4725498947905331E-2</v>
      </c>
      <c r="X30" s="27">
        <f>X29/W29-1</f>
        <v>-6.1179718504276615E-2</v>
      </c>
      <c r="Y30" s="123"/>
      <c r="AA30" s="59"/>
      <c r="AC30" s="120"/>
      <c r="AD30" s="120"/>
    </row>
    <row r="31" spans="1:49" s="10" customFormat="1">
      <c r="A31" s="37" t="s">
        <v>17</v>
      </c>
      <c r="B31" s="26">
        <v>0.51180558082002392</v>
      </c>
      <c r="C31" s="26">
        <v>2.6316643016420027</v>
      </c>
      <c r="D31" s="26">
        <v>0.23344765447886995</v>
      </c>
      <c r="E31" s="26">
        <v>-5.7627473015707031E-2</v>
      </c>
      <c r="F31" s="26">
        <v>0.41681663667266555</v>
      </c>
      <c r="G31" s="26">
        <f t="shared" ref="G31:J31" si="31">G29/B29-1</f>
        <v>5.823607267476838E-2</v>
      </c>
      <c r="H31" s="26">
        <f t="shared" si="31"/>
        <v>0.31401060563773364</v>
      </c>
      <c r="I31" s="26">
        <f t="shared" si="31"/>
        <v>0.18080493896979122</v>
      </c>
      <c r="J31" s="26">
        <f t="shared" si="31"/>
        <v>0.41424926507293813</v>
      </c>
      <c r="K31" s="26">
        <f>K29/F29-1</f>
        <v>0.23274805781333185</v>
      </c>
      <c r="L31" s="26">
        <f t="shared" ref="L31:T31" si="32">L29/G29-1</f>
        <v>0.35185901080159177</v>
      </c>
      <c r="M31" s="26">
        <f t="shared" si="32"/>
        <v>0.37658503430258494</v>
      </c>
      <c r="N31" s="26">
        <f t="shared" si="32"/>
        <v>0.20193171160024748</v>
      </c>
      <c r="O31" s="26">
        <f t="shared" si="32"/>
        <v>6.4143543484655341E-2</v>
      </c>
      <c r="P31" s="26">
        <f>P29/K29-1</f>
        <v>0.24246729322134453</v>
      </c>
      <c r="Q31" s="26">
        <f t="shared" si="32"/>
        <v>3.4921275736778279E-2</v>
      </c>
      <c r="R31" s="26">
        <f t="shared" si="32"/>
        <v>-5.1873910293005809E-2</v>
      </c>
      <c r="S31" s="26">
        <f t="shared" si="32"/>
        <v>0.15233272455586921</v>
      </c>
      <c r="T31" s="26">
        <f t="shared" si="32"/>
        <v>0.3128293959385251</v>
      </c>
      <c r="U31" s="26">
        <f>U29/P29-1</f>
        <v>0.10414441582375233</v>
      </c>
      <c r="V31" s="26">
        <f>V29/Q29-1</f>
        <v>0.27454326766790205</v>
      </c>
      <c r="W31" s="26">
        <f>W29/R29-1</f>
        <v>0.32041204901625742</v>
      </c>
      <c r="X31" s="26">
        <f>X29/S29-1</f>
        <v>9.7528996469995022E-2</v>
      </c>
      <c r="Y31" s="123"/>
      <c r="AA31" s="61"/>
      <c r="AC31" s="120"/>
      <c r="AD31" s="120"/>
    </row>
    <row r="32" spans="1:49">
      <c r="A32" s="37" t="s">
        <v>29</v>
      </c>
      <c r="B32" s="26">
        <f t="shared" ref="B32:X32" si="33">IF(B29/B8&lt;0, "NM",B29/B8)</f>
        <v>0.15896180402807797</v>
      </c>
      <c r="C32" s="26">
        <f t="shared" si="33"/>
        <v>0.13026059389814734</v>
      </c>
      <c r="D32" s="26">
        <f t="shared" si="33"/>
        <v>0.14617411521570653</v>
      </c>
      <c r="E32" s="26">
        <f t="shared" si="33"/>
        <v>0.12202823116934979</v>
      </c>
      <c r="F32" s="26">
        <f t="shared" si="33"/>
        <v>0.13889510136835925</v>
      </c>
      <c r="G32" s="26">
        <f t="shared" si="33"/>
        <v>0.13357816334961484</v>
      </c>
      <c r="H32" s="26">
        <f t="shared" si="33"/>
        <v>0.13576540881591317</v>
      </c>
      <c r="I32" s="26">
        <f t="shared" si="33"/>
        <v>0.13867679901259441</v>
      </c>
      <c r="J32" s="26">
        <f t="shared" si="33"/>
        <v>0.13609445347381793</v>
      </c>
      <c r="K32" s="26">
        <f t="shared" si="33"/>
        <v>0.13608782729150082</v>
      </c>
      <c r="L32" s="26">
        <f t="shared" si="33"/>
        <v>0.14838147677608246</v>
      </c>
      <c r="M32" s="26">
        <f t="shared" si="33"/>
        <v>0.16002874102460271</v>
      </c>
      <c r="N32" s="26">
        <f t="shared" si="33"/>
        <v>0.14655535305410844</v>
      </c>
      <c r="O32" s="26">
        <f t="shared" si="33"/>
        <v>0.13105893377256325</v>
      </c>
      <c r="P32" s="26">
        <f t="shared" si="33"/>
        <v>0.14641545673306891</v>
      </c>
      <c r="Q32" s="26">
        <f t="shared" si="33"/>
        <v>0.140946193302742</v>
      </c>
      <c r="R32" s="26">
        <f t="shared" si="33"/>
        <v>0.13705098067204025</v>
      </c>
      <c r="S32" s="26">
        <f t="shared" si="33"/>
        <v>0.1470217529915924</v>
      </c>
      <c r="T32" s="26">
        <f t="shared" si="33"/>
        <v>0.14798120583433383</v>
      </c>
      <c r="U32" s="26">
        <f t="shared" si="33"/>
        <v>0.14339861573174525</v>
      </c>
      <c r="V32" s="26">
        <f t="shared" si="33"/>
        <v>0.15651103051980064</v>
      </c>
      <c r="W32" s="26">
        <f t="shared" si="33"/>
        <v>0.15771488551102125</v>
      </c>
      <c r="X32" s="26">
        <f t="shared" si="33"/>
        <v>0.14383715550855858</v>
      </c>
      <c r="Y32" s="123"/>
      <c r="AA32" s="61"/>
      <c r="AC32" s="120"/>
      <c r="AD32" s="120"/>
      <c r="AG32" s="10"/>
      <c r="AH32" s="10"/>
      <c r="AI32" s="10"/>
      <c r="AJ32" s="10"/>
      <c r="AK32" s="10"/>
      <c r="AL32" s="10"/>
      <c r="AM32" s="10"/>
      <c r="AN32" s="10"/>
      <c r="AO32" s="10"/>
      <c r="AP32" s="10"/>
      <c r="AQ32" s="10"/>
      <c r="AR32" s="10"/>
      <c r="AS32" s="10"/>
      <c r="AT32" s="10"/>
      <c r="AU32" s="10"/>
      <c r="AV32" s="10"/>
      <c r="AW32" s="10"/>
    </row>
    <row r="33" spans="1:49">
      <c r="A33" s="41"/>
      <c r="Y33" s="123"/>
      <c r="AC33" s="120"/>
      <c r="AD33" s="120"/>
      <c r="AG33" s="10"/>
      <c r="AH33" s="10"/>
      <c r="AI33" s="10"/>
      <c r="AJ33" s="10"/>
      <c r="AK33" s="10"/>
      <c r="AL33" s="10"/>
      <c r="AM33" s="10"/>
      <c r="AN33" s="10"/>
      <c r="AO33" s="10"/>
      <c r="AP33" s="10"/>
      <c r="AQ33" s="10"/>
      <c r="AR33" s="10"/>
      <c r="AS33" s="10"/>
      <c r="AT33" s="10"/>
      <c r="AU33" s="10"/>
      <c r="AV33" s="10"/>
      <c r="AW33" s="10"/>
    </row>
    <row r="34" spans="1:49">
      <c r="A34" s="38" t="s">
        <v>30</v>
      </c>
      <c r="B34" s="23">
        <v>434</v>
      </c>
      <c r="C34" s="23">
        <v>1353</v>
      </c>
      <c r="D34" s="23">
        <v>1171</v>
      </c>
      <c r="E34" s="23">
        <f>+F34-SUM(B34:D34)</f>
        <v>1355</v>
      </c>
      <c r="F34" s="23">
        <v>4313</v>
      </c>
      <c r="G34" s="23">
        <v>1756</v>
      </c>
      <c r="H34" s="23">
        <v>1423</v>
      </c>
      <c r="I34" s="23">
        <v>1504</v>
      </c>
      <c r="J34" s="23">
        <f>+K34-SUM(G34:I34)</f>
        <v>1516</v>
      </c>
      <c r="K34" s="23">
        <v>6199</v>
      </c>
      <c r="L34" s="23">
        <v>105</v>
      </c>
      <c r="M34" s="23">
        <v>324</v>
      </c>
      <c r="N34" s="23">
        <v>409</v>
      </c>
      <c r="O34" s="23">
        <f>+P34-SUM(L34:N34)</f>
        <v>694</v>
      </c>
      <c r="P34" s="23">
        <v>1532</v>
      </c>
      <c r="Q34" s="23">
        <v>359</v>
      </c>
      <c r="R34" s="23">
        <v>36</v>
      </c>
      <c r="S34" s="23">
        <v>278</v>
      </c>
      <c r="T34" s="23">
        <f>U34-SUM(Q34:S34)</f>
        <v>218</v>
      </c>
      <c r="U34" s="23">
        <v>891</v>
      </c>
      <c r="V34" s="23">
        <v>1192</v>
      </c>
      <c r="W34" s="23">
        <v>2211</v>
      </c>
      <c r="X34" s="23">
        <v>-1013</v>
      </c>
      <c r="Y34" s="123"/>
      <c r="Z34" s="23"/>
      <c r="AA34" s="77"/>
      <c r="AC34" s="120"/>
      <c r="AD34" s="120"/>
      <c r="AG34" s="10"/>
      <c r="AH34" s="10"/>
      <c r="AI34" s="10"/>
      <c r="AJ34" s="10"/>
      <c r="AK34" s="10"/>
      <c r="AL34" s="10"/>
      <c r="AM34" s="10"/>
      <c r="AN34" s="10"/>
      <c r="AO34" s="10"/>
      <c r="AP34" s="10"/>
      <c r="AQ34" s="10"/>
      <c r="AR34" s="10"/>
      <c r="AS34" s="10"/>
      <c r="AT34" s="10"/>
      <c r="AU34" s="10"/>
      <c r="AV34" s="10"/>
      <c r="AW34" s="10"/>
    </row>
    <row r="35" spans="1:49">
      <c r="A35" s="38" t="s">
        <v>31</v>
      </c>
      <c r="B35" s="23">
        <v>-1064</v>
      </c>
      <c r="C35" s="23">
        <v>-305</v>
      </c>
      <c r="D35" s="23">
        <v>-89</v>
      </c>
      <c r="E35" s="23">
        <f>+F35-SUM(B35:D35)</f>
        <v>670</v>
      </c>
      <c r="F35" s="23">
        <v>-788</v>
      </c>
      <c r="G35" s="23">
        <v>1535</v>
      </c>
      <c r="H35" s="23">
        <v>-1676</v>
      </c>
      <c r="I35" s="23">
        <v>-181</v>
      </c>
      <c r="J35" s="23">
        <f>+K35-SUM(G35:I35)</f>
        <v>-7940</v>
      </c>
      <c r="K35" s="23">
        <v>-8262</v>
      </c>
      <c r="L35" s="23">
        <v>-230</v>
      </c>
      <c r="M35" s="23">
        <v>-579</v>
      </c>
      <c r="N35" s="23">
        <v>-2627</v>
      </c>
      <c r="O35" s="23">
        <f>+P35-SUM(L35:N35)</f>
        <v>1090</v>
      </c>
      <c r="P35" s="23">
        <v>-2346</v>
      </c>
      <c r="Q35" s="23">
        <v>661</v>
      </c>
      <c r="R35" s="23">
        <v>-1778</v>
      </c>
      <c r="S35" s="23">
        <v>-1152</v>
      </c>
      <c r="T35" s="23">
        <f>U35-SUM(Q35:S35)</f>
        <v>-895</v>
      </c>
      <c r="U35" s="23">
        <v>-3164</v>
      </c>
      <c r="V35" s="23">
        <v>559</v>
      </c>
      <c r="W35" s="23">
        <v>1389</v>
      </c>
      <c r="X35" s="23">
        <v>-464</v>
      </c>
      <c r="Y35" s="123"/>
      <c r="Z35" s="23"/>
      <c r="AA35" s="133"/>
      <c r="AC35" s="120"/>
      <c r="AD35" s="120"/>
      <c r="AG35" s="10"/>
      <c r="AH35" s="10"/>
      <c r="AI35" s="10"/>
      <c r="AJ35" s="10"/>
      <c r="AK35" s="10"/>
      <c r="AL35" s="10"/>
      <c r="AM35" s="10"/>
      <c r="AN35" s="10"/>
      <c r="AO35" s="10"/>
      <c r="AP35" s="10"/>
      <c r="AQ35" s="10"/>
      <c r="AR35" s="10"/>
      <c r="AS35" s="10"/>
      <c r="AT35" s="10"/>
      <c r="AU35" s="10"/>
      <c r="AV35" s="10"/>
      <c r="AW35" s="10"/>
    </row>
    <row r="36" spans="1:49" ht="12.75" customHeight="1">
      <c r="A36" s="38" t="s">
        <v>32</v>
      </c>
      <c r="B36" s="23">
        <v>0</v>
      </c>
      <c r="C36" s="23">
        <v>0</v>
      </c>
      <c r="D36" s="23">
        <v>-12845</v>
      </c>
      <c r="E36" s="23">
        <f>+F36-SUM(B36:D36)</f>
        <v>0</v>
      </c>
      <c r="F36" s="23">
        <v>-12845</v>
      </c>
      <c r="G36" s="23">
        <v>0</v>
      </c>
      <c r="H36" s="23">
        <v>0</v>
      </c>
      <c r="I36" s="23">
        <v>0</v>
      </c>
      <c r="J36" s="23">
        <f>+K36-SUM(G36:I36)</f>
        <v>0</v>
      </c>
      <c r="K36" s="23">
        <v>0</v>
      </c>
      <c r="L36" s="23">
        <v>0</v>
      </c>
      <c r="M36" s="23">
        <v>0</v>
      </c>
      <c r="N36" s="23">
        <v>0</v>
      </c>
      <c r="O36" s="23">
        <f>+P36-SUM(L36:N36)</f>
        <v>0</v>
      </c>
      <c r="P36" s="23">
        <v>0</v>
      </c>
      <c r="Q36" s="23">
        <v>0</v>
      </c>
      <c r="R36" s="23">
        <v>0</v>
      </c>
      <c r="S36" s="23">
        <v>0</v>
      </c>
      <c r="T36" s="23">
        <v>0</v>
      </c>
      <c r="U36" s="23">
        <v>0</v>
      </c>
      <c r="V36" s="23">
        <v>0</v>
      </c>
      <c r="W36" s="23">
        <v>0</v>
      </c>
      <c r="X36" s="23">
        <v>0</v>
      </c>
      <c r="Y36" s="123"/>
      <c r="AA36" s="134"/>
      <c r="AC36" s="120"/>
      <c r="AD36" s="120"/>
      <c r="AG36" s="10"/>
      <c r="AH36" s="10"/>
      <c r="AI36" s="10"/>
      <c r="AJ36" s="10"/>
      <c r="AK36" s="10"/>
      <c r="AL36" s="10"/>
      <c r="AM36" s="10"/>
      <c r="AN36" s="10"/>
      <c r="AO36" s="10"/>
      <c r="AP36" s="10"/>
      <c r="AQ36" s="10"/>
      <c r="AR36" s="10"/>
      <c r="AS36" s="10"/>
      <c r="AT36" s="10"/>
      <c r="AU36" s="10"/>
      <c r="AV36" s="10"/>
      <c r="AW36" s="10"/>
    </row>
    <row r="37" spans="1:49" ht="6" customHeight="1">
      <c r="A37" s="38"/>
      <c r="Y37" s="123"/>
      <c r="AC37" s="120"/>
      <c r="AD37" s="120"/>
      <c r="AG37" s="10"/>
      <c r="AH37" s="10"/>
      <c r="AI37" s="10"/>
      <c r="AJ37" s="10"/>
      <c r="AK37" s="10"/>
      <c r="AL37" s="10"/>
      <c r="AM37" s="10"/>
      <c r="AN37" s="10"/>
      <c r="AO37" s="10"/>
      <c r="AP37" s="10"/>
      <c r="AQ37" s="10"/>
      <c r="AR37" s="10"/>
      <c r="AS37" s="10"/>
      <c r="AT37" s="10"/>
      <c r="AU37" s="10"/>
      <c r="AV37" s="10"/>
      <c r="AW37" s="10"/>
    </row>
    <row r="38" spans="1:49">
      <c r="A38" s="139" t="s">
        <v>33</v>
      </c>
      <c r="B38" s="146">
        <f t="shared" ref="B38:M38" si="34">B29+B35+B34+B36</f>
        <v>40925</v>
      </c>
      <c r="C38" s="146">
        <f t="shared" si="34"/>
        <v>36878</v>
      </c>
      <c r="D38" s="146">
        <f t="shared" si="34"/>
        <v>30675</v>
      </c>
      <c r="E38" s="146">
        <f t="shared" si="34"/>
        <v>38083</v>
      </c>
      <c r="F38" s="146">
        <f t="shared" si="34"/>
        <v>146561</v>
      </c>
      <c r="G38" s="146">
        <f t="shared" si="34"/>
        <v>47266</v>
      </c>
      <c r="H38" s="146">
        <f t="shared" si="34"/>
        <v>46828</v>
      </c>
      <c r="I38" s="146">
        <f t="shared" si="34"/>
        <v>51434</v>
      </c>
      <c r="J38" s="146">
        <f t="shared" si="34"/>
        <v>44571</v>
      </c>
      <c r="K38" s="146">
        <f t="shared" si="34"/>
        <v>190099</v>
      </c>
      <c r="L38" s="146">
        <f t="shared" si="34"/>
        <v>59323</v>
      </c>
      <c r="M38" s="146">
        <f t="shared" si="34"/>
        <v>64556</v>
      </c>
      <c r="N38" s="146">
        <f t="shared" ref="N38:Q38" si="35">N29+N35+N34+N36</f>
        <v>58012</v>
      </c>
      <c r="O38" s="146">
        <f t="shared" si="35"/>
        <v>56050</v>
      </c>
      <c r="P38" s="146">
        <f t="shared" si="35"/>
        <v>237941</v>
      </c>
      <c r="Q38" s="146">
        <f t="shared" si="35"/>
        <v>62544</v>
      </c>
      <c r="R38" s="146">
        <f t="shared" ref="R38:S38" si="36">R29+R35+R34+R36</f>
        <v>59707</v>
      </c>
      <c r="S38" s="146">
        <f t="shared" si="36"/>
        <v>68531</v>
      </c>
      <c r="T38" s="146">
        <f t="shared" ref="T38:U38" si="37">T29+T35+T34+T36</f>
        <v>70565</v>
      </c>
      <c r="U38" s="146">
        <f t="shared" si="37"/>
        <v>261347</v>
      </c>
      <c r="V38" s="146">
        <f t="shared" ref="V38:X38" si="38">V29+V35+V34+V36</f>
        <v>80166</v>
      </c>
      <c r="W38" s="146">
        <f t="shared" si="38"/>
        <v>84738</v>
      </c>
      <c r="X38" s="146">
        <f t="shared" si="38"/>
        <v>74697</v>
      </c>
      <c r="Y38" s="123"/>
      <c r="Z38" s="23"/>
      <c r="AA38" s="23"/>
      <c r="AC38" s="120"/>
      <c r="AD38" s="120"/>
      <c r="AG38" s="10"/>
      <c r="AH38" s="10"/>
      <c r="AI38" s="10"/>
      <c r="AJ38" s="10"/>
      <c r="AK38" s="10"/>
      <c r="AL38" s="10"/>
      <c r="AM38" s="10"/>
      <c r="AN38" s="10"/>
      <c r="AO38" s="10"/>
      <c r="AP38" s="10"/>
      <c r="AQ38" s="10"/>
      <c r="AR38" s="10"/>
      <c r="AS38" s="10"/>
      <c r="AT38" s="10"/>
      <c r="AU38" s="10"/>
      <c r="AV38" s="10"/>
      <c r="AW38" s="10"/>
    </row>
    <row r="39" spans="1:49" ht="6" customHeight="1">
      <c r="A39" s="41"/>
      <c r="Y39" s="123"/>
      <c r="AC39" s="120"/>
      <c r="AD39" s="120"/>
      <c r="AG39" s="10"/>
      <c r="AH39" s="10"/>
      <c r="AI39" s="10"/>
      <c r="AJ39" s="10"/>
      <c r="AK39" s="10"/>
      <c r="AL39" s="10"/>
      <c r="AM39" s="10"/>
      <c r="AN39" s="10"/>
      <c r="AO39" s="10"/>
      <c r="AP39" s="10"/>
      <c r="AQ39" s="10"/>
      <c r="AR39" s="10"/>
      <c r="AS39" s="10"/>
      <c r="AT39" s="10"/>
      <c r="AU39" s="10"/>
      <c r="AV39" s="10"/>
      <c r="AW39" s="10"/>
    </row>
    <row r="40" spans="1:49">
      <c r="A40" s="38" t="s">
        <v>34</v>
      </c>
      <c r="B40" s="24">
        <v>-8958</v>
      </c>
      <c r="C40" s="24">
        <v>-8865</v>
      </c>
      <c r="D40" s="24">
        <v>-4196</v>
      </c>
      <c r="E40" s="24">
        <f>+F40-SUM(B40:D40)</f>
        <v>-9831</v>
      </c>
      <c r="F40" s="24">
        <v>-31850</v>
      </c>
      <c r="G40" s="24">
        <v>-11202</v>
      </c>
      <c r="H40" s="24">
        <v>-11125</v>
      </c>
      <c r="I40" s="24">
        <v>-12447</v>
      </c>
      <c r="J40" s="24">
        <f>+K40-SUM(G40:I40)</f>
        <v>-12791</v>
      </c>
      <c r="K40" s="24">
        <v>-47565</v>
      </c>
      <c r="L40" s="24">
        <v>-8058</v>
      </c>
      <c r="M40" s="24">
        <v>-15554</v>
      </c>
      <c r="N40" s="24">
        <v>-14161</v>
      </c>
      <c r="O40" s="24">
        <f>+P40-SUM(L40:N40)</f>
        <v>-15763</v>
      </c>
      <c r="P40" s="24">
        <v>-53536</v>
      </c>
      <c r="Q40" s="24">
        <v>-13753</v>
      </c>
      <c r="R40" s="24">
        <v>-13873</v>
      </c>
      <c r="S40" s="24">
        <v>-15460</v>
      </c>
      <c r="T40" s="23">
        <f t="shared" ref="T40:T41" si="39">U40-SUM(Q40:S40)</f>
        <v>-19850</v>
      </c>
      <c r="U40" s="24">
        <v>-62936</v>
      </c>
      <c r="V40" s="24">
        <v>-13496</v>
      </c>
      <c r="W40" s="24">
        <v>-18546</v>
      </c>
      <c r="X40" s="24">
        <v>-16456</v>
      </c>
      <c r="Y40" s="123"/>
      <c r="Z40" s="25"/>
      <c r="AA40" s="90"/>
      <c r="AC40" s="120"/>
      <c r="AD40" s="120"/>
      <c r="AG40" s="10"/>
      <c r="AH40" s="10"/>
      <c r="AI40" s="10"/>
      <c r="AJ40" s="10"/>
      <c r="AK40" s="10"/>
      <c r="AL40" s="10"/>
      <c r="AM40" s="10"/>
      <c r="AN40" s="10"/>
      <c r="AO40" s="10"/>
      <c r="AP40" s="10"/>
      <c r="AQ40" s="10"/>
      <c r="AR40" s="10"/>
      <c r="AS40" s="10"/>
      <c r="AT40" s="10"/>
      <c r="AU40" s="10"/>
      <c r="AV40" s="10"/>
      <c r="AW40" s="10"/>
    </row>
    <row r="41" spans="1:49">
      <c r="A41" s="38" t="s">
        <v>35</v>
      </c>
      <c r="B41" s="23">
        <v>-36</v>
      </c>
      <c r="C41" s="23">
        <v>8</v>
      </c>
      <c r="D41" s="23">
        <v>28</v>
      </c>
      <c r="E41" s="23">
        <f>+F41-SUM(B41:D41)</f>
        <v>47</v>
      </c>
      <c r="F41" s="23">
        <v>47</v>
      </c>
      <c r="G41" s="23">
        <v>114</v>
      </c>
      <c r="H41" s="23">
        <v>143</v>
      </c>
      <c r="I41" s="23">
        <v>108</v>
      </c>
      <c r="J41" s="23">
        <f>+K41-SUM(G41:I41)</f>
        <v>69</v>
      </c>
      <c r="K41" s="23">
        <v>434</v>
      </c>
      <c r="L41" s="23">
        <v>66</v>
      </c>
      <c r="M41" s="23">
        <v>66</v>
      </c>
      <c r="N41" s="23">
        <v>25</v>
      </c>
      <c r="O41" s="23">
        <f>+P41-SUM(L41:N41)</f>
        <v>-4</v>
      </c>
      <c r="P41" s="23">
        <v>153</v>
      </c>
      <c r="Q41" s="23">
        <v>-28</v>
      </c>
      <c r="R41" s="23">
        <v>-9</v>
      </c>
      <c r="S41" s="23">
        <v>-34</v>
      </c>
      <c r="T41" s="23">
        <f t="shared" si="39"/>
        <v>-43</v>
      </c>
      <c r="U41" s="23">
        <v>-114</v>
      </c>
      <c r="V41" s="23">
        <v>-109</v>
      </c>
      <c r="W41" s="23">
        <v>-141</v>
      </c>
      <c r="X41" s="23">
        <v>-80</v>
      </c>
      <c r="Y41" s="123"/>
      <c r="Z41" s="25"/>
      <c r="AA41" s="134"/>
      <c r="AC41" s="120"/>
      <c r="AD41" s="120"/>
      <c r="AG41" s="10"/>
      <c r="AH41" s="10"/>
      <c r="AI41" s="10"/>
      <c r="AJ41" s="10"/>
      <c r="AK41" s="10"/>
      <c r="AL41" s="10"/>
      <c r="AM41" s="10"/>
      <c r="AN41" s="10"/>
      <c r="AO41" s="10"/>
      <c r="AP41" s="10"/>
      <c r="AQ41" s="10"/>
      <c r="AR41" s="10"/>
      <c r="AS41" s="10"/>
      <c r="AT41" s="10"/>
      <c r="AU41" s="10"/>
      <c r="AV41" s="10"/>
      <c r="AW41" s="10"/>
    </row>
    <row r="42" spans="1:49" ht="6" customHeight="1">
      <c r="A42" s="41"/>
      <c r="Y42" s="123"/>
      <c r="AC42" s="120"/>
      <c r="AD42" s="120"/>
      <c r="AG42" s="10"/>
      <c r="AH42" s="10"/>
      <c r="AI42" s="10"/>
      <c r="AJ42" s="10"/>
      <c r="AK42" s="10"/>
      <c r="AL42" s="10"/>
      <c r="AM42" s="10"/>
      <c r="AN42" s="10"/>
      <c r="AO42" s="10"/>
      <c r="AP42" s="10"/>
      <c r="AQ42" s="10"/>
      <c r="AR42" s="10"/>
      <c r="AS42" s="10"/>
      <c r="AT42" s="10"/>
      <c r="AU42" s="10"/>
      <c r="AV42" s="10"/>
      <c r="AW42" s="10"/>
    </row>
    <row r="43" spans="1:49">
      <c r="A43" s="139" t="s">
        <v>36</v>
      </c>
      <c r="B43" s="138">
        <f t="shared" ref="B43:M43" si="40">B38+B40+B41</f>
        <v>31931</v>
      </c>
      <c r="C43" s="138">
        <f t="shared" si="40"/>
        <v>28021</v>
      </c>
      <c r="D43" s="138">
        <f t="shared" si="40"/>
        <v>26507</v>
      </c>
      <c r="E43" s="138">
        <f t="shared" si="40"/>
        <v>28299</v>
      </c>
      <c r="F43" s="138">
        <f t="shared" si="40"/>
        <v>114758</v>
      </c>
      <c r="G43" s="138">
        <f t="shared" si="40"/>
        <v>36178</v>
      </c>
      <c r="H43" s="138">
        <f t="shared" si="40"/>
        <v>35846</v>
      </c>
      <c r="I43" s="138">
        <f t="shared" si="40"/>
        <v>39095</v>
      </c>
      <c r="J43" s="138">
        <f t="shared" si="40"/>
        <v>31849</v>
      </c>
      <c r="K43" s="138">
        <f t="shared" si="40"/>
        <v>142968</v>
      </c>
      <c r="L43" s="138">
        <f t="shared" si="40"/>
        <v>51331</v>
      </c>
      <c r="M43" s="138">
        <f t="shared" si="40"/>
        <v>49068</v>
      </c>
      <c r="N43" s="138">
        <f t="shared" ref="N43:Q43" si="41">N38+N40+N41</f>
        <v>43876</v>
      </c>
      <c r="O43" s="138">
        <f t="shared" si="41"/>
        <v>40283</v>
      </c>
      <c r="P43" s="138">
        <f t="shared" si="41"/>
        <v>184558</v>
      </c>
      <c r="Q43" s="138">
        <f t="shared" si="41"/>
        <v>48763</v>
      </c>
      <c r="R43" s="138">
        <f t="shared" ref="R43:S43" si="42">R38+R40+R41</f>
        <v>45825</v>
      </c>
      <c r="S43" s="138">
        <f t="shared" si="42"/>
        <v>53037</v>
      </c>
      <c r="T43" s="138">
        <f t="shared" ref="T43:U43" si="43">T38+T40+T41</f>
        <v>50672</v>
      </c>
      <c r="U43" s="138">
        <f t="shared" si="43"/>
        <v>198297</v>
      </c>
      <c r="V43" s="138">
        <f t="shared" ref="V43:X43" si="44">V38+V40+V41</f>
        <v>66561</v>
      </c>
      <c r="W43" s="138">
        <f t="shared" si="44"/>
        <v>66051</v>
      </c>
      <c r="X43" s="138">
        <f t="shared" si="44"/>
        <v>58161</v>
      </c>
      <c r="Y43" s="123"/>
      <c r="Z43" s="23"/>
      <c r="AA43" s="227"/>
      <c r="AC43" s="120"/>
      <c r="AD43" s="120"/>
      <c r="AG43" s="10"/>
      <c r="AH43" s="10"/>
      <c r="AI43" s="10"/>
      <c r="AJ43" s="10"/>
      <c r="AK43" s="10"/>
      <c r="AL43" s="10"/>
      <c r="AM43" s="10"/>
      <c r="AN43" s="10"/>
      <c r="AO43" s="10"/>
      <c r="AP43" s="10"/>
      <c r="AQ43" s="10"/>
      <c r="AR43" s="10"/>
      <c r="AS43" s="10"/>
      <c r="AT43" s="10"/>
      <c r="AU43" s="10"/>
      <c r="AV43" s="10"/>
      <c r="AW43" s="10"/>
    </row>
    <row r="44" spans="1:49" s="10" customFormat="1">
      <c r="A44" s="37" t="s">
        <v>24</v>
      </c>
      <c r="B44" s="27">
        <f t="shared" ref="B44:X44" si="45">B43/B8</f>
        <v>0.12214677811143201</v>
      </c>
      <c r="C44" s="27">
        <f t="shared" si="45"/>
        <v>0.10187083733240264</v>
      </c>
      <c r="D44" s="27">
        <f t="shared" si="45"/>
        <v>9.1301128046155172E-2</v>
      </c>
      <c r="E44" s="27">
        <f t="shared" si="45"/>
        <v>9.5770062506556924E-2</v>
      </c>
      <c r="F44" s="27">
        <f t="shared" si="45"/>
        <v>0.10225315492478346</v>
      </c>
      <c r="G44" s="27">
        <f t="shared" si="45"/>
        <v>0.10989404874729654</v>
      </c>
      <c r="H44" s="27">
        <f t="shared" si="45"/>
        <v>0.10336753349366461</v>
      </c>
      <c r="I44" s="27">
        <f t="shared" si="45"/>
        <v>0.10819120467357224</v>
      </c>
      <c r="J44" s="27">
        <f t="shared" si="45"/>
        <v>8.4997985070842774E-2</v>
      </c>
      <c r="K44" s="27">
        <f t="shared" si="45"/>
        <v>0.10124896957885166</v>
      </c>
      <c r="L44" s="27">
        <f t="shared" si="45"/>
        <v>0.12812154461702813</v>
      </c>
      <c r="M44" s="27">
        <f t="shared" si="45"/>
        <v>0.12115675216545349</v>
      </c>
      <c r="N44" s="27">
        <f t="shared" si="45"/>
        <v>0.10676179097795221</v>
      </c>
      <c r="O44" s="27">
        <f t="shared" si="45"/>
        <v>9.728830260494907E-2</v>
      </c>
      <c r="P44" s="27">
        <f t="shared" si="45"/>
        <v>0.11317938415422392</v>
      </c>
      <c r="Q44" s="27">
        <f t="shared" si="45"/>
        <v>0.1117118396726742</v>
      </c>
      <c r="R44" s="27">
        <f t="shared" si="45"/>
        <v>0.10220444904386149</v>
      </c>
      <c r="S44" s="27">
        <f t="shared" si="45"/>
        <v>0.11234914939003078</v>
      </c>
      <c r="T44" s="27">
        <f t="shared" si="45"/>
        <v>0.10525397465030971</v>
      </c>
      <c r="U44" s="27">
        <f t="shared" si="45"/>
        <v>0.10786554625505611</v>
      </c>
      <c r="V44" s="27">
        <f t="shared" si="45"/>
        <v>0.13285124915422369</v>
      </c>
      <c r="W44" s="27">
        <f t="shared" si="45"/>
        <v>0.12838899039769855</v>
      </c>
      <c r="X44" s="27">
        <f t="shared" si="45"/>
        <v>0.10982372990171549</v>
      </c>
      <c r="Y44" s="123"/>
      <c r="AA44" s="59"/>
      <c r="AC44" s="120"/>
      <c r="AD44" s="120"/>
    </row>
    <row r="45" spans="1:49" s="10" customFormat="1">
      <c r="A45" s="37" t="s">
        <v>15</v>
      </c>
      <c r="B45" s="27">
        <v>-8.908063815258549E-3</v>
      </c>
      <c r="C45" s="27">
        <f>C43/B43-1</f>
        <v>-0.122451536124769</v>
      </c>
      <c r="D45" s="27">
        <f>D43/C43-1</f>
        <v>-5.403090539238431E-2</v>
      </c>
      <c r="E45" s="27">
        <f>E43/D43-1</f>
        <v>6.7604783642056798E-2</v>
      </c>
      <c r="F45" s="27" t="s">
        <v>16</v>
      </c>
      <c r="G45" s="27">
        <f>G43/E43-1</f>
        <v>0.27841973214601223</v>
      </c>
      <c r="H45" s="27">
        <f>H43/G43-1</f>
        <v>-9.1768478080601623E-3</v>
      </c>
      <c r="I45" s="27">
        <f>I43/H43-1</f>
        <v>9.0637728058918787E-2</v>
      </c>
      <c r="J45" s="27">
        <f>J43/I43-1</f>
        <v>-0.18534339429594582</v>
      </c>
      <c r="K45" s="27" t="s">
        <v>16</v>
      </c>
      <c r="L45" s="27">
        <f>L43/J43-1</f>
        <v>0.61169895444126965</v>
      </c>
      <c r="M45" s="27">
        <f>M43/L43-1</f>
        <v>-4.4086419512575192E-2</v>
      </c>
      <c r="N45" s="27">
        <f>N43/M43-1</f>
        <v>-0.10581234205592238</v>
      </c>
      <c r="O45" s="27">
        <f>O43/N43-1</f>
        <v>-8.1889871455921193E-2</v>
      </c>
      <c r="P45" s="27" t="s">
        <v>16</v>
      </c>
      <c r="Q45" s="27">
        <f>Q43/O43-1</f>
        <v>0.2105106372415162</v>
      </c>
      <c r="R45" s="27">
        <f>R43/Q43-1</f>
        <v>-6.0250599840042662E-2</v>
      </c>
      <c r="S45" s="27">
        <f>S43/R43-1</f>
        <v>0.15738134206219323</v>
      </c>
      <c r="T45" s="27">
        <f>T43/S43-1</f>
        <v>-4.4591511586251076E-2</v>
      </c>
      <c r="U45" s="27" t="s">
        <v>16</v>
      </c>
      <c r="V45" s="27">
        <f>V43/T43-1</f>
        <v>0.3135656772971267</v>
      </c>
      <c r="W45" s="27">
        <f>W43/V43-1</f>
        <v>-7.6621444990309096E-3</v>
      </c>
      <c r="X45" s="27">
        <f>X43/W43-1</f>
        <v>-0.11945314983876099</v>
      </c>
      <c r="Y45" s="123"/>
      <c r="AA45" s="59"/>
      <c r="AC45" s="120"/>
      <c r="AD45" s="120"/>
    </row>
    <row r="46" spans="1:49" s="10" customFormat="1" ht="13.5" thickBot="1">
      <c r="A46" s="63" t="s">
        <v>17</v>
      </c>
      <c r="B46" s="52">
        <v>0.42479139708179026</v>
      </c>
      <c r="C46" s="52">
        <v>2.3243563886582037</v>
      </c>
      <c r="D46" s="52">
        <v>3.36891513362092E-3</v>
      </c>
      <c r="E46" s="52">
        <v>-0.12164007697560375</v>
      </c>
      <c r="F46" s="52">
        <v>0.2825562161920514</v>
      </c>
      <c r="G46" s="52">
        <f t="shared" ref="G46" si="46">G43/B43-1</f>
        <v>0.13300554320253055</v>
      </c>
      <c r="H46" s="52">
        <f>H43/C43-1</f>
        <v>0.27925484458085004</v>
      </c>
      <c r="I46" s="52">
        <f>I43/D43-1</f>
        <v>0.47489342437846616</v>
      </c>
      <c r="J46" s="52">
        <f t="shared" ref="J46" si="47">J43/E43-1</f>
        <v>0.12544612883847495</v>
      </c>
      <c r="K46" s="52">
        <f>K43/F43-1</f>
        <v>0.2458216420641699</v>
      </c>
      <c r="L46" s="52">
        <f t="shared" ref="L46" si="48">L43/G43-1</f>
        <v>0.41884570733594995</v>
      </c>
      <c r="M46" s="52">
        <f>M43/H43-1</f>
        <v>0.36885566032472239</v>
      </c>
      <c r="N46" s="52">
        <f>N43/I43-1</f>
        <v>0.12229185317815583</v>
      </c>
      <c r="O46" s="52">
        <f t="shared" ref="O46" si="49">O43/J43-1</f>
        <v>0.26481208201199413</v>
      </c>
      <c r="P46" s="52">
        <f>P43/K43-1</f>
        <v>0.29090425829556255</v>
      </c>
      <c r="Q46" s="52">
        <f t="shared" ref="Q46:S46" si="50">Q43/L43-1</f>
        <v>-5.0028248037248479E-2</v>
      </c>
      <c r="R46" s="52">
        <f t="shared" si="50"/>
        <v>-6.6091954022988508E-2</v>
      </c>
      <c r="S46" s="52">
        <f t="shared" si="50"/>
        <v>0.20879296198377251</v>
      </c>
      <c r="T46" s="52">
        <f t="shared" ref="T46" si="51">T43/O43-1</f>
        <v>0.25790035498845665</v>
      </c>
      <c r="U46" s="52">
        <f>U43/P43-1</f>
        <v>7.44427226129456E-2</v>
      </c>
      <c r="V46" s="52">
        <f>V43/Q43-1</f>
        <v>0.36498984886081653</v>
      </c>
      <c r="W46" s="52">
        <f>W43/R43-1</f>
        <v>0.44137479541734859</v>
      </c>
      <c r="X46" s="52">
        <f>X43/S43-1</f>
        <v>9.6611799309915813E-2</v>
      </c>
      <c r="Y46" s="123"/>
      <c r="AA46" s="61"/>
      <c r="AC46" s="120"/>
      <c r="AD46" s="120"/>
    </row>
    <row r="47" spans="1:49" s="10" customFormat="1">
      <c r="A47" s="38" t="s">
        <v>37</v>
      </c>
      <c r="Y47" s="123"/>
      <c r="AC47" s="120"/>
      <c r="AD47" s="120"/>
    </row>
    <row r="48" spans="1:49" s="10" customFormat="1">
      <c r="A48" s="117" t="s">
        <v>38</v>
      </c>
      <c r="B48" s="118">
        <f t="shared" ref="B48:M48" si="52">B43/B51</f>
        <v>0.18930936556965927</v>
      </c>
      <c r="C48" s="118">
        <f t="shared" si="52"/>
        <v>0.1669357481159334</v>
      </c>
      <c r="D48" s="118">
        <f t="shared" si="52"/>
        <v>0.15849013734177594</v>
      </c>
      <c r="E48" s="118">
        <f t="shared" si="52"/>
        <v>0.1692179819893084</v>
      </c>
      <c r="F48" s="118">
        <f t="shared" si="52"/>
        <v>0.68411765407222824</v>
      </c>
      <c r="G48" s="118">
        <f t="shared" si="52"/>
        <v>0.21636265773578137</v>
      </c>
      <c r="H48" s="118">
        <f t="shared" si="52"/>
        <v>0.21462485854733351</v>
      </c>
      <c r="I48" s="118">
        <f t="shared" si="52"/>
        <v>0.23524420990558942</v>
      </c>
      <c r="J48" s="118">
        <f t="shared" si="52"/>
        <v>0.19162364776241531</v>
      </c>
      <c r="K48" s="118">
        <f t="shared" si="52"/>
        <v>0.85788349374744977</v>
      </c>
      <c r="L48" s="118">
        <f t="shared" si="52"/>
        <v>0.30700726085240254</v>
      </c>
      <c r="M48" s="118">
        <f t="shared" si="52"/>
        <v>0.29421323084118312</v>
      </c>
      <c r="N48" s="118">
        <f t="shared" ref="N48:Q48" si="53">N43/N51</f>
        <v>0.26405873856523832</v>
      </c>
      <c r="O48" s="118">
        <f t="shared" si="53"/>
        <v>0.24376414489210549</v>
      </c>
      <c r="P48" s="118">
        <f t="shared" si="53"/>
        <v>1.1095159942527699</v>
      </c>
      <c r="Q48" s="118">
        <f t="shared" si="53"/>
        <v>0.29538653517645774</v>
      </c>
      <c r="R48" s="118">
        <f t="shared" ref="R48:S48" si="54">R43/R51</f>
        <v>0.28149071833114242</v>
      </c>
      <c r="S48" s="118">
        <f t="shared" si="54"/>
        <v>0.3279293650646436</v>
      </c>
      <c r="T48" s="118">
        <f t="shared" ref="T48:U48" si="55">T43/T51</f>
        <v>0.31416313270341989</v>
      </c>
      <c r="U48" s="118">
        <f t="shared" si="55"/>
        <v>1.2186468697570658</v>
      </c>
      <c r="V48" s="118">
        <f t="shared" ref="V48:W48" si="56">V43/V51</f>
        <v>0.40963136192996491</v>
      </c>
      <c r="W48" s="118">
        <f t="shared" si="56"/>
        <v>0.40540739604112319</v>
      </c>
      <c r="X48" s="118">
        <f t="shared" ref="X48" si="57">X43/X51</f>
        <v>0.36238286312431461</v>
      </c>
      <c r="Y48" s="123"/>
      <c r="Z48" s="120"/>
      <c r="AA48" s="135"/>
      <c r="AC48" s="120"/>
      <c r="AD48" s="120"/>
    </row>
    <row r="49" spans="1:49">
      <c r="A49" s="117" t="s">
        <v>39</v>
      </c>
      <c r="B49" s="118">
        <f t="shared" ref="B49:M49" si="58">B43/B52</f>
        <v>0.18608676395169937</v>
      </c>
      <c r="C49" s="118">
        <f t="shared" si="58"/>
        <v>0.16296111056185264</v>
      </c>
      <c r="D49" s="118">
        <f t="shared" si="58"/>
        <v>0.15453363571174553</v>
      </c>
      <c r="E49" s="118">
        <f t="shared" si="58"/>
        <v>0.16662054509806232</v>
      </c>
      <c r="F49" s="118">
        <f t="shared" si="58"/>
        <v>0.67022929296468914</v>
      </c>
      <c r="G49" s="118">
        <f t="shared" si="58"/>
        <v>0.21347227303303162</v>
      </c>
      <c r="H49" s="118">
        <f t="shared" si="58"/>
        <v>0.21191465714471514</v>
      </c>
      <c r="I49" s="118">
        <f t="shared" si="58"/>
        <v>0.23148340033986819</v>
      </c>
      <c r="J49" s="118">
        <f t="shared" si="58"/>
        <v>0.18825845120790652</v>
      </c>
      <c r="K49" s="118">
        <f t="shared" si="58"/>
        <v>0.84511937766375633</v>
      </c>
      <c r="L49" s="118">
        <f t="shared" si="58"/>
        <v>0.30255751309996048</v>
      </c>
      <c r="M49" s="118">
        <f t="shared" si="58"/>
        <v>0.29130501893826954</v>
      </c>
      <c r="N49" s="118">
        <f t="shared" ref="N49:Q49" si="59">N43/N52</f>
        <v>0.26165259291064358</v>
      </c>
      <c r="O49" s="118">
        <f t="shared" si="59"/>
        <v>0.24138757557780693</v>
      </c>
      <c r="P49" s="118">
        <f t="shared" si="59"/>
        <v>1.0975077455533686</v>
      </c>
      <c r="Q49" s="118">
        <f t="shared" si="59"/>
        <v>0.29247212509071718</v>
      </c>
      <c r="R49" s="118">
        <f t="shared" ref="R49:S49" si="60">R43/R52</f>
        <v>0.2794854905404911</v>
      </c>
      <c r="S49" s="118">
        <f t="shared" si="60"/>
        <v>0.32500551511140524</v>
      </c>
      <c r="T49" s="118">
        <f t="shared" ref="T49:U49" si="61">T43/T52</f>
        <v>0.31003995423312958</v>
      </c>
      <c r="U49" s="118">
        <f t="shared" si="61"/>
        <v>1.2067586811260818</v>
      </c>
      <c r="V49" s="118">
        <f t="shared" ref="V49:W49" si="62">V43/V52</f>
        <v>0.40448598358015764</v>
      </c>
      <c r="W49" s="118">
        <f t="shared" si="62"/>
        <v>0.40227658913595588</v>
      </c>
      <c r="X49" s="118">
        <f t="shared" ref="X49" si="63">X43/X52</f>
        <v>0.35965346228526907</v>
      </c>
      <c r="Y49" s="123"/>
      <c r="Z49" s="120"/>
      <c r="AA49" s="135"/>
      <c r="AC49" s="120"/>
      <c r="AD49" s="120"/>
      <c r="AG49" s="10"/>
      <c r="AH49" s="10"/>
      <c r="AI49" s="10"/>
      <c r="AJ49" s="10"/>
      <c r="AK49" s="10"/>
      <c r="AL49" s="10"/>
      <c r="AM49" s="10"/>
      <c r="AN49" s="10"/>
      <c r="AO49" s="10"/>
      <c r="AP49" s="10"/>
      <c r="AQ49" s="10"/>
      <c r="AR49" s="10"/>
      <c r="AS49" s="10"/>
      <c r="AT49" s="10"/>
      <c r="AU49" s="10"/>
      <c r="AV49" s="10"/>
      <c r="AW49" s="10"/>
    </row>
    <row r="50" spans="1:49">
      <c r="A50" s="41" t="s">
        <v>40</v>
      </c>
      <c r="O50" s="58"/>
      <c r="P50" s="58"/>
      <c r="R50" s="58"/>
      <c r="S50" s="58"/>
      <c r="T50" s="58"/>
      <c r="U50" s="58"/>
      <c r="V50" s="58"/>
      <c r="W50" s="58"/>
      <c r="X50" s="58"/>
      <c r="Y50" s="123"/>
      <c r="AA50" s="81"/>
      <c r="AC50" s="120"/>
      <c r="AD50" s="120"/>
      <c r="AG50" s="10"/>
      <c r="AH50" s="10"/>
      <c r="AI50" s="10"/>
      <c r="AJ50" s="10"/>
      <c r="AK50" s="10"/>
      <c r="AL50" s="10"/>
      <c r="AM50" s="10"/>
      <c r="AN50" s="10"/>
      <c r="AO50" s="10"/>
      <c r="AP50" s="10"/>
      <c r="AQ50" s="10"/>
      <c r="AR50" s="10"/>
      <c r="AS50" s="10"/>
      <c r="AT50" s="10"/>
      <c r="AU50" s="10"/>
      <c r="AV50" s="10"/>
      <c r="AW50" s="10"/>
    </row>
    <row r="51" spans="1:49">
      <c r="A51" s="117" t="s">
        <v>38</v>
      </c>
      <c r="B51" s="24">
        <v>168671</v>
      </c>
      <c r="C51" s="24">
        <v>167855</v>
      </c>
      <c r="D51" s="24">
        <v>167247</v>
      </c>
      <c r="E51" s="24">
        <v>167234</v>
      </c>
      <c r="F51" s="24">
        <v>167746</v>
      </c>
      <c r="G51" s="24">
        <v>167210</v>
      </c>
      <c r="H51" s="24">
        <v>167017</v>
      </c>
      <c r="I51" s="24">
        <v>166189</v>
      </c>
      <c r="J51" s="24">
        <v>166206</v>
      </c>
      <c r="K51" s="24">
        <v>166652</v>
      </c>
      <c r="L51" s="24">
        <v>167198</v>
      </c>
      <c r="M51" s="24">
        <v>166777</v>
      </c>
      <c r="N51" s="24">
        <v>166160</v>
      </c>
      <c r="O51" s="24">
        <v>165254</v>
      </c>
      <c r="P51" s="24">
        <v>166341</v>
      </c>
      <c r="Q51" s="24">
        <v>165082</v>
      </c>
      <c r="R51" s="24">
        <v>162794</v>
      </c>
      <c r="S51" s="24">
        <v>161733</v>
      </c>
      <c r="T51" s="24">
        <v>161292</v>
      </c>
      <c r="U51" s="24">
        <v>162719</v>
      </c>
      <c r="V51" s="24">
        <v>162490</v>
      </c>
      <c r="W51" s="24">
        <v>162925</v>
      </c>
      <c r="X51" s="24">
        <v>160496</v>
      </c>
      <c r="Y51" s="123"/>
      <c r="Z51" s="77"/>
      <c r="AA51" s="90"/>
      <c r="AC51" s="120"/>
      <c r="AD51" s="120"/>
      <c r="AG51" s="10"/>
      <c r="AH51" s="10"/>
      <c r="AI51" s="10"/>
      <c r="AJ51" s="10"/>
      <c r="AK51" s="10"/>
      <c r="AL51" s="10"/>
      <c r="AM51" s="10"/>
      <c r="AN51" s="10"/>
      <c r="AO51" s="10"/>
      <c r="AP51" s="10"/>
      <c r="AQ51" s="10"/>
      <c r="AR51" s="10"/>
      <c r="AS51" s="10"/>
      <c r="AT51" s="10"/>
      <c r="AU51" s="10"/>
      <c r="AV51" s="10"/>
      <c r="AW51" s="10"/>
    </row>
    <row r="52" spans="1:49" ht="13.5" thickBot="1">
      <c r="A52" s="195" t="s">
        <v>39</v>
      </c>
      <c r="B52" s="119">
        <v>171592</v>
      </c>
      <c r="C52" s="119">
        <v>171949</v>
      </c>
      <c r="D52" s="119">
        <v>171529</v>
      </c>
      <c r="E52" s="119">
        <v>169841</v>
      </c>
      <c r="F52" s="119">
        <v>171222</v>
      </c>
      <c r="G52" s="119">
        <v>169474</v>
      </c>
      <c r="H52" s="119">
        <v>169153</v>
      </c>
      <c r="I52" s="119">
        <v>168889</v>
      </c>
      <c r="J52" s="119">
        <v>169177</v>
      </c>
      <c r="K52" s="119">
        <v>169169</v>
      </c>
      <c r="L52" s="119">
        <v>169657</v>
      </c>
      <c r="M52" s="119">
        <v>168442</v>
      </c>
      <c r="N52" s="119">
        <v>167688</v>
      </c>
      <c r="O52" s="119">
        <v>166881</v>
      </c>
      <c r="P52" s="119">
        <v>168161</v>
      </c>
      <c r="Q52" s="119">
        <v>166727</v>
      </c>
      <c r="R52" s="119">
        <v>163962</v>
      </c>
      <c r="S52" s="119">
        <v>163188</v>
      </c>
      <c r="T52" s="119">
        <v>163437</v>
      </c>
      <c r="U52" s="119">
        <v>164322</v>
      </c>
      <c r="V52" s="119">
        <v>164557</v>
      </c>
      <c r="W52" s="119">
        <v>164193</v>
      </c>
      <c r="X52" s="119">
        <v>161714</v>
      </c>
      <c r="Y52" s="123"/>
      <c r="Z52" s="77"/>
      <c r="AA52" s="90"/>
      <c r="AC52" s="120"/>
      <c r="AD52" s="120"/>
      <c r="AG52" s="10"/>
      <c r="AH52" s="10"/>
      <c r="AI52" s="10"/>
      <c r="AJ52" s="10"/>
      <c r="AK52" s="10"/>
      <c r="AL52" s="10"/>
      <c r="AM52" s="10"/>
      <c r="AN52" s="10"/>
      <c r="AO52" s="10"/>
      <c r="AP52" s="10"/>
      <c r="AQ52" s="10"/>
      <c r="AR52" s="10"/>
      <c r="AS52" s="10"/>
      <c r="AT52" s="10"/>
      <c r="AU52" s="10"/>
      <c r="AV52" s="10"/>
      <c r="AW52" s="10"/>
    </row>
    <row r="53" spans="1:49">
      <c r="A53" s="66"/>
    </row>
    <row r="54" spans="1:49" ht="11.25" customHeight="1">
      <c r="A54" s="69" t="s">
        <v>41</v>
      </c>
    </row>
    <row r="55" spans="1:49">
      <c r="A55" s="69"/>
    </row>
    <row r="56" spans="1:49">
      <c r="B56" s="115"/>
      <c r="C56" s="115"/>
      <c r="D56" s="115"/>
      <c r="E56" s="115"/>
      <c r="F56" s="116"/>
      <c r="G56" s="115"/>
      <c r="H56" s="115"/>
      <c r="I56" s="115"/>
      <c r="J56" s="115"/>
      <c r="K56" s="116"/>
      <c r="L56" s="115"/>
      <c r="M56" s="115"/>
      <c r="N56" s="115"/>
      <c r="O56" s="115"/>
      <c r="P56" s="115"/>
      <c r="Q56" s="115"/>
      <c r="R56" s="115"/>
      <c r="S56" s="115"/>
      <c r="T56" s="115"/>
      <c r="U56" s="115"/>
      <c r="V56" s="89"/>
      <c r="W56" s="89"/>
      <c r="X56" s="89"/>
      <c r="AA56" s="89"/>
    </row>
    <row r="57" spans="1:49">
      <c r="B57" s="26"/>
      <c r="C57" s="26"/>
      <c r="D57" s="26"/>
      <c r="E57" s="26"/>
      <c r="F57" s="26"/>
      <c r="G57" s="26"/>
      <c r="H57" s="26"/>
      <c r="I57" s="26"/>
      <c r="J57" s="26"/>
      <c r="K57" s="26"/>
      <c r="L57" s="26"/>
      <c r="M57" s="26"/>
      <c r="N57" s="26"/>
      <c r="O57" s="26"/>
      <c r="P57" s="26"/>
      <c r="Q57" s="26"/>
      <c r="R57" s="26"/>
      <c r="S57" s="26"/>
      <c r="T57" s="26"/>
      <c r="U57" s="26"/>
      <c r="V57" s="26"/>
      <c r="W57" s="26"/>
      <c r="X57" s="26"/>
      <c r="AA57" s="61"/>
    </row>
    <row r="58" spans="1:49">
      <c r="A58" s="107"/>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AA58" s="136"/>
    </row>
    <row r="59" spans="1:49">
      <c r="A59" s="107"/>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AA59" s="136"/>
    </row>
    <row r="60" spans="1:49">
      <c r="A60" s="107"/>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AA60" s="136"/>
    </row>
    <row r="61" spans="1:49">
      <c r="A61" s="107"/>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AA61" s="136"/>
    </row>
    <row r="62" spans="1:49">
      <c r="A62" s="107"/>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AA62" s="136"/>
    </row>
    <row r="63" spans="1:49">
      <c r="A63" s="107"/>
      <c r="B63" s="25"/>
      <c r="C63" s="25"/>
      <c r="D63" s="25"/>
      <c r="E63" s="25"/>
      <c r="F63" s="25"/>
      <c r="G63" s="25"/>
      <c r="H63" s="25"/>
      <c r="I63" s="25"/>
      <c r="J63" s="25"/>
      <c r="K63" s="25"/>
      <c r="L63" s="25"/>
      <c r="M63" s="25"/>
      <c r="N63" s="25"/>
      <c r="O63" s="25"/>
      <c r="P63" s="25"/>
      <c r="Q63" s="25"/>
      <c r="R63" s="25"/>
      <c r="S63" s="25"/>
      <c r="T63" s="25"/>
      <c r="U63" s="25"/>
      <c r="V63" s="25"/>
      <c r="W63" s="25"/>
      <c r="X63" s="25"/>
      <c r="AA63" s="134"/>
    </row>
    <row r="64" spans="1:49">
      <c r="A64" s="107"/>
      <c r="B64" s="25"/>
      <c r="C64" s="25"/>
      <c r="D64" s="25"/>
      <c r="E64" s="25"/>
      <c r="F64" s="25"/>
      <c r="G64" s="25"/>
      <c r="H64" s="25"/>
      <c r="I64" s="25"/>
      <c r="J64" s="25"/>
      <c r="K64" s="25"/>
      <c r="L64" s="25"/>
      <c r="M64" s="25"/>
      <c r="N64" s="25"/>
      <c r="O64" s="25"/>
      <c r="P64" s="25"/>
      <c r="Q64" s="25"/>
      <c r="R64" s="25"/>
      <c r="S64" s="25"/>
      <c r="T64" s="25"/>
      <c r="U64" s="25"/>
      <c r="V64" s="25"/>
      <c r="W64" s="25"/>
      <c r="X64" s="25"/>
      <c r="AA64" s="134"/>
    </row>
  </sheetData>
  <mergeCells count="3">
    <mergeCell ref="Y3:Y6"/>
    <mergeCell ref="AA3:AA6"/>
    <mergeCell ref="Z3:Z6"/>
  </mergeCells>
  <hyperlinks>
    <hyperlink ref="X1" location="Contents!B4" display="Back" xr:uid="{440D0612-43AF-4E3F-9FBF-7854A0882987}"/>
  </hyperlinks>
  <pageMargins left="0.25" right="0" top="0.25" bottom="0" header="0.3" footer="0.3"/>
  <pageSetup paperSize="9" scale="59" orientation="landscape" r:id="rId1"/>
  <colBreaks count="1" manualBreakCount="1">
    <brk id="13" max="54" man="1"/>
  </colBreaks>
  <ignoredErrors>
    <ignoredError sqref="P2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9F97-FC1A-4F29-BC56-7BB705B41226}">
  <sheetPr>
    <pageSetUpPr fitToPage="1"/>
  </sheetPr>
  <dimension ref="A1:HB62"/>
  <sheetViews>
    <sheetView showGridLines="0" view="pageBreakPreview" zoomScale="80" zoomScaleNormal="90" zoomScaleSheetLayoutView="80" workbookViewId="0">
      <pane xSplit="2" ySplit="4" topLeftCell="C5" activePane="bottomRight" state="frozen"/>
      <selection pane="bottomRight"/>
      <selection pane="bottomLeft" activeCell="W25" sqref="W25"/>
      <selection pane="topRight" activeCell="W25" sqref="W25"/>
    </sheetView>
  </sheetViews>
  <sheetFormatPr defaultColWidth="9.140625" defaultRowHeight="12.75" outlineLevelCol="1"/>
  <cols>
    <col min="1" max="1" width="45.140625" style="19" customWidth="1"/>
    <col min="2" max="2" width="2.140625" style="2" customWidth="1"/>
    <col min="3" max="5" width="11.5703125" style="2" hidden="1" customWidth="1" outlineLevel="1"/>
    <col min="6" max="6" width="14.42578125" style="2" customWidth="1" collapsed="1"/>
    <col min="7" max="7" width="14.42578125" style="2" hidden="1" customWidth="1" outlineLevel="1"/>
    <col min="8" max="9" width="11.5703125" style="2" hidden="1" customWidth="1" outlineLevel="1"/>
    <col min="10" max="10" width="13.42578125" style="2" bestFit="1" customWidth="1" collapsed="1"/>
    <col min="11" max="13" width="11.5703125" style="2" hidden="1" customWidth="1" outlineLevel="1"/>
    <col min="14" max="14" width="13.42578125" style="2" bestFit="1" customWidth="1" collapsed="1"/>
    <col min="15" max="17" width="11.5703125" style="2" hidden="1" customWidth="1" outlineLevel="1"/>
    <col min="18" max="18" width="13.42578125" style="2" bestFit="1" customWidth="1" collapsed="1"/>
    <col min="19" max="20" width="11.5703125" style="2" customWidth="1"/>
    <col min="21" max="21" width="12.28515625" style="2" bestFit="1" customWidth="1"/>
    <col min="22" max="22" width="15.7109375" style="2" customWidth="1"/>
    <col min="23" max="23" width="13.85546875" style="74" customWidth="1"/>
    <col min="24" max="24" width="10.7109375" style="2" bestFit="1" customWidth="1"/>
    <col min="25" max="25" width="10.7109375" style="2" customWidth="1"/>
    <col min="26" max="26" width="9.5703125" style="2" customWidth="1"/>
    <col min="27" max="27" width="12.28515625" style="2" customWidth="1"/>
    <col min="28" max="28" width="11.28515625" style="2" customWidth="1"/>
    <col min="29" max="32" width="9.140625" style="2" customWidth="1"/>
    <col min="33" max="16384" width="9.140625" style="2"/>
  </cols>
  <sheetData>
    <row r="1" spans="1:32" ht="15">
      <c r="A1" s="8"/>
      <c r="U1" s="189" t="s">
        <v>7</v>
      </c>
      <c r="X1" s="105"/>
      <c r="Y1" s="105"/>
    </row>
    <row r="2" spans="1:32" ht="45" customHeight="1">
      <c r="V2" s="244"/>
      <c r="W2" s="245"/>
    </row>
    <row r="3" spans="1:32">
      <c r="A3" s="14" t="s">
        <v>1</v>
      </c>
      <c r="C3" s="3">
        <v>2021</v>
      </c>
      <c r="D3" s="3">
        <v>2021</v>
      </c>
      <c r="E3" s="3">
        <v>2021</v>
      </c>
      <c r="F3" s="3">
        <v>2021</v>
      </c>
      <c r="G3" s="3">
        <v>2022</v>
      </c>
      <c r="H3" s="3">
        <v>2022</v>
      </c>
      <c r="I3" s="3">
        <v>2022</v>
      </c>
      <c r="J3" s="3">
        <v>2022</v>
      </c>
      <c r="K3" s="3">
        <v>2023</v>
      </c>
      <c r="L3" s="3">
        <v>2023</v>
      </c>
      <c r="M3" s="3">
        <v>2023</v>
      </c>
      <c r="N3" s="3">
        <v>2023</v>
      </c>
      <c r="O3" s="3">
        <v>2024</v>
      </c>
      <c r="P3" s="3">
        <v>2024</v>
      </c>
      <c r="Q3" s="3">
        <v>2024</v>
      </c>
      <c r="R3" s="3">
        <v>2024</v>
      </c>
      <c r="S3" s="3">
        <v>2025</v>
      </c>
      <c r="T3" s="3">
        <v>2025</v>
      </c>
      <c r="U3" s="3">
        <v>2025</v>
      </c>
      <c r="V3" s="244"/>
      <c r="W3" s="245"/>
    </row>
    <row r="4" spans="1:32" s="1" customFormat="1">
      <c r="A4" s="21" t="s">
        <v>42</v>
      </c>
      <c r="C4" s="51" t="s">
        <v>9</v>
      </c>
      <c r="D4" s="51" t="s">
        <v>10</v>
      </c>
      <c r="E4" s="51" t="s">
        <v>11</v>
      </c>
      <c r="F4" s="51" t="s">
        <v>12</v>
      </c>
      <c r="G4" s="51" t="s">
        <v>9</v>
      </c>
      <c r="H4" s="51" t="s">
        <v>10</v>
      </c>
      <c r="I4" s="51" t="s">
        <v>11</v>
      </c>
      <c r="J4" s="51" t="s">
        <v>12</v>
      </c>
      <c r="K4" s="51" t="s">
        <v>9</v>
      </c>
      <c r="L4" s="51" t="s">
        <v>10</v>
      </c>
      <c r="M4" s="51" t="s">
        <v>11</v>
      </c>
      <c r="N4" s="51" t="s">
        <v>12</v>
      </c>
      <c r="O4" s="51" t="s">
        <v>9</v>
      </c>
      <c r="P4" s="51" t="s">
        <v>10</v>
      </c>
      <c r="Q4" s="51" t="s">
        <v>11</v>
      </c>
      <c r="R4" s="51" t="s">
        <v>12</v>
      </c>
      <c r="S4" s="51" t="s">
        <v>9</v>
      </c>
      <c r="T4" s="51" t="s">
        <v>10</v>
      </c>
      <c r="U4" s="51" t="s">
        <v>11</v>
      </c>
      <c r="V4" s="244"/>
      <c r="W4" s="245"/>
    </row>
    <row r="5" spans="1:32" s="3" customFormat="1">
      <c r="A5" s="14"/>
      <c r="W5" s="226"/>
    </row>
    <row r="6" spans="1:32">
      <c r="A6" s="196" t="s">
        <v>43</v>
      </c>
      <c r="B6" s="150"/>
      <c r="C6" s="150"/>
      <c r="D6" s="150"/>
      <c r="E6" s="150"/>
      <c r="F6" s="150"/>
      <c r="G6" s="150"/>
      <c r="H6" s="150"/>
      <c r="I6" s="150"/>
      <c r="J6" s="150"/>
      <c r="K6" s="150"/>
      <c r="L6" s="150"/>
      <c r="M6" s="150"/>
      <c r="N6" s="150"/>
      <c r="O6" s="150"/>
      <c r="P6" s="150"/>
      <c r="Q6" s="150"/>
      <c r="R6" s="150"/>
      <c r="S6" s="150"/>
      <c r="T6" s="150"/>
      <c r="U6" s="150"/>
    </row>
    <row r="7" spans="1:32">
      <c r="A7" s="43" t="s">
        <v>44</v>
      </c>
      <c r="B7" s="125"/>
    </row>
    <row r="8" spans="1:32">
      <c r="A8" s="44" t="s">
        <v>45</v>
      </c>
      <c r="B8" s="126"/>
      <c r="C8" s="216">
        <v>177121</v>
      </c>
      <c r="D8" s="216">
        <v>150211</v>
      </c>
      <c r="E8" s="216">
        <v>114581</v>
      </c>
      <c r="F8" s="216">
        <v>135337</v>
      </c>
      <c r="G8" s="216">
        <v>106540</v>
      </c>
      <c r="H8" s="216">
        <v>106304</v>
      </c>
      <c r="I8" s="216">
        <v>89262</v>
      </c>
      <c r="J8" s="216">
        <v>118669</v>
      </c>
      <c r="K8" s="216">
        <v>87298</v>
      </c>
      <c r="L8" s="216">
        <v>93960</v>
      </c>
      <c r="M8" s="216">
        <v>122655</v>
      </c>
      <c r="N8" s="216">
        <v>136953</v>
      </c>
      <c r="O8" s="216">
        <v>108565</v>
      </c>
      <c r="P8" s="216">
        <v>115303</v>
      </c>
      <c r="Q8" s="216">
        <v>150102</v>
      </c>
      <c r="R8" s="216">
        <v>153355</v>
      </c>
      <c r="S8" s="216">
        <v>140442</v>
      </c>
      <c r="T8" s="216">
        <v>149134</v>
      </c>
      <c r="U8" s="216">
        <v>160309</v>
      </c>
      <c r="V8" s="78"/>
      <c r="Y8" s="224"/>
      <c r="Z8" s="224"/>
      <c r="AA8" s="91"/>
      <c r="AB8" s="224"/>
      <c r="AC8" s="74"/>
      <c r="AF8" s="224"/>
    </row>
    <row r="9" spans="1:32">
      <c r="A9" s="44" t="s">
        <v>46</v>
      </c>
      <c r="B9" s="126"/>
      <c r="C9" s="74">
        <v>198721</v>
      </c>
      <c r="D9" s="74">
        <v>144533</v>
      </c>
      <c r="E9" s="74">
        <v>169739</v>
      </c>
      <c r="F9" s="74">
        <v>178538</v>
      </c>
      <c r="G9" s="74">
        <v>162694</v>
      </c>
      <c r="H9" s="74">
        <v>158941</v>
      </c>
      <c r="I9" s="74">
        <v>172889</v>
      </c>
      <c r="J9" s="74">
        <v>179027</v>
      </c>
      <c r="K9" s="74">
        <v>116479</v>
      </c>
      <c r="L9" s="74">
        <v>156098</v>
      </c>
      <c r="M9" s="74">
        <v>151581</v>
      </c>
      <c r="N9" s="74">
        <v>153881</v>
      </c>
      <c r="O9" s="74">
        <v>137585</v>
      </c>
      <c r="P9" s="74">
        <v>160833</v>
      </c>
      <c r="Q9" s="74">
        <v>175648</v>
      </c>
      <c r="R9" s="74">
        <v>187223</v>
      </c>
      <c r="S9" s="74">
        <v>190978</v>
      </c>
      <c r="T9" s="74">
        <v>204160</v>
      </c>
      <c r="U9" s="74">
        <v>229833</v>
      </c>
      <c r="V9" s="78"/>
      <c r="Y9" s="224"/>
      <c r="Z9" s="91"/>
      <c r="AA9" s="91"/>
      <c r="AB9" s="224"/>
    </row>
    <row r="10" spans="1:32">
      <c r="A10" s="44" t="s">
        <v>47</v>
      </c>
      <c r="B10" s="126"/>
      <c r="C10" s="74">
        <v>5295</v>
      </c>
      <c r="D10" s="74">
        <v>5065</v>
      </c>
      <c r="E10" s="74">
        <v>6810</v>
      </c>
      <c r="F10" s="74">
        <v>6174</v>
      </c>
      <c r="G10" s="74">
        <v>6274</v>
      </c>
      <c r="H10" s="74">
        <v>6840</v>
      </c>
      <c r="I10" s="74">
        <v>7013</v>
      </c>
      <c r="J10" s="74">
        <v>4897</v>
      </c>
      <c r="K10" s="74">
        <v>5598</v>
      </c>
      <c r="L10" s="74">
        <v>4628</v>
      </c>
      <c r="M10" s="74">
        <v>3257</v>
      </c>
      <c r="N10" s="74">
        <v>4062</v>
      </c>
      <c r="O10" s="74">
        <v>4291</v>
      </c>
      <c r="P10" s="74">
        <v>6351</v>
      </c>
      <c r="Q10" s="74">
        <v>7342</v>
      </c>
      <c r="R10" s="74">
        <v>9972</v>
      </c>
      <c r="S10" s="74">
        <v>9826</v>
      </c>
      <c r="T10" s="74">
        <v>11503</v>
      </c>
      <c r="U10" s="74">
        <v>11319</v>
      </c>
      <c r="V10" s="78"/>
      <c r="Y10" s="224"/>
      <c r="Z10" s="91"/>
      <c r="AA10" s="91"/>
      <c r="AB10" s="91"/>
      <c r="AC10" s="91"/>
    </row>
    <row r="11" spans="1:32">
      <c r="A11" s="44" t="s">
        <v>48</v>
      </c>
      <c r="B11" s="126"/>
      <c r="C11" s="74">
        <v>159296</v>
      </c>
      <c r="D11" s="74">
        <v>182111</v>
      </c>
      <c r="E11" s="74">
        <v>192170</v>
      </c>
      <c r="F11" s="74">
        <v>194232</v>
      </c>
      <c r="G11" s="74">
        <v>239279</v>
      </c>
      <c r="H11" s="74">
        <v>237453</v>
      </c>
      <c r="I11" s="74">
        <v>256911</v>
      </c>
      <c r="J11" s="74">
        <v>259222</v>
      </c>
      <c r="K11" s="74">
        <v>290512</v>
      </c>
      <c r="L11" s="74">
        <v>288305</v>
      </c>
      <c r="M11" s="74">
        <v>303378</v>
      </c>
      <c r="N11" s="74">
        <v>308108</v>
      </c>
      <c r="O11" s="74">
        <v>335523</v>
      </c>
      <c r="P11" s="74">
        <v>327613</v>
      </c>
      <c r="Q11" s="74">
        <v>340904</v>
      </c>
      <c r="R11" s="74">
        <v>304322</v>
      </c>
      <c r="S11" s="74">
        <v>339856</v>
      </c>
      <c r="T11" s="74">
        <v>345470</v>
      </c>
      <c r="U11" s="74">
        <v>351426</v>
      </c>
      <c r="V11" s="78"/>
      <c r="Y11" s="57"/>
      <c r="AA11" s="91"/>
      <c r="AB11" s="224"/>
    </row>
    <row r="12" spans="1:32">
      <c r="A12" s="44" t="s">
        <v>49</v>
      </c>
      <c r="B12" s="126"/>
      <c r="C12" s="74">
        <v>56117</v>
      </c>
      <c r="D12" s="74">
        <v>59242</v>
      </c>
      <c r="E12" s="74">
        <v>61875</v>
      </c>
      <c r="F12" s="74">
        <v>63863</v>
      </c>
      <c r="G12" s="74">
        <v>57831</v>
      </c>
      <c r="H12" s="74">
        <v>51476</v>
      </c>
      <c r="I12" s="74">
        <v>54509</v>
      </c>
      <c r="J12" s="74">
        <v>50979</v>
      </c>
      <c r="K12" s="74">
        <v>66340</v>
      </c>
      <c r="L12" s="74">
        <v>70186</v>
      </c>
      <c r="M12" s="74">
        <v>70697</v>
      </c>
      <c r="N12" s="74">
        <v>76669</v>
      </c>
      <c r="O12" s="74">
        <v>78753</v>
      </c>
      <c r="P12" s="74">
        <v>93612</v>
      </c>
      <c r="Q12" s="74">
        <v>93693</v>
      </c>
      <c r="R12" s="74">
        <v>140317</v>
      </c>
      <c r="S12" s="74">
        <v>150203</v>
      </c>
      <c r="T12" s="74">
        <v>148049</v>
      </c>
      <c r="U12" s="74">
        <v>139059</v>
      </c>
      <c r="V12" s="78"/>
      <c r="Y12" s="57"/>
      <c r="AA12" s="91"/>
      <c r="AB12" s="224"/>
    </row>
    <row r="13" spans="1:32">
      <c r="A13" s="35" t="s">
        <v>50</v>
      </c>
      <c r="B13" s="127"/>
      <c r="C13" s="217">
        <f t="shared" ref="C13:K13" si="0">SUM(C8:C12)</f>
        <v>596550</v>
      </c>
      <c r="D13" s="217">
        <f t="shared" si="0"/>
        <v>541162</v>
      </c>
      <c r="E13" s="217">
        <f t="shared" si="0"/>
        <v>545175</v>
      </c>
      <c r="F13" s="217">
        <f t="shared" si="0"/>
        <v>578144</v>
      </c>
      <c r="G13" s="217">
        <f t="shared" si="0"/>
        <v>572618</v>
      </c>
      <c r="H13" s="217">
        <f t="shared" si="0"/>
        <v>561014</v>
      </c>
      <c r="I13" s="217">
        <f t="shared" si="0"/>
        <v>580584</v>
      </c>
      <c r="J13" s="218">
        <f t="shared" si="0"/>
        <v>612794</v>
      </c>
      <c r="K13" s="218">
        <f t="shared" si="0"/>
        <v>566227</v>
      </c>
      <c r="L13" s="218">
        <f t="shared" ref="L13:Q13" si="1">SUM(L8:L12)</f>
        <v>613177</v>
      </c>
      <c r="M13" s="218">
        <f t="shared" si="1"/>
        <v>651568</v>
      </c>
      <c r="N13" s="218">
        <f t="shared" si="1"/>
        <v>679673</v>
      </c>
      <c r="O13" s="218">
        <f t="shared" si="1"/>
        <v>664717</v>
      </c>
      <c r="P13" s="218">
        <f t="shared" si="1"/>
        <v>703712</v>
      </c>
      <c r="Q13" s="218">
        <f t="shared" si="1"/>
        <v>767689</v>
      </c>
      <c r="R13" s="218">
        <f t="shared" ref="R13:U13" si="2">SUM(R8:R12)</f>
        <v>795189</v>
      </c>
      <c r="S13" s="218">
        <f t="shared" si="2"/>
        <v>831305</v>
      </c>
      <c r="T13" s="218">
        <f t="shared" si="2"/>
        <v>858316</v>
      </c>
      <c r="U13" s="218">
        <f t="shared" si="2"/>
        <v>891946</v>
      </c>
      <c r="V13" s="78"/>
      <c r="Y13" s="57"/>
      <c r="AA13" s="91"/>
      <c r="AB13" s="224"/>
    </row>
    <row r="14" spans="1:32">
      <c r="A14" s="15" t="s">
        <v>51</v>
      </c>
      <c r="B14" s="125"/>
      <c r="C14" s="74"/>
      <c r="D14" s="74"/>
      <c r="E14" s="74"/>
      <c r="F14" s="74"/>
      <c r="G14" s="74"/>
      <c r="H14" s="74"/>
      <c r="I14" s="74"/>
      <c r="J14" s="74"/>
      <c r="K14" s="74"/>
      <c r="L14" s="74"/>
      <c r="M14" s="74"/>
      <c r="N14" s="74"/>
      <c r="O14" s="74"/>
      <c r="P14" s="74"/>
      <c r="Q14" s="74"/>
      <c r="R14" s="74"/>
      <c r="S14" s="74"/>
      <c r="T14" s="74"/>
      <c r="U14" s="74"/>
      <c r="V14" s="78"/>
      <c r="Y14" s="57"/>
      <c r="AA14" s="91"/>
      <c r="AB14" s="224"/>
    </row>
    <row r="15" spans="1:32">
      <c r="A15" s="45" t="s">
        <v>52</v>
      </c>
      <c r="B15" s="126"/>
      <c r="C15" s="74">
        <v>90153</v>
      </c>
      <c r="D15" s="74">
        <v>86511</v>
      </c>
      <c r="E15" s="74">
        <v>83905</v>
      </c>
      <c r="F15" s="74">
        <v>86008</v>
      </c>
      <c r="G15" s="74">
        <v>85610</v>
      </c>
      <c r="H15" s="74">
        <v>82649</v>
      </c>
      <c r="I15" s="74">
        <v>79933</v>
      </c>
      <c r="J15" s="74">
        <v>82828</v>
      </c>
      <c r="K15" s="74">
        <v>86652</v>
      </c>
      <c r="L15" s="74">
        <v>93688</v>
      </c>
      <c r="M15" s="74">
        <v>96729</v>
      </c>
      <c r="N15" s="74">
        <v>100373</v>
      </c>
      <c r="O15" s="74">
        <v>101622</v>
      </c>
      <c r="P15" s="74">
        <v>103478</v>
      </c>
      <c r="Q15" s="74">
        <v>107395</v>
      </c>
      <c r="R15" s="74">
        <v>101837</v>
      </c>
      <c r="S15" s="74">
        <v>107148</v>
      </c>
      <c r="T15" s="74">
        <v>114103</v>
      </c>
      <c r="U15" s="74">
        <v>112677</v>
      </c>
      <c r="V15" s="78"/>
      <c r="Y15" s="57"/>
      <c r="AA15" s="91"/>
      <c r="AB15" s="224"/>
    </row>
    <row r="16" spans="1:32">
      <c r="A16" s="46" t="s">
        <v>53</v>
      </c>
      <c r="B16" s="126"/>
      <c r="C16" s="74">
        <v>88777</v>
      </c>
      <c r="D16" s="74">
        <v>83280</v>
      </c>
      <c r="E16" s="74">
        <v>81324</v>
      </c>
      <c r="F16" s="74">
        <v>76692</v>
      </c>
      <c r="G16" s="74">
        <v>75147</v>
      </c>
      <c r="H16" s="74">
        <v>67962</v>
      </c>
      <c r="I16" s="74">
        <v>61966</v>
      </c>
      <c r="J16" s="74">
        <v>55347</v>
      </c>
      <c r="K16" s="74">
        <v>52782</v>
      </c>
      <c r="L16" s="74">
        <v>58423</v>
      </c>
      <c r="M16" s="74">
        <v>56817</v>
      </c>
      <c r="N16" s="74">
        <v>64856</v>
      </c>
      <c r="O16" s="74">
        <v>66799</v>
      </c>
      <c r="P16" s="74">
        <v>72822</v>
      </c>
      <c r="Q16" s="74">
        <v>71796</v>
      </c>
      <c r="R16" s="74">
        <v>68784</v>
      </c>
      <c r="S16" s="74">
        <v>71150</v>
      </c>
      <c r="T16" s="74">
        <v>73083</v>
      </c>
      <c r="U16" s="74">
        <v>72346</v>
      </c>
      <c r="V16" s="78"/>
      <c r="Y16" s="57"/>
      <c r="AA16" s="91"/>
      <c r="AB16" s="224"/>
    </row>
    <row r="17" spans="1:39">
      <c r="A17" s="45" t="s">
        <v>47</v>
      </c>
      <c r="B17" s="126"/>
      <c r="C17" s="74">
        <v>2298</v>
      </c>
      <c r="D17" s="74">
        <v>2260</v>
      </c>
      <c r="E17" s="74">
        <v>2302</v>
      </c>
      <c r="F17" s="74">
        <v>2299</v>
      </c>
      <c r="G17" s="74">
        <v>2255</v>
      </c>
      <c r="H17" s="74">
        <v>2056</v>
      </c>
      <c r="I17" s="74">
        <v>1996</v>
      </c>
      <c r="J17" s="74">
        <v>2055</v>
      </c>
      <c r="K17" s="74">
        <v>2069</v>
      </c>
      <c r="L17" s="74">
        <v>2072</v>
      </c>
      <c r="M17" s="74">
        <v>2047</v>
      </c>
      <c r="N17" s="74">
        <v>4386</v>
      </c>
      <c r="O17" s="74">
        <v>4376</v>
      </c>
      <c r="P17" s="74">
        <v>5751.7104800000006</v>
      </c>
      <c r="Q17" s="74">
        <v>5820</v>
      </c>
      <c r="R17" s="74">
        <v>8071</v>
      </c>
      <c r="S17" s="74">
        <v>8210</v>
      </c>
      <c r="T17" s="74">
        <v>9888</v>
      </c>
      <c r="U17" s="74">
        <v>8205</v>
      </c>
      <c r="V17" s="78"/>
      <c r="Y17" s="224"/>
      <c r="AA17" s="91"/>
      <c r="AB17" s="224"/>
    </row>
    <row r="18" spans="1:39">
      <c r="A18" s="45" t="s">
        <v>54</v>
      </c>
      <c r="B18" s="126"/>
      <c r="C18" s="74">
        <v>10657</v>
      </c>
      <c r="D18" s="74">
        <v>24132</v>
      </c>
      <c r="E18" s="74">
        <v>26747</v>
      </c>
      <c r="F18" s="74">
        <v>21404</v>
      </c>
      <c r="G18" s="74">
        <v>22447</v>
      </c>
      <c r="H18" s="74">
        <v>40924</v>
      </c>
      <c r="I18" s="74">
        <v>54898</v>
      </c>
      <c r="J18" s="74">
        <v>55791</v>
      </c>
      <c r="K18" s="74">
        <v>62252</v>
      </c>
      <c r="L18" s="74">
        <v>68612</v>
      </c>
      <c r="M18" s="74">
        <v>79767</v>
      </c>
      <c r="N18" s="74">
        <v>82927</v>
      </c>
      <c r="O18" s="74">
        <v>91840</v>
      </c>
      <c r="P18" s="74">
        <v>100993</v>
      </c>
      <c r="Q18" s="74">
        <v>106881</v>
      </c>
      <c r="R18" s="74">
        <v>104747</v>
      </c>
      <c r="S18" s="74">
        <v>109953</v>
      </c>
      <c r="T18" s="74">
        <v>117208</v>
      </c>
      <c r="U18" s="74">
        <v>115825</v>
      </c>
      <c r="V18" s="78"/>
      <c r="Y18" s="57"/>
      <c r="AA18" s="91"/>
      <c r="AB18" s="224"/>
    </row>
    <row r="19" spans="1:39">
      <c r="A19" s="45" t="s">
        <v>55</v>
      </c>
      <c r="B19" s="126"/>
      <c r="C19" s="74">
        <v>349098</v>
      </c>
      <c r="D19" s="74">
        <v>348747</v>
      </c>
      <c r="E19" s="74">
        <v>348699</v>
      </c>
      <c r="F19" s="74">
        <v>403902</v>
      </c>
      <c r="G19" s="74">
        <v>404561</v>
      </c>
      <c r="H19" s="74">
        <v>406575</v>
      </c>
      <c r="I19" s="74">
        <v>405781</v>
      </c>
      <c r="J19" s="74">
        <v>405637</v>
      </c>
      <c r="K19" s="74">
        <v>405824</v>
      </c>
      <c r="L19" s="74">
        <v>405903</v>
      </c>
      <c r="M19" s="74">
        <v>405579</v>
      </c>
      <c r="N19" s="74">
        <v>405639</v>
      </c>
      <c r="O19" s="74">
        <v>405574</v>
      </c>
      <c r="P19" s="74">
        <v>405581</v>
      </c>
      <c r="Q19" s="74">
        <v>427663</v>
      </c>
      <c r="R19" s="74">
        <v>420387</v>
      </c>
      <c r="S19" s="74">
        <v>420494</v>
      </c>
      <c r="T19" s="74">
        <v>420573</v>
      </c>
      <c r="U19" s="74">
        <v>419871</v>
      </c>
      <c r="V19" s="78"/>
      <c r="Y19" s="57"/>
      <c r="AA19" s="91"/>
      <c r="AB19" s="224"/>
    </row>
    <row r="20" spans="1:39">
      <c r="A20" s="46" t="s">
        <v>56</v>
      </c>
      <c r="B20" s="128"/>
      <c r="C20" s="74">
        <v>56243</v>
      </c>
      <c r="D20" s="74">
        <v>52853</v>
      </c>
      <c r="E20" s="74">
        <v>49807</v>
      </c>
      <c r="F20" s="74">
        <v>81082</v>
      </c>
      <c r="G20" s="74">
        <v>76578</v>
      </c>
      <c r="H20" s="74">
        <v>73298</v>
      </c>
      <c r="I20" s="74">
        <v>69008</v>
      </c>
      <c r="J20" s="74">
        <v>64819</v>
      </c>
      <c r="K20" s="74">
        <v>60681</v>
      </c>
      <c r="L20" s="74">
        <v>56487</v>
      </c>
      <c r="M20" s="74">
        <v>53315</v>
      </c>
      <c r="N20" s="74">
        <v>50164</v>
      </c>
      <c r="O20" s="74">
        <v>47080</v>
      </c>
      <c r="P20" s="74">
        <v>44003</v>
      </c>
      <c r="Q20" s="74">
        <v>51291</v>
      </c>
      <c r="R20" s="74">
        <v>49331</v>
      </c>
      <c r="S20" s="74">
        <v>46092</v>
      </c>
      <c r="T20" s="74">
        <v>42825</v>
      </c>
      <c r="U20" s="74">
        <v>39511</v>
      </c>
      <c r="V20" s="78"/>
      <c r="Y20" s="57"/>
      <c r="AA20" s="91"/>
      <c r="AB20" s="224"/>
    </row>
    <row r="21" spans="1:39">
      <c r="A21" s="16" t="s">
        <v>57</v>
      </c>
      <c r="B21" s="126"/>
      <c r="C21" s="74">
        <v>2921</v>
      </c>
      <c r="D21" s="74">
        <v>2929</v>
      </c>
      <c r="E21" s="74">
        <v>2957</v>
      </c>
      <c r="F21" s="74">
        <v>3004</v>
      </c>
      <c r="G21" s="74">
        <v>3118</v>
      </c>
      <c r="H21" s="74">
        <v>3261</v>
      </c>
      <c r="I21" s="74">
        <v>3369</v>
      </c>
      <c r="J21" s="74">
        <v>3438</v>
      </c>
      <c r="K21" s="74">
        <v>3504</v>
      </c>
      <c r="L21" s="74">
        <v>3570</v>
      </c>
      <c r="M21" s="74">
        <v>4195</v>
      </c>
      <c r="N21" s="74">
        <v>4191</v>
      </c>
      <c r="O21" s="74">
        <v>4163</v>
      </c>
      <c r="P21" s="74">
        <v>4155</v>
      </c>
      <c r="Q21" s="74">
        <v>4720</v>
      </c>
      <c r="R21" s="74">
        <v>4678</v>
      </c>
      <c r="S21" s="74">
        <v>5168</v>
      </c>
      <c r="T21" s="74">
        <v>5028</v>
      </c>
      <c r="U21" s="74">
        <v>5547</v>
      </c>
      <c r="V21" s="78"/>
      <c r="Y21" s="57"/>
      <c r="AA21" s="91"/>
      <c r="AB21" s="224"/>
    </row>
    <row r="22" spans="1:39">
      <c r="A22" s="16" t="s">
        <v>58</v>
      </c>
      <c r="C22" s="74">
        <v>0</v>
      </c>
      <c r="D22" s="74">
        <v>0</v>
      </c>
      <c r="E22" s="74">
        <v>0</v>
      </c>
      <c r="F22" s="74">
        <v>186</v>
      </c>
      <c r="G22" s="74">
        <v>184</v>
      </c>
      <c r="H22" s="74">
        <v>22997</v>
      </c>
      <c r="I22" s="74">
        <v>31355</v>
      </c>
      <c r="J22" s="101">
        <v>31341</v>
      </c>
      <c r="K22" s="74">
        <v>32055</v>
      </c>
      <c r="L22" s="74">
        <v>12515</v>
      </c>
      <c r="M22" s="74">
        <v>1078</v>
      </c>
      <c r="N22" s="74">
        <v>239</v>
      </c>
      <c r="O22" s="74">
        <v>241</v>
      </c>
      <c r="P22" s="74">
        <v>9332.0094900000004</v>
      </c>
      <c r="Q22" s="74">
        <v>9464</v>
      </c>
      <c r="R22" s="74">
        <v>9294</v>
      </c>
      <c r="S22" s="74">
        <v>14966</v>
      </c>
      <c r="T22" s="74">
        <v>2488</v>
      </c>
      <c r="U22" s="74">
        <v>2454</v>
      </c>
      <c r="V22" s="78"/>
      <c r="Y22" s="224"/>
      <c r="AA22" s="91"/>
      <c r="AB22" s="224"/>
    </row>
    <row r="23" spans="1:39">
      <c r="A23" s="45" t="s">
        <v>59</v>
      </c>
      <c r="B23" s="126"/>
      <c r="C23" s="74">
        <v>29669</v>
      </c>
      <c r="D23" s="74">
        <v>27472</v>
      </c>
      <c r="E23" s="74">
        <v>27154</v>
      </c>
      <c r="F23" s="74">
        <v>30183</v>
      </c>
      <c r="G23" s="74">
        <v>32031</v>
      </c>
      <c r="H23" s="74">
        <v>30198</v>
      </c>
      <c r="I23" s="74">
        <v>29838</v>
      </c>
      <c r="J23" s="74">
        <v>32069</v>
      </c>
      <c r="K23" s="74">
        <v>36525</v>
      </c>
      <c r="L23" s="74">
        <v>48255</v>
      </c>
      <c r="M23" s="74">
        <v>51398</v>
      </c>
      <c r="N23" s="74">
        <v>49524</v>
      </c>
      <c r="O23" s="74">
        <v>52979</v>
      </c>
      <c r="P23" s="74">
        <v>53939</v>
      </c>
      <c r="Q23" s="74">
        <v>57113</v>
      </c>
      <c r="R23" s="74">
        <v>56085</v>
      </c>
      <c r="S23" s="74">
        <v>61925</v>
      </c>
      <c r="T23" s="74">
        <v>64991</v>
      </c>
      <c r="U23" s="74">
        <v>65250</v>
      </c>
      <c r="V23" s="78"/>
      <c r="X23" s="57"/>
      <c r="Z23" s="91"/>
      <c r="AA23" s="224"/>
    </row>
    <row r="24" spans="1:39" s="1" customFormat="1">
      <c r="A24" s="137" t="s">
        <v>60</v>
      </c>
      <c r="B24" s="143"/>
      <c r="C24" s="141">
        <f t="shared" ref="C24:M24" si="3">SUM(C13:C23)</f>
        <v>1226366</v>
      </c>
      <c r="D24" s="141">
        <f t="shared" si="3"/>
        <v>1169346</v>
      </c>
      <c r="E24" s="141">
        <f t="shared" si="3"/>
        <v>1168070</v>
      </c>
      <c r="F24" s="141">
        <f t="shared" si="3"/>
        <v>1282904</v>
      </c>
      <c r="G24" s="141">
        <f t="shared" si="3"/>
        <v>1274549</v>
      </c>
      <c r="H24" s="141">
        <f t="shared" si="3"/>
        <v>1290934</v>
      </c>
      <c r="I24" s="141">
        <f t="shared" si="3"/>
        <v>1318728</v>
      </c>
      <c r="J24" s="141">
        <f t="shared" si="3"/>
        <v>1346119</v>
      </c>
      <c r="K24" s="141">
        <f t="shared" si="3"/>
        <v>1308571</v>
      </c>
      <c r="L24" s="141">
        <f t="shared" si="3"/>
        <v>1362702</v>
      </c>
      <c r="M24" s="141">
        <f t="shared" si="3"/>
        <v>1402493</v>
      </c>
      <c r="N24" s="141">
        <f t="shared" ref="N24:O24" si="4">SUM(N13:N23)</f>
        <v>1441972</v>
      </c>
      <c r="O24" s="141">
        <f t="shared" si="4"/>
        <v>1439391</v>
      </c>
      <c r="P24" s="142">
        <f t="shared" ref="P24:Q24" si="5">SUM(P13:P23)</f>
        <v>1503766.71997</v>
      </c>
      <c r="Q24" s="142">
        <f t="shared" si="5"/>
        <v>1609832</v>
      </c>
      <c r="R24" s="142">
        <f t="shared" ref="R24:U24" si="6">SUM(R13:R23)</f>
        <v>1618403</v>
      </c>
      <c r="S24" s="142">
        <f t="shared" si="6"/>
        <v>1676411</v>
      </c>
      <c r="T24" s="142">
        <f t="shared" si="6"/>
        <v>1708503</v>
      </c>
      <c r="U24" s="142">
        <f t="shared" si="6"/>
        <v>1733632</v>
      </c>
      <c r="V24" s="78"/>
      <c r="W24" s="74"/>
      <c r="X24" s="57"/>
      <c r="Z24" s="91"/>
      <c r="AA24" s="224"/>
      <c r="AB24" s="2"/>
      <c r="AC24" s="2"/>
      <c r="AD24" s="2"/>
      <c r="AE24" s="2"/>
      <c r="AF24" s="2"/>
      <c r="AG24" s="2"/>
      <c r="AH24" s="2"/>
      <c r="AI24" s="2"/>
      <c r="AJ24" s="2"/>
      <c r="AK24" s="2"/>
      <c r="AL24" s="2"/>
      <c r="AM24" s="2"/>
    </row>
    <row r="25" spans="1:39">
      <c r="A25" s="18" t="s">
        <v>51</v>
      </c>
      <c r="B25" s="125"/>
      <c r="V25" s="78"/>
      <c r="X25" s="57"/>
      <c r="Z25" s="91"/>
      <c r="AA25" s="224"/>
    </row>
    <row r="26" spans="1:39">
      <c r="A26" s="196" t="s">
        <v>61</v>
      </c>
      <c r="B26" s="197"/>
      <c r="C26" s="150"/>
      <c r="D26" s="150"/>
      <c r="E26" s="150"/>
      <c r="F26" s="150"/>
      <c r="G26" s="150"/>
      <c r="H26" s="150"/>
      <c r="I26" s="150"/>
      <c r="J26" s="150"/>
      <c r="K26" s="150"/>
      <c r="L26" s="150"/>
      <c r="M26" s="150"/>
      <c r="N26" s="150"/>
      <c r="O26" s="150"/>
      <c r="P26" s="150"/>
      <c r="Q26" s="150"/>
      <c r="R26" s="150"/>
      <c r="S26" s="150"/>
      <c r="T26" s="150"/>
      <c r="U26" s="150"/>
      <c r="V26" s="78"/>
      <c r="X26" s="57"/>
      <c r="Z26" s="91"/>
      <c r="AA26" s="224"/>
    </row>
    <row r="27" spans="1:39">
      <c r="A27" s="43" t="s">
        <v>62</v>
      </c>
      <c r="B27" s="125"/>
      <c r="V27" s="78"/>
      <c r="X27" s="57"/>
      <c r="Z27" s="91"/>
      <c r="AA27" s="224"/>
    </row>
    <row r="28" spans="1:39" s="1" customFormat="1">
      <c r="A28" s="44" t="s">
        <v>63</v>
      </c>
      <c r="B28" s="129"/>
      <c r="C28" s="216">
        <v>8304</v>
      </c>
      <c r="D28" s="216">
        <v>3877</v>
      </c>
      <c r="E28" s="216">
        <v>2881</v>
      </c>
      <c r="F28" s="216">
        <v>5647</v>
      </c>
      <c r="G28" s="216">
        <v>4796</v>
      </c>
      <c r="H28" s="216">
        <v>4377</v>
      </c>
      <c r="I28" s="216">
        <v>3487</v>
      </c>
      <c r="J28" s="216">
        <v>7789</v>
      </c>
      <c r="K28" s="216">
        <v>3384</v>
      </c>
      <c r="L28" s="216">
        <v>3019</v>
      </c>
      <c r="M28" s="216">
        <v>3159</v>
      </c>
      <c r="N28" s="216">
        <v>5055</v>
      </c>
      <c r="O28" s="216">
        <v>3093</v>
      </c>
      <c r="P28" s="216">
        <v>2996</v>
      </c>
      <c r="Q28" s="216">
        <v>4082</v>
      </c>
      <c r="R28" s="216">
        <v>5884</v>
      </c>
      <c r="S28" s="216">
        <v>5648</v>
      </c>
      <c r="T28" s="216">
        <v>5971</v>
      </c>
      <c r="U28" s="216">
        <v>6767</v>
      </c>
      <c r="V28" s="78"/>
      <c r="W28" s="74"/>
      <c r="X28" s="57"/>
      <c r="Z28" s="91"/>
      <c r="AA28" s="224"/>
      <c r="AB28" s="2"/>
      <c r="AC28" s="2"/>
      <c r="AD28" s="2"/>
      <c r="AE28" s="2"/>
      <c r="AF28" s="2"/>
      <c r="AG28" s="2"/>
      <c r="AH28" s="2"/>
      <c r="AI28" s="2"/>
      <c r="AJ28" s="2"/>
      <c r="AK28" s="2"/>
      <c r="AL28" s="2"/>
      <c r="AM28" s="2"/>
    </row>
    <row r="29" spans="1:39" s="1" customFormat="1">
      <c r="A29" s="44" t="s">
        <v>64</v>
      </c>
      <c r="B29" s="129"/>
      <c r="C29" s="74">
        <v>25000</v>
      </c>
      <c r="D29" s="74">
        <v>15000</v>
      </c>
      <c r="E29" s="74">
        <v>15000</v>
      </c>
      <c r="F29" s="74">
        <v>260016</v>
      </c>
      <c r="G29" s="74">
        <v>35000</v>
      </c>
      <c r="H29" s="74">
        <v>35000</v>
      </c>
      <c r="I29" s="74">
        <v>35000</v>
      </c>
      <c r="J29" s="74">
        <v>30000</v>
      </c>
      <c r="K29" s="74">
        <v>40000</v>
      </c>
      <c r="L29" s="74">
        <v>30000</v>
      </c>
      <c r="M29" s="74">
        <v>50000</v>
      </c>
      <c r="N29" s="74">
        <v>65000</v>
      </c>
      <c r="O29" s="74">
        <v>65000</v>
      </c>
      <c r="P29" s="74">
        <v>75000</v>
      </c>
      <c r="Q29" s="74">
        <v>4891</v>
      </c>
      <c r="R29" s="74">
        <v>4886</v>
      </c>
      <c r="S29" s="74">
        <v>4886</v>
      </c>
      <c r="T29" s="74">
        <v>4886</v>
      </c>
      <c r="U29" s="74">
        <v>4886</v>
      </c>
      <c r="V29" s="78"/>
      <c r="W29" s="74"/>
      <c r="X29" s="224"/>
      <c r="Z29" s="91"/>
      <c r="AA29" s="224"/>
      <c r="AB29" s="2"/>
      <c r="AC29" s="2"/>
      <c r="AD29" s="2"/>
      <c r="AE29" s="2"/>
      <c r="AF29" s="2"/>
      <c r="AG29" s="2"/>
      <c r="AH29" s="2"/>
      <c r="AI29" s="2"/>
      <c r="AJ29" s="2"/>
      <c r="AK29" s="2"/>
      <c r="AL29" s="2"/>
      <c r="AM29" s="2"/>
    </row>
    <row r="30" spans="1:39">
      <c r="A30" s="44" t="s">
        <v>65</v>
      </c>
      <c r="B30" s="130"/>
      <c r="C30" s="74">
        <v>14764</v>
      </c>
      <c r="D30" s="74">
        <v>12017</v>
      </c>
      <c r="E30" s="74">
        <v>11866</v>
      </c>
      <c r="F30" s="74">
        <v>20000</v>
      </c>
      <c r="G30" s="74">
        <v>22571</v>
      </c>
      <c r="H30" s="74">
        <v>22013</v>
      </c>
      <c r="I30" s="74">
        <v>19279</v>
      </c>
      <c r="J30" s="74">
        <v>18782</v>
      </c>
      <c r="K30" s="74">
        <v>21525</v>
      </c>
      <c r="L30" s="74">
        <v>20755</v>
      </c>
      <c r="M30" s="74">
        <v>13766</v>
      </c>
      <c r="N30" s="74">
        <v>12318</v>
      </c>
      <c r="O30" s="74">
        <v>16939</v>
      </c>
      <c r="P30" s="74">
        <v>15406</v>
      </c>
      <c r="Q30" s="74">
        <v>12472</v>
      </c>
      <c r="R30" s="74">
        <v>19264</v>
      </c>
      <c r="S30" s="74">
        <v>20138</v>
      </c>
      <c r="T30" s="74">
        <v>21989</v>
      </c>
      <c r="U30" s="74">
        <v>17497</v>
      </c>
      <c r="V30" s="78"/>
      <c r="X30" s="57"/>
      <c r="Z30" s="91"/>
      <c r="AA30" s="224"/>
    </row>
    <row r="31" spans="1:39">
      <c r="A31" s="44" t="s">
        <v>66</v>
      </c>
      <c r="B31" s="130"/>
      <c r="C31" s="74">
        <v>43492</v>
      </c>
      <c r="D31" s="74">
        <v>70496</v>
      </c>
      <c r="E31" s="74">
        <v>95833</v>
      </c>
      <c r="F31" s="74">
        <v>114285</v>
      </c>
      <c r="G31" s="74">
        <v>52276</v>
      </c>
      <c r="H31" s="74">
        <v>75698</v>
      </c>
      <c r="I31" s="74">
        <v>92252</v>
      </c>
      <c r="J31" s="74">
        <v>108100</v>
      </c>
      <c r="K31" s="74">
        <v>49955</v>
      </c>
      <c r="L31" s="74">
        <v>82044</v>
      </c>
      <c r="M31" s="74">
        <v>105535</v>
      </c>
      <c r="N31" s="74">
        <v>117137</v>
      </c>
      <c r="O31" s="74">
        <v>50970</v>
      </c>
      <c r="P31" s="74">
        <v>80443</v>
      </c>
      <c r="Q31" s="74">
        <v>110677</v>
      </c>
      <c r="R31" s="74">
        <v>129994</v>
      </c>
      <c r="S31" s="74">
        <v>63575</v>
      </c>
      <c r="T31" s="74">
        <v>99535</v>
      </c>
      <c r="U31" s="74">
        <v>129381</v>
      </c>
      <c r="V31" s="78"/>
      <c r="X31" s="91"/>
      <c r="Y31" s="91"/>
      <c r="Z31" s="91"/>
      <c r="AA31" s="224"/>
    </row>
    <row r="32" spans="1:39">
      <c r="A32" s="44" t="s">
        <v>67</v>
      </c>
      <c r="B32" s="130"/>
      <c r="C32" s="74">
        <v>87684</v>
      </c>
      <c r="D32" s="74">
        <v>87680</v>
      </c>
      <c r="E32" s="74">
        <v>79006</v>
      </c>
      <c r="F32" s="74">
        <v>77251</v>
      </c>
      <c r="G32" s="74">
        <v>88170</v>
      </c>
      <c r="H32" s="74">
        <v>110378</v>
      </c>
      <c r="I32" s="74">
        <v>120210</v>
      </c>
      <c r="J32" s="74">
        <v>98297</v>
      </c>
      <c r="K32" s="74">
        <v>151945</v>
      </c>
      <c r="L32" s="74">
        <v>108763</v>
      </c>
      <c r="M32" s="74">
        <v>119678</v>
      </c>
      <c r="N32" s="74">
        <v>114113</v>
      </c>
      <c r="O32" s="74">
        <v>111953</v>
      </c>
      <c r="P32" s="74">
        <v>97613</v>
      </c>
      <c r="Q32" s="74">
        <v>105159</v>
      </c>
      <c r="R32" s="74">
        <v>113597</v>
      </c>
      <c r="S32" s="74">
        <v>131980</v>
      </c>
      <c r="T32" s="74">
        <v>121548</v>
      </c>
      <c r="U32" s="74">
        <v>129297</v>
      </c>
      <c r="V32" s="78"/>
      <c r="X32" s="57"/>
      <c r="Z32" s="91"/>
      <c r="AA32" s="224"/>
    </row>
    <row r="33" spans="1:28">
      <c r="A33" s="44" t="s">
        <v>68</v>
      </c>
      <c r="B33" s="130"/>
      <c r="C33" s="74">
        <v>18476</v>
      </c>
      <c r="D33" s="74">
        <v>18039</v>
      </c>
      <c r="E33" s="74">
        <v>18340</v>
      </c>
      <c r="F33" s="74">
        <v>18487</v>
      </c>
      <c r="G33" s="74">
        <v>19308</v>
      </c>
      <c r="H33" s="74">
        <v>18548</v>
      </c>
      <c r="I33" s="74">
        <v>16740</v>
      </c>
      <c r="J33" s="74">
        <v>14978</v>
      </c>
      <c r="K33" s="74">
        <v>14095</v>
      </c>
      <c r="L33" s="74">
        <v>14482</v>
      </c>
      <c r="M33" s="74">
        <v>14008</v>
      </c>
      <c r="N33" s="74">
        <v>12780</v>
      </c>
      <c r="O33" s="74">
        <v>13486</v>
      </c>
      <c r="P33" s="74">
        <v>15404</v>
      </c>
      <c r="Q33" s="74">
        <v>16904</v>
      </c>
      <c r="R33" s="74">
        <v>16491</v>
      </c>
      <c r="S33" s="74">
        <v>17426</v>
      </c>
      <c r="T33" s="74">
        <v>18374</v>
      </c>
      <c r="U33" s="74">
        <v>19174</v>
      </c>
      <c r="V33" s="78"/>
      <c r="X33" s="57"/>
      <c r="Z33" s="91"/>
      <c r="AA33" s="224"/>
    </row>
    <row r="34" spans="1:28">
      <c r="A34" s="35" t="s">
        <v>69</v>
      </c>
      <c r="B34" s="127"/>
      <c r="C34" s="217">
        <f t="shared" ref="C34:U34" si="7">SUM(C28:C33)</f>
        <v>197720</v>
      </c>
      <c r="D34" s="217">
        <f t="shared" si="7"/>
        <v>207109</v>
      </c>
      <c r="E34" s="217">
        <f t="shared" si="7"/>
        <v>222926</v>
      </c>
      <c r="F34" s="217">
        <f t="shared" si="7"/>
        <v>495686</v>
      </c>
      <c r="G34" s="217">
        <f t="shared" si="7"/>
        <v>222121</v>
      </c>
      <c r="H34" s="217">
        <f t="shared" si="7"/>
        <v>266014</v>
      </c>
      <c r="I34" s="217">
        <f t="shared" si="7"/>
        <v>286968</v>
      </c>
      <c r="J34" s="218">
        <f t="shared" si="7"/>
        <v>277946</v>
      </c>
      <c r="K34" s="218">
        <f t="shared" si="7"/>
        <v>280904</v>
      </c>
      <c r="L34" s="218">
        <f t="shared" si="7"/>
        <v>259063</v>
      </c>
      <c r="M34" s="218">
        <f t="shared" si="7"/>
        <v>306146</v>
      </c>
      <c r="N34" s="218">
        <f t="shared" si="7"/>
        <v>326403</v>
      </c>
      <c r="O34" s="218">
        <f t="shared" si="7"/>
        <v>261441</v>
      </c>
      <c r="P34" s="218">
        <f t="shared" si="7"/>
        <v>286862</v>
      </c>
      <c r="Q34" s="218">
        <f t="shared" si="7"/>
        <v>254185</v>
      </c>
      <c r="R34" s="218">
        <f t="shared" si="7"/>
        <v>290116</v>
      </c>
      <c r="S34" s="218">
        <f t="shared" si="7"/>
        <v>243653</v>
      </c>
      <c r="T34" s="218">
        <f t="shared" si="7"/>
        <v>272303</v>
      </c>
      <c r="U34" s="218">
        <f t="shared" si="7"/>
        <v>307002</v>
      </c>
      <c r="V34" s="78"/>
      <c r="X34" s="57"/>
      <c r="Z34" s="91"/>
      <c r="AA34" s="224"/>
    </row>
    <row r="35" spans="1:28">
      <c r="A35" s="48" t="s">
        <v>51</v>
      </c>
      <c r="B35" s="130"/>
      <c r="C35" s="74"/>
      <c r="D35" s="74"/>
      <c r="E35" s="74"/>
      <c r="F35" s="74"/>
      <c r="G35" s="74"/>
      <c r="H35" s="74"/>
      <c r="I35" s="74"/>
      <c r="J35" s="74"/>
      <c r="K35" s="74"/>
      <c r="L35" s="74"/>
      <c r="M35" s="74"/>
      <c r="N35" s="74"/>
      <c r="O35" s="74"/>
      <c r="P35" s="74"/>
      <c r="Q35" s="74"/>
      <c r="R35" s="74"/>
      <c r="S35" s="74"/>
      <c r="T35" s="74"/>
      <c r="U35" s="74"/>
      <c r="V35" s="78"/>
      <c r="X35" s="57"/>
      <c r="Z35" s="91"/>
      <c r="AA35" s="224"/>
    </row>
    <row r="36" spans="1:28">
      <c r="A36" s="44" t="s">
        <v>70</v>
      </c>
      <c r="B36" s="130"/>
      <c r="C36" s="74">
        <v>202687</v>
      </c>
      <c r="D36" s="74">
        <v>139432</v>
      </c>
      <c r="E36" s="74">
        <v>170000</v>
      </c>
      <c r="F36" s="74">
        <v>0</v>
      </c>
      <c r="G36" s="74">
        <v>260000</v>
      </c>
      <c r="H36" s="74">
        <v>250000</v>
      </c>
      <c r="I36" s="74">
        <v>235000</v>
      </c>
      <c r="J36" s="74">
        <v>220000</v>
      </c>
      <c r="K36" s="74">
        <v>160000</v>
      </c>
      <c r="L36" s="74">
        <v>190000</v>
      </c>
      <c r="M36" s="74">
        <v>160000</v>
      </c>
      <c r="N36" s="74">
        <v>135000</v>
      </c>
      <c r="O36" s="74">
        <v>280000</v>
      </c>
      <c r="P36" s="74">
        <v>260000</v>
      </c>
      <c r="Q36" s="74">
        <v>339828</v>
      </c>
      <c r="R36" s="74">
        <v>283598</v>
      </c>
      <c r="S36" s="74">
        <v>302377</v>
      </c>
      <c r="T36" s="74">
        <v>255155</v>
      </c>
      <c r="U36" s="74">
        <v>349934</v>
      </c>
      <c r="V36" s="78"/>
      <c r="X36" s="224"/>
      <c r="Z36" s="91"/>
      <c r="AA36" s="224"/>
      <c r="AB36" s="224"/>
    </row>
    <row r="37" spans="1:28">
      <c r="A37" s="44" t="s">
        <v>71</v>
      </c>
      <c r="B37" s="126"/>
      <c r="C37" s="74">
        <v>81948</v>
      </c>
      <c r="D37" s="74">
        <v>76518</v>
      </c>
      <c r="E37" s="74">
        <v>73939</v>
      </c>
      <c r="F37" s="74">
        <v>68506</v>
      </c>
      <c r="G37" s="74">
        <v>66173</v>
      </c>
      <c r="H37" s="74">
        <v>59224</v>
      </c>
      <c r="I37" s="74">
        <v>54174</v>
      </c>
      <c r="J37" s="74">
        <v>48155</v>
      </c>
      <c r="K37" s="74">
        <v>45655</v>
      </c>
      <c r="L37" s="74">
        <v>50575</v>
      </c>
      <c r="M37" s="74">
        <v>48445</v>
      </c>
      <c r="N37" s="74">
        <v>58175</v>
      </c>
      <c r="O37" s="74">
        <v>59876</v>
      </c>
      <c r="P37" s="74">
        <v>64412</v>
      </c>
      <c r="Q37" s="74">
        <v>62336</v>
      </c>
      <c r="R37" s="74">
        <v>59851</v>
      </c>
      <c r="S37" s="74">
        <v>61408</v>
      </c>
      <c r="T37" s="74">
        <v>62402</v>
      </c>
      <c r="U37" s="74">
        <v>60463</v>
      </c>
      <c r="V37" s="78"/>
      <c r="X37" s="57"/>
      <c r="Z37" s="91"/>
      <c r="AA37" s="224"/>
    </row>
    <row r="38" spans="1:28">
      <c r="A38" s="44" t="s">
        <v>72</v>
      </c>
      <c r="B38" s="126"/>
      <c r="C38" s="74">
        <v>877</v>
      </c>
      <c r="D38" s="74">
        <v>902</v>
      </c>
      <c r="E38" s="74">
        <v>901</v>
      </c>
      <c r="F38" s="74">
        <v>965</v>
      </c>
      <c r="G38" s="74">
        <v>928</v>
      </c>
      <c r="H38" s="74">
        <v>841</v>
      </c>
      <c r="I38" s="74">
        <v>759</v>
      </c>
      <c r="J38" s="74">
        <v>547</v>
      </c>
      <c r="K38" s="74">
        <v>493</v>
      </c>
      <c r="L38" s="74">
        <v>507</v>
      </c>
      <c r="M38" s="74">
        <v>461</v>
      </c>
      <c r="N38" s="74">
        <v>1495</v>
      </c>
      <c r="O38" s="74">
        <v>1435</v>
      </c>
      <c r="P38" s="74">
        <v>2271</v>
      </c>
      <c r="Q38" s="74">
        <v>3245</v>
      </c>
      <c r="R38" s="74">
        <v>1403</v>
      </c>
      <c r="S38" s="74">
        <v>1625</v>
      </c>
      <c r="T38" s="74">
        <v>2216</v>
      </c>
      <c r="U38" s="74">
        <v>2465</v>
      </c>
      <c r="V38" s="78"/>
      <c r="X38" s="57"/>
      <c r="Z38" s="91"/>
      <c r="AA38" s="224"/>
    </row>
    <row r="39" spans="1:28">
      <c r="A39" s="100" t="s">
        <v>73</v>
      </c>
      <c r="B39" s="126"/>
      <c r="C39" s="74">
        <v>16909</v>
      </c>
      <c r="D39" s="74">
        <v>17371</v>
      </c>
      <c r="E39" s="74">
        <v>15319</v>
      </c>
      <c r="F39" s="74">
        <v>24591</v>
      </c>
      <c r="G39" s="74">
        <v>24986</v>
      </c>
      <c r="H39" s="74">
        <v>29202</v>
      </c>
      <c r="I39" s="74">
        <v>37243</v>
      </c>
      <c r="J39" s="74">
        <v>41292</v>
      </c>
      <c r="K39" s="74">
        <v>26297</v>
      </c>
      <c r="L39" s="74">
        <v>28343</v>
      </c>
      <c r="M39" s="74">
        <v>31354</v>
      </c>
      <c r="N39" s="74">
        <v>31462</v>
      </c>
      <c r="O39" s="74">
        <v>33384</v>
      </c>
      <c r="P39" s="74">
        <v>37616</v>
      </c>
      <c r="Q39" s="74">
        <v>42675</v>
      </c>
      <c r="R39" s="74">
        <v>53573</v>
      </c>
      <c r="S39" s="74">
        <v>55471</v>
      </c>
      <c r="T39" s="74">
        <v>55477</v>
      </c>
      <c r="U39" s="74">
        <v>61379</v>
      </c>
      <c r="V39" s="78"/>
      <c r="X39" s="57"/>
      <c r="Z39" s="91"/>
      <c r="AA39" s="224"/>
    </row>
    <row r="40" spans="1:28">
      <c r="A40" s="31" t="s">
        <v>74</v>
      </c>
      <c r="B40" s="32"/>
      <c r="C40" s="219">
        <f t="shared" ref="C40:N40" si="8">SUM(C34:C39)</f>
        <v>500141</v>
      </c>
      <c r="D40" s="219">
        <f t="shared" si="8"/>
        <v>441332</v>
      </c>
      <c r="E40" s="219">
        <f t="shared" si="8"/>
        <v>483085</v>
      </c>
      <c r="F40" s="219">
        <f t="shared" si="8"/>
        <v>589748</v>
      </c>
      <c r="G40" s="219">
        <f t="shared" si="8"/>
        <v>574208</v>
      </c>
      <c r="H40" s="219">
        <f t="shared" si="8"/>
        <v>605281</v>
      </c>
      <c r="I40" s="219">
        <f t="shared" si="8"/>
        <v>614144</v>
      </c>
      <c r="J40" s="219">
        <f t="shared" si="8"/>
        <v>587940</v>
      </c>
      <c r="K40" s="219">
        <f t="shared" si="8"/>
        <v>513349</v>
      </c>
      <c r="L40" s="219">
        <f t="shared" si="8"/>
        <v>528488</v>
      </c>
      <c r="M40" s="219">
        <f t="shared" si="8"/>
        <v>546406</v>
      </c>
      <c r="N40" s="219">
        <f t="shared" si="8"/>
        <v>552535</v>
      </c>
      <c r="O40" s="219">
        <f t="shared" ref="O40:Q40" si="9">SUM(O34:O39)</f>
        <v>636136</v>
      </c>
      <c r="P40" s="219">
        <f t="shared" si="9"/>
        <v>651161</v>
      </c>
      <c r="Q40" s="219">
        <f t="shared" si="9"/>
        <v>702269</v>
      </c>
      <c r="R40" s="219">
        <f t="shared" ref="R40:U40" si="10">SUM(R34:R39)</f>
        <v>688541</v>
      </c>
      <c r="S40" s="219">
        <f t="shared" si="10"/>
        <v>664534</v>
      </c>
      <c r="T40" s="219">
        <f t="shared" si="10"/>
        <v>647553</v>
      </c>
      <c r="U40" s="219">
        <f t="shared" si="10"/>
        <v>781243</v>
      </c>
      <c r="V40" s="78"/>
      <c r="X40" s="57"/>
      <c r="Z40" s="91"/>
      <c r="AA40" s="224"/>
    </row>
    <row r="41" spans="1:28">
      <c r="A41" s="15" t="s">
        <v>51</v>
      </c>
      <c r="C41" s="74"/>
      <c r="D41" s="74"/>
      <c r="E41" s="74"/>
      <c r="F41" s="74"/>
      <c r="G41" s="74"/>
      <c r="H41" s="74"/>
      <c r="I41" s="74"/>
      <c r="J41" s="74"/>
      <c r="K41" s="74"/>
      <c r="L41" s="74"/>
      <c r="M41" s="74"/>
      <c r="N41" s="74"/>
      <c r="O41" s="74"/>
      <c r="P41" s="74"/>
      <c r="Q41" s="74"/>
      <c r="R41" s="74"/>
      <c r="S41" s="74"/>
      <c r="T41" s="74"/>
      <c r="U41" s="74"/>
      <c r="V41" s="78"/>
      <c r="X41" s="57"/>
      <c r="Z41" s="91"/>
      <c r="AA41" s="224"/>
    </row>
    <row r="42" spans="1:28">
      <c r="A42" s="17" t="s">
        <v>75</v>
      </c>
      <c r="B42" s="1"/>
      <c r="C42" s="74"/>
      <c r="D42" s="74"/>
      <c r="E42" s="74"/>
      <c r="F42" s="74"/>
      <c r="G42" s="74"/>
      <c r="H42" s="74"/>
      <c r="I42" s="74"/>
      <c r="J42" s="74"/>
      <c r="K42" s="74"/>
      <c r="L42" s="74"/>
      <c r="M42" s="74"/>
      <c r="N42" s="74"/>
      <c r="O42" s="74"/>
      <c r="P42" s="74"/>
      <c r="Q42" s="74"/>
      <c r="R42" s="74"/>
      <c r="S42" s="74"/>
      <c r="T42" s="74"/>
      <c r="U42" s="74"/>
      <c r="V42" s="78"/>
      <c r="X42" s="57"/>
      <c r="Z42" s="91"/>
      <c r="AA42" s="224"/>
    </row>
    <row r="43" spans="1:28">
      <c r="A43" s="17"/>
      <c r="B43" s="1"/>
      <c r="C43" s="74"/>
      <c r="D43" s="74"/>
      <c r="E43" s="74"/>
      <c r="F43" s="74"/>
      <c r="G43" s="74"/>
      <c r="H43" s="74"/>
      <c r="I43" s="74"/>
      <c r="J43" s="74"/>
      <c r="K43" s="74"/>
      <c r="L43" s="74"/>
      <c r="M43" s="74"/>
      <c r="N43" s="74"/>
      <c r="O43" s="74"/>
      <c r="P43" s="74"/>
      <c r="Q43" s="74"/>
      <c r="R43" s="74"/>
      <c r="S43" s="74"/>
      <c r="T43" s="74"/>
      <c r="U43" s="74"/>
      <c r="V43" s="78"/>
      <c r="X43" s="57"/>
      <c r="Z43" s="91"/>
      <c r="AA43" s="224"/>
    </row>
    <row r="44" spans="1:28">
      <c r="A44" s="16" t="s">
        <v>76</v>
      </c>
      <c r="C44" s="74">
        <v>39</v>
      </c>
      <c r="D44" s="74">
        <v>39</v>
      </c>
      <c r="E44" s="74">
        <v>39</v>
      </c>
      <c r="F44" s="74">
        <v>40</v>
      </c>
      <c r="G44" s="74">
        <v>40</v>
      </c>
      <c r="H44" s="74">
        <v>40</v>
      </c>
      <c r="I44" s="74">
        <v>40</v>
      </c>
      <c r="J44" s="74">
        <v>40</v>
      </c>
      <c r="K44" s="74">
        <v>40</v>
      </c>
      <c r="L44" s="74">
        <v>40</v>
      </c>
      <c r="M44" s="74">
        <v>202</v>
      </c>
      <c r="N44" s="74">
        <v>203</v>
      </c>
      <c r="O44" s="74">
        <v>204</v>
      </c>
      <c r="P44" s="74">
        <v>204</v>
      </c>
      <c r="Q44" s="74">
        <v>205</v>
      </c>
      <c r="R44" s="74">
        <v>206</v>
      </c>
      <c r="S44" s="74">
        <v>207</v>
      </c>
      <c r="T44" s="74">
        <v>207</v>
      </c>
      <c r="U44" s="74">
        <v>207</v>
      </c>
      <c r="V44" s="78"/>
      <c r="X44" s="57"/>
      <c r="Z44" s="91"/>
      <c r="AA44" s="224"/>
    </row>
    <row r="45" spans="1:28">
      <c r="A45" s="16" t="s">
        <v>77</v>
      </c>
      <c r="C45" s="74">
        <v>428882</v>
      </c>
      <c r="D45" s="74">
        <v>439051</v>
      </c>
      <c r="E45" s="74">
        <v>385917</v>
      </c>
      <c r="F45" s="74">
        <v>395742</v>
      </c>
      <c r="G45" s="74">
        <v>406966</v>
      </c>
      <c r="H45" s="74">
        <v>420306</v>
      </c>
      <c r="I45" s="74">
        <v>432492</v>
      </c>
      <c r="J45" s="74">
        <v>445108</v>
      </c>
      <c r="K45" s="74">
        <v>460527</v>
      </c>
      <c r="L45" s="74">
        <v>472124</v>
      </c>
      <c r="M45" s="74">
        <v>492577</v>
      </c>
      <c r="N45" s="74">
        <v>508028</v>
      </c>
      <c r="O45" s="74">
        <v>502827</v>
      </c>
      <c r="P45" s="74">
        <v>520922</v>
      </c>
      <c r="Q45" s="74">
        <v>572430</v>
      </c>
      <c r="R45" s="74">
        <v>588583</v>
      </c>
      <c r="S45" s="74">
        <v>609592</v>
      </c>
      <c r="T45" s="74">
        <v>625984</v>
      </c>
      <c r="U45" s="74">
        <v>627966</v>
      </c>
      <c r="V45" s="78"/>
      <c r="X45" s="57"/>
      <c r="Z45" s="91"/>
      <c r="AA45" s="224"/>
    </row>
    <row r="46" spans="1:28">
      <c r="A46" s="45" t="s">
        <v>78</v>
      </c>
      <c r="B46" s="47"/>
      <c r="C46" s="74">
        <v>673310</v>
      </c>
      <c r="D46" s="74">
        <v>701331</v>
      </c>
      <c r="E46" s="74">
        <v>727838</v>
      </c>
      <c r="F46" s="74">
        <v>756137</v>
      </c>
      <c r="G46" s="74">
        <v>792315</v>
      </c>
      <c r="H46" s="74">
        <v>828161</v>
      </c>
      <c r="I46" s="74">
        <v>867256</v>
      </c>
      <c r="J46" s="74">
        <v>899105</v>
      </c>
      <c r="K46" s="74">
        <v>950436</v>
      </c>
      <c r="L46" s="74">
        <v>999504</v>
      </c>
      <c r="M46" s="74">
        <v>1043380</v>
      </c>
      <c r="N46" s="74">
        <v>1083663</v>
      </c>
      <c r="O46" s="74">
        <v>1132426</v>
      </c>
      <c r="P46" s="74">
        <v>1178251</v>
      </c>
      <c r="Q46" s="74">
        <v>1231288</v>
      </c>
      <c r="R46" s="74">
        <v>1281960</v>
      </c>
      <c r="S46" s="74">
        <v>1348521</v>
      </c>
      <c r="T46" s="74">
        <v>1414572</v>
      </c>
      <c r="U46" s="74">
        <v>1472733</v>
      </c>
      <c r="V46" s="78"/>
      <c r="X46" s="91"/>
      <c r="Y46" s="91"/>
      <c r="Z46" s="91"/>
      <c r="AA46" s="224"/>
    </row>
    <row r="47" spans="1:28">
      <c r="A47" s="45" t="s">
        <v>79</v>
      </c>
      <c r="B47" s="47"/>
      <c r="C47" s="74">
        <v>-78753</v>
      </c>
      <c r="D47" s="74">
        <v>-86745</v>
      </c>
      <c r="E47" s="74">
        <v>-92257</v>
      </c>
      <c r="F47" s="74">
        <v>-89474</v>
      </c>
      <c r="G47" s="74">
        <v>-98306</v>
      </c>
      <c r="H47" s="74">
        <v>-133374</v>
      </c>
      <c r="I47" s="74">
        <v>-154203</v>
      </c>
      <c r="J47" s="74">
        <v>-144143</v>
      </c>
      <c r="K47" s="74">
        <v>-131487</v>
      </c>
      <c r="L47" s="74">
        <v>-124147</v>
      </c>
      <c r="M47" s="74">
        <v>-136805</v>
      </c>
      <c r="N47" s="74">
        <v>-127040</v>
      </c>
      <c r="O47" s="74">
        <v>-130436</v>
      </c>
      <c r="P47" s="74">
        <v>-136108</v>
      </c>
      <c r="Q47" s="74">
        <v>-122593</v>
      </c>
      <c r="R47" s="74">
        <v>-154722</v>
      </c>
      <c r="S47" s="74">
        <v>-142787</v>
      </c>
      <c r="T47" s="74">
        <v>-134434</v>
      </c>
      <c r="U47" s="74">
        <v>-168977</v>
      </c>
      <c r="V47" s="78"/>
      <c r="X47" s="57"/>
      <c r="Z47" s="91"/>
      <c r="AA47" s="224"/>
    </row>
    <row r="48" spans="1:28">
      <c r="A48" s="16" t="s">
        <v>80</v>
      </c>
      <c r="C48" s="74">
        <v>-297253</v>
      </c>
      <c r="D48" s="74">
        <v>-325662</v>
      </c>
      <c r="E48" s="74">
        <v>-336552</v>
      </c>
      <c r="F48" s="74">
        <v>-369289</v>
      </c>
      <c r="G48" s="74">
        <v>-400674</v>
      </c>
      <c r="H48" s="74">
        <v>-429480</v>
      </c>
      <c r="I48" s="74">
        <v>-441001</v>
      </c>
      <c r="J48" s="74">
        <v>-441931</v>
      </c>
      <c r="K48" s="74">
        <v>-484294</v>
      </c>
      <c r="L48" s="74">
        <v>-513307</v>
      </c>
      <c r="M48" s="74">
        <v>-543267</v>
      </c>
      <c r="N48" s="74">
        <v>-575417</v>
      </c>
      <c r="O48" s="74">
        <v>-701766</v>
      </c>
      <c r="P48" s="74">
        <v>-710663</v>
      </c>
      <c r="Q48" s="74">
        <v>-773767</v>
      </c>
      <c r="R48" s="74">
        <v>-786165</v>
      </c>
      <c r="S48" s="74">
        <v>-803656</v>
      </c>
      <c r="T48" s="74">
        <v>-845379</v>
      </c>
      <c r="U48" s="74">
        <v>-979540</v>
      </c>
      <c r="V48" s="78"/>
      <c r="X48" s="57"/>
      <c r="Z48" s="91"/>
      <c r="AA48" s="224"/>
    </row>
    <row r="49" spans="1:210">
      <c r="A49" s="68" t="s">
        <v>81</v>
      </c>
      <c r="B49" s="32"/>
      <c r="C49" s="219">
        <f>SUM(C44:C48)</f>
        <v>726225</v>
      </c>
      <c r="D49" s="219">
        <f t="shared" ref="D49:U49" si="11">SUM(D44:D48)</f>
        <v>728014</v>
      </c>
      <c r="E49" s="219">
        <f t="shared" si="11"/>
        <v>684985</v>
      </c>
      <c r="F49" s="219">
        <f t="shared" si="11"/>
        <v>693156</v>
      </c>
      <c r="G49" s="219">
        <f t="shared" si="11"/>
        <v>700341</v>
      </c>
      <c r="H49" s="219">
        <f t="shared" si="11"/>
        <v>685653</v>
      </c>
      <c r="I49" s="219">
        <f t="shared" si="11"/>
        <v>704584</v>
      </c>
      <c r="J49" s="219">
        <f t="shared" si="11"/>
        <v>758179</v>
      </c>
      <c r="K49" s="219">
        <f t="shared" si="11"/>
        <v>795222</v>
      </c>
      <c r="L49" s="219">
        <f t="shared" si="11"/>
        <v>834214</v>
      </c>
      <c r="M49" s="219">
        <f t="shared" si="11"/>
        <v>856087</v>
      </c>
      <c r="N49" s="219">
        <f t="shared" si="11"/>
        <v>889437</v>
      </c>
      <c r="O49" s="219">
        <f t="shared" si="11"/>
        <v>803255</v>
      </c>
      <c r="P49" s="219">
        <f t="shared" si="11"/>
        <v>852606</v>
      </c>
      <c r="Q49" s="219">
        <f t="shared" si="11"/>
        <v>907563</v>
      </c>
      <c r="R49" s="219">
        <f t="shared" si="11"/>
        <v>929862</v>
      </c>
      <c r="S49" s="219">
        <f t="shared" si="11"/>
        <v>1011877</v>
      </c>
      <c r="T49" s="219">
        <f t="shared" si="11"/>
        <v>1060950</v>
      </c>
      <c r="U49" s="219">
        <f t="shared" si="11"/>
        <v>952389</v>
      </c>
      <c r="V49" s="78"/>
      <c r="X49" s="57"/>
      <c r="Z49" s="91"/>
      <c r="AA49" s="224"/>
    </row>
    <row r="50" spans="1:210">
      <c r="A50" s="18" t="s">
        <v>51</v>
      </c>
      <c r="V50" s="78"/>
      <c r="X50" s="57"/>
      <c r="Z50" s="91"/>
      <c r="AA50" s="224"/>
    </row>
    <row r="51" spans="1:210" s="34" customFormat="1">
      <c r="A51" s="137" t="s">
        <v>82</v>
      </c>
      <c r="B51" s="140"/>
      <c r="C51" s="141">
        <f t="shared" ref="C51:U51" si="12">C49+C40</f>
        <v>1226366</v>
      </c>
      <c r="D51" s="141">
        <f t="shared" si="12"/>
        <v>1169346</v>
      </c>
      <c r="E51" s="141">
        <f t="shared" si="12"/>
        <v>1168070</v>
      </c>
      <c r="F51" s="141">
        <f t="shared" si="12"/>
        <v>1282904</v>
      </c>
      <c r="G51" s="141">
        <f t="shared" si="12"/>
        <v>1274549</v>
      </c>
      <c r="H51" s="141">
        <f t="shared" si="12"/>
        <v>1290934</v>
      </c>
      <c r="I51" s="141">
        <f t="shared" si="12"/>
        <v>1318728</v>
      </c>
      <c r="J51" s="141">
        <f t="shared" si="12"/>
        <v>1346119</v>
      </c>
      <c r="K51" s="141">
        <f t="shared" si="12"/>
        <v>1308571</v>
      </c>
      <c r="L51" s="141">
        <f t="shared" si="12"/>
        <v>1362702</v>
      </c>
      <c r="M51" s="141">
        <f t="shared" si="12"/>
        <v>1402493</v>
      </c>
      <c r="N51" s="141">
        <f t="shared" si="12"/>
        <v>1441972</v>
      </c>
      <c r="O51" s="141">
        <f t="shared" si="12"/>
        <v>1439391</v>
      </c>
      <c r="P51" s="142">
        <f t="shared" si="12"/>
        <v>1503767</v>
      </c>
      <c r="Q51" s="142">
        <f t="shared" si="12"/>
        <v>1609832</v>
      </c>
      <c r="R51" s="142">
        <f t="shared" si="12"/>
        <v>1618403</v>
      </c>
      <c r="S51" s="142">
        <f t="shared" si="12"/>
        <v>1676411</v>
      </c>
      <c r="T51" s="142">
        <f t="shared" si="12"/>
        <v>1708503</v>
      </c>
      <c r="U51" s="142">
        <f t="shared" si="12"/>
        <v>1733632</v>
      </c>
      <c r="V51" s="78"/>
      <c r="W51" s="74"/>
      <c r="X51" s="57"/>
      <c r="Y51" s="2"/>
      <c r="Z51" s="91"/>
      <c r="AA51" s="224"/>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row>
    <row r="52" spans="1:210" hidden="1"/>
    <row r="53" spans="1:210" hidden="1"/>
    <row r="54" spans="1:210" hidden="1"/>
    <row r="55" spans="1:210" hidden="1"/>
    <row r="57" spans="1:210">
      <c r="C57" s="74"/>
      <c r="D57" s="74"/>
      <c r="E57" s="74"/>
      <c r="F57" s="74"/>
      <c r="G57" s="74"/>
      <c r="H57" s="74"/>
      <c r="I57" s="74"/>
      <c r="J57" s="74"/>
      <c r="K57" s="74"/>
      <c r="L57" s="74"/>
      <c r="M57" s="74"/>
      <c r="N57" s="74"/>
      <c r="O57" s="74"/>
      <c r="P57" s="74"/>
      <c r="Q57" s="74"/>
      <c r="R57" s="74"/>
      <c r="S57" s="74"/>
      <c r="T57" s="74"/>
      <c r="U57" s="74"/>
      <c r="V57" s="74"/>
    </row>
    <row r="59" spans="1:210">
      <c r="A59" s="2"/>
    </row>
    <row r="60" spans="1:210">
      <c r="A60" s="2"/>
    </row>
    <row r="61" spans="1:210">
      <c r="A61" s="2"/>
    </row>
    <row r="62" spans="1:210">
      <c r="A62" s="2"/>
    </row>
  </sheetData>
  <mergeCells count="2">
    <mergeCell ref="V2:V4"/>
    <mergeCell ref="W2:W4"/>
  </mergeCells>
  <hyperlinks>
    <hyperlink ref="U1" location="Contents!B5" display="Back" xr:uid="{596A23BF-2477-4209-9BF6-3DEDF7517A0B}"/>
  </hyperlinks>
  <pageMargins left="0.7" right="0.7" top="0.33" bottom="0.38" header="0.3" footer="0.3"/>
  <pageSetup paperSize="9" scale="95" fitToHeight="0" orientation="landscape" r:id="rId1"/>
  <rowBreaks count="2" manualBreakCount="2">
    <brk id="40" max="20" man="1"/>
    <brk id="55"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811F9-D414-48A3-9C70-14C7AD0255F8}">
  <sheetPr>
    <pageSetUpPr fitToPage="1"/>
  </sheetPr>
  <dimension ref="A1:GQ68"/>
  <sheetViews>
    <sheetView showGridLines="0" view="pageBreakPreview" zoomScale="80" zoomScaleNormal="90" zoomScaleSheetLayoutView="80" workbookViewId="0">
      <pane xSplit="1" ySplit="5" topLeftCell="B6" activePane="bottomRight" state="frozen"/>
      <selection pane="bottomRight"/>
      <selection pane="bottomLeft" activeCell="W25" sqref="W25"/>
      <selection pane="topRight" activeCell="W25" sqref="W25"/>
    </sheetView>
  </sheetViews>
  <sheetFormatPr defaultColWidth="9.140625" defaultRowHeight="12.75" outlineLevelCol="1"/>
  <cols>
    <col min="1" max="1" width="72.42578125" style="2" customWidth="1"/>
    <col min="2" max="5" width="11" style="20" hidden="1" customWidth="1" outlineLevel="1"/>
    <col min="6" max="6" width="11" style="20" customWidth="1" collapsed="1"/>
    <col min="7" max="7" width="11" style="20" hidden="1" customWidth="1" outlineLevel="1"/>
    <col min="8" max="8" width="10" style="2" hidden="1" customWidth="1" outlineLevel="1"/>
    <col min="9" max="10" width="11.7109375" style="2" hidden="1" customWidth="1" outlineLevel="1"/>
    <col min="11" max="11" width="11.7109375" style="2" bestFit="1" customWidth="1" collapsed="1"/>
    <col min="12" max="15" width="11.7109375" style="2" hidden="1" customWidth="1" outlineLevel="1"/>
    <col min="16" max="16" width="11.7109375" style="2" bestFit="1" customWidth="1" collapsed="1"/>
    <col min="17" max="20" width="11.7109375" style="2" hidden="1" customWidth="1" outlineLevel="1"/>
    <col min="21" max="21" width="11.7109375" style="2" bestFit="1" customWidth="1" collapsed="1"/>
    <col min="22" max="24" width="11.7109375" style="2" customWidth="1"/>
    <col min="25" max="25" width="11.140625" style="2" customWidth="1"/>
    <col min="26" max="26" width="11.7109375" style="2" customWidth="1"/>
    <col min="27" max="27" width="9.140625" style="2" customWidth="1"/>
    <col min="28" max="28" width="13" style="2" bestFit="1" customWidth="1"/>
    <col min="29" max="29" width="11.5703125" style="2" bestFit="1" customWidth="1"/>
    <col min="30" max="16384" width="9.140625" style="2"/>
  </cols>
  <sheetData>
    <row r="1" spans="1:56" ht="15">
      <c r="A1" s="8"/>
      <c r="X1" s="189" t="s">
        <v>7</v>
      </c>
      <c r="Y1" s="105"/>
      <c r="Z1" s="105"/>
      <c r="AA1" s="113"/>
    </row>
    <row r="2" spans="1:56">
      <c r="A2" s="9"/>
    </row>
    <row r="3" spans="1:56" ht="28.5" customHeight="1">
      <c r="Y3" s="246"/>
      <c r="Z3" s="246"/>
    </row>
    <row r="4" spans="1:56">
      <c r="A4" s="7" t="s">
        <v>83</v>
      </c>
      <c r="B4" s="4">
        <v>2021</v>
      </c>
      <c r="C4" s="4">
        <v>2021</v>
      </c>
      <c r="D4" s="4">
        <v>2021</v>
      </c>
      <c r="E4" s="4">
        <v>2021</v>
      </c>
      <c r="F4" s="4">
        <v>2021</v>
      </c>
      <c r="G4" s="4">
        <v>2022</v>
      </c>
      <c r="H4" s="4">
        <v>2022</v>
      </c>
      <c r="I4" s="4">
        <v>2022</v>
      </c>
      <c r="J4" s="4">
        <v>2022</v>
      </c>
      <c r="K4" s="4">
        <v>2022</v>
      </c>
      <c r="L4" s="4">
        <v>2023</v>
      </c>
      <c r="M4" s="4">
        <v>2023</v>
      </c>
      <c r="N4" s="4">
        <v>2023</v>
      </c>
      <c r="O4" s="4">
        <v>2023</v>
      </c>
      <c r="P4" s="4">
        <v>2023</v>
      </c>
      <c r="Q4" s="4">
        <v>2024</v>
      </c>
      <c r="R4" s="4">
        <v>2024</v>
      </c>
      <c r="S4" s="4">
        <v>2024</v>
      </c>
      <c r="T4" s="4">
        <v>2024</v>
      </c>
      <c r="U4" s="4">
        <v>2024</v>
      </c>
      <c r="V4" s="4">
        <v>2025</v>
      </c>
      <c r="W4" s="4">
        <v>2025</v>
      </c>
      <c r="X4" s="4">
        <v>2025</v>
      </c>
      <c r="Y4" s="246"/>
      <c r="Z4" s="246"/>
    </row>
    <row r="5" spans="1:56">
      <c r="A5" s="21" t="s">
        <v>42</v>
      </c>
      <c r="B5" s="3" t="s">
        <v>84</v>
      </c>
      <c r="C5" s="3" t="s">
        <v>85</v>
      </c>
      <c r="D5" s="3" t="s">
        <v>86</v>
      </c>
      <c r="E5" s="3" t="s">
        <v>87</v>
      </c>
      <c r="F5" s="3" t="s">
        <v>13</v>
      </c>
      <c r="G5" s="3" t="s">
        <v>9</v>
      </c>
      <c r="H5" s="3" t="s">
        <v>10</v>
      </c>
      <c r="I5" s="3" t="s">
        <v>11</v>
      </c>
      <c r="J5" s="3" t="s">
        <v>12</v>
      </c>
      <c r="K5" s="3" t="s">
        <v>13</v>
      </c>
      <c r="L5" s="3" t="s">
        <v>9</v>
      </c>
      <c r="M5" s="3" t="s">
        <v>10</v>
      </c>
      <c r="N5" s="3" t="s">
        <v>11</v>
      </c>
      <c r="O5" s="3" t="s">
        <v>12</v>
      </c>
      <c r="P5" s="3" t="s">
        <v>13</v>
      </c>
      <c r="Q5" s="3" t="s">
        <v>9</v>
      </c>
      <c r="R5" s="3" t="s">
        <v>10</v>
      </c>
      <c r="S5" s="3" t="s">
        <v>11</v>
      </c>
      <c r="T5" s="3" t="s">
        <v>12</v>
      </c>
      <c r="U5" s="3" t="s">
        <v>13</v>
      </c>
      <c r="V5" s="3" t="s">
        <v>9</v>
      </c>
      <c r="W5" s="3" t="s">
        <v>10</v>
      </c>
      <c r="X5" s="3" t="s">
        <v>11</v>
      </c>
      <c r="Y5" s="246"/>
      <c r="Z5" s="246"/>
    </row>
    <row r="6" spans="1:56" s="1" customFormat="1">
      <c r="B6" s="10"/>
      <c r="C6" s="10"/>
      <c r="D6" s="10"/>
      <c r="E6" s="10"/>
      <c r="F6" s="10"/>
      <c r="G6" s="10"/>
    </row>
    <row r="7" spans="1:56">
      <c r="A7" s="10" t="s">
        <v>88</v>
      </c>
      <c r="Y7" s="57"/>
    </row>
    <row r="8" spans="1:56">
      <c r="A8" s="140" t="s">
        <v>36</v>
      </c>
      <c r="B8" s="198">
        <v>31931</v>
      </c>
      <c r="C8" s="198">
        <v>28021</v>
      </c>
      <c r="D8" s="198">
        <v>26507</v>
      </c>
      <c r="E8" s="198">
        <f>+F8-SUM(B8:D8)</f>
        <v>28299</v>
      </c>
      <c r="F8" s="198">
        <v>114758</v>
      </c>
      <c r="G8" s="198">
        <v>36178</v>
      </c>
      <c r="H8" s="198">
        <v>35846</v>
      </c>
      <c r="I8" s="198">
        <v>39095</v>
      </c>
      <c r="J8" s="198">
        <f>+K8-SUM(G8:I8)</f>
        <v>31849</v>
      </c>
      <c r="K8" s="198">
        <v>142968</v>
      </c>
      <c r="L8" s="198">
        <v>51331</v>
      </c>
      <c r="M8" s="198">
        <v>49068</v>
      </c>
      <c r="N8" s="198">
        <v>43876</v>
      </c>
      <c r="O8" s="198">
        <f>+P8-SUM(L8:N8)</f>
        <v>40283</v>
      </c>
      <c r="P8" s="198">
        <v>184558</v>
      </c>
      <c r="Q8" s="198">
        <v>48763</v>
      </c>
      <c r="R8" s="198">
        <v>45825</v>
      </c>
      <c r="S8" s="198">
        <v>53037</v>
      </c>
      <c r="T8" s="198">
        <f>U8-SUM(Q8:S8)</f>
        <v>50672</v>
      </c>
      <c r="U8" s="198">
        <v>198297</v>
      </c>
      <c r="V8" s="198">
        <v>66561</v>
      </c>
      <c r="W8" s="198">
        <v>66051</v>
      </c>
      <c r="X8" s="198">
        <v>58161</v>
      </c>
      <c r="Y8" s="91"/>
      <c r="Z8" s="25"/>
      <c r="AA8" s="91"/>
      <c r="AB8" s="78"/>
      <c r="AC8" s="78"/>
    </row>
    <row r="9" spans="1:56">
      <c r="A9" s="20" t="s">
        <v>89</v>
      </c>
      <c r="B9" s="42"/>
      <c r="C9" s="42"/>
      <c r="D9" s="42"/>
      <c r="E9" s="42"/>
      <c r="F9" s="42"/>
      <c r="G9" s="42"/>
      <c r="H9" s="42"/>
      <c r="I9" s="42"/>
      <c r="J9" s="42"/>
      <c r="K9" s="42"/>
      <c r="L9" s="42"/>
      <c r="M9" s="42"/>
      <c r="N9" s="42"/>
      <c r="O9" s="42"/>
      <c r="P9" s="42"/>
      <c r="Q9" s="42"/>
      <c r="R9" s="42"/>
      <c r="S9" s="42"/>
      <c r="T9" s="42"/>
      <c r="U9" s="42"/>
      <c r="V9" s="42"/>
      <c r="W9" s="42"/>
      <c r="X9" s="42"/>
      <c r="Y9" s="91"/>
      <c r="Z9" s="42"/>
      <c r="AB9" s="78"/>
      <c r="AC9" s="78"/>
    </row>
    <row r="10" spans="1:56">
      <c r="A10" s="28" t="s">
        <v>26</v>
      </c>
      <c r="B10" s="90">
        <v>12266</v>
      </c>
      <c r="C10" s="90">
        <v>12468</v>
      </c>
      <c r="D10" s="90">
        <v>12425</v>
      </c>
      <c r="E10" s="90">
        <f t="shared" ref="E10:E14" si="0">+F10-SUM(B10:D10)</f>
        <v>12497</v>
      </c>
      <c r="F10" s="90">
        <v>49656</v>
      </c>
      <c r="G10" s="90">
        <v>13669</v>
      </c>
      <c r="H10" s="90">
        <v>14070</v>
      </c>
      <c r="I10" s="90">
        <v>14254</v>
      </c>
      <c r="J10" s="90">
        <f t="shared" ref="J10:J14" si="1">+K10-SUM(G10:I10)</f>
        <v>14109</v>
      </c>
      <c r="K10" s="90">
        <v>56102</v>
      </c>
      <c r="L10" s="90">
        <v>13408</v>
      </c>
      <c r="M10" s="90">
        <v>13056</v>
      </c>
      <c r="N10" s="90">
        <v>11546</v>
      </c>
      <c r="O10" s="90">
        <f t="shared" ref="O10:O14" si="2">+P10-SUM(L10:N10)</f>
        <v>12270</v>
      </c>
      <c r="P10" s="90">
        <v>50280</v>
      </c>
      <c r="Q10" s="90">
        <v>12337</v>
      </c>
      <c r="R10" s="90">
        <v>12893</v>
      </c>
      <c r="S10" s="90">
        <v>13838</v>
      </c>
      <c r="T10" s="90">
        <f>U10-SUM(Q10:S10)</f>
        <v>16153</v>
      </c>
      <c r="U10" s="90">
        <v>55221</v>
      </c>
      <c r="V10" s="90">
        <v>13542</v>
      </c>
      <c r="W10" s="90">
        <v>14147</v>
      </c>
      <c r="X10" s="90">
        <v>15188</v>
      </c>
      <c r="Y10" s="91"/>
      <c r="Z10" s="77"/>
      <c r="AA10" s="91"/>
      <c r="AB10" s="78"/>
      <c r="AC10" s="78"/>
    </row>
    <row r="11" spans="1:56" s="20" customFormat="1">
      <c r="A11" s="28" t="s">
        <v>90</v>
      </c>
      <c r="B11" s="24">
        <v>673</v>
      </c>
      <c r="C11" s="24">
        <v>691</v>
      </c>
      <c r="D11" s="90">
        <v>431</v>
      </c>
      <c r="E11" s="90">
        <f t="shared" si="0"/>
        <v>0</v>
      </c>
      <c r="F11" s="90">
        <v>1795</v>
      </c>
      <c r="G11" s="90">
        <v>0</v>
      </c>
      <c r="H11" s="90">
        <v>0</v>
      </c>
      <c r="I11" s="90">
        <v>0</v>
      </c>
      <c r="J11" s="90">
        <f t="shared" si="1"/>
        <v>0</v>
      </c>
      <c r="K11" s="90">
        <v>0</v>
      </c>
      <c r="L11" s="90">
        <v>0</v>
      </c>
      <c r="M11" s="90">
        <v>0</v>
      </c>
      <c r="N11" s="90">
        <v>0</v>
      </c>
      <c r="O11" s="90">
        <f t="shared" si="2"/>
        <v>0</v>
      </c>
      <c r="P11" s="90">
        <v>0</v>
      </c>
      <c r="Q11" s="90">
        <v>0</v>
      </c>
      <c r="R11" s="90">
        <v>0</v>
      </c>
      <c r="S11" s="90">
        <v>0</v>
      </c>
      <c r="T11" s="90">
        <f t="shared" ref="T11:T32" si="3">U11-SUM(Q11:S11)</f>
        <v>0</v>
      </c>
      <c r="U11" s="90">
        <v>0</v>
      </c>
      <c r="V11" s="90">
        <v>0</v>
      </c>
      <c r="W11" s="90">
        <v>0</v>
      </c>
      <c r="X11" s="90">
        <v>0</v>
      </c>
      <c r="Y11" s="91"/>
      <c r="Z11" s="25"/>
      <c r="AA11" s="91"/>
      <c r="AB11" s="78"/>
      <c r="AC11" s="78"/>
      <c r="AJ11" s="2"/>
      <c r="AK11" s="2"/>
      <c r="AL11" s="2"/>
      <c r="AM11" s="2"/>
      <c r="AN11" s="2"/>
      <c r="AO11" s="2"/>
      <c r="AP11" s="2"/>
      <c r="AQ11" s="2"/>
      <c r="AR11" s="2"/>
      <c r="AS11" s="2"/>
      <c r="AT11" s="2"/>
      <c r="AU11" s="2"/>
      <c r="AV11" s="2"/>
      <c r="AW11" s="2"/>
      <c r="AX11" s="2"/>
      <c r="AY11" s="2"/>
      <c r="AZ11" s="2"/>
      <c r="BA11" s="2"/>
      <c r="BB11" s="2"/>
      <c r="BC11" s="2"/>
      <c r="BD11" s="2"/>
    </row>
    <row r="12" spans="1:56" s="20" customFormat="1">
      <c r="A12" s="28" t="s">
        <v>91</v>
      </c>
      <c r="B12" s="90">
        <v>7832</v>
      </c>
      <c r="C12" s="90">
        <v>10070</v>
      </c>
      <c r="D12" s="90">
        <v>10894</v>
      </c>
      <c r="E12" s="90">
        <f t="shared" si="0"/>
        <v>9825</v>
      </c>
      <c r="F12" s="90">
        <v>38621</v>
      </c>
      <c r="G12" s="90">
        <v>11224</v>
      </c>
      <c r="H12" s="90">
        <v>13340</v>
      </c>
      <c r="I12" s="90">
        <v>12186</v>
      </c>
      <c r="J12" s="90">
        <f t="shared" si="1"/>
        <v>12616</v>
      </c>
      <c r="K12" s="90">
        <v>49366</v>
      </c>
      <c r="L12" s="90">
        <v>14407</v>
      </c>
      <c r="M12" s="90">
        <v>11511</v>
      </c>
      <c r="N12" s="90">
        <v>17067</v>
      </c>
      <c r="O12" s="90">
        <f t="shared" si="2"/>
        <v>15452</v>
      </c>
      <c r="P12" s="90">
        <v>58437</v>
      </c>
      <c r="Q12" s="90">
        <v>17852</v>
      </c>
      <c r="R12" s="90">
        <v>18095</v>
      </c>
      <c r="S12" s="90">
        <v>21232</v>
      </c>
      <c r="T12" s="90">
        <f t="shared" si="3"/>
        <v>15479</v>
      </c>
      <c r="U12" s="90">
        <v>72658</v>
      </c>
      <c r="V12" s="90">
        <v>19187</v>
      </c>
      <c r="W12" s="90">
        <v>16392</v>
      </c>
      <c r="X12" s="90">
        <v>23139</v>
      </c>
      <c r="Y12" s="91"/>
      <c r="Z12" s="77"/>
      <c r="AA12" s="91"/>
      <c r="AB12" s="78"/>
      <c r="AC12" s="78"/>
      <c r="AJ12" s="2"/>
      <c r="AK12" s="2"/>
      <c r="AL12" s="2"/>
      <c r="AM12" s="2"/>
      <c r="AN12" s="2"/>
      <c r="AO12" s="2"/>
      <c r="AP12" s="2"/>
      <c r="AQ12" s="2"/>
      <c r="AR12" s="2"/>
      <c r="AS12" s="2"/>
      <c r="AT12" s="2"/>
      <c r="AU12" s="2"/>
      <c r="AV12" s="2"/>
      <c r="AW12" s="2"/>
      <c r="AX12" s="2"/>
      <c r="AY12" s="2"/>
      <c r="AZ12" s="2"/>
      <c r="BA12" s="2"/>
      <c r="BB12" s="2"/>
      <c r="BC12" s="2"/>
      <c r="BD12" s="2"/>
    </row>
    <row r="13" spans="1:56" s="20" customFormat="1">
      <c r="A13" s="28" t="s">
        <v>92</v>
      </c>
      <c r="B13" s="90">
        <v>0</v>
      </c>
      <c r="C13" s="90">
        <v>0</v>
      </c>
      <c r="D13" s="90">
        <v>12845</v>
      </c>
      <c r="E13" s="90">
        <f t="shared" si="0"/>
        <v>0</v>
      </c>
      <c r="F13" s="90">
        <v>12845</v>
      </c>
      <c r="G13" s="90">
        <v>0</v>
      </c>
      <c r="H13" s="90">
        <v>0</v>
      </c>
      <c r="I13" s="90">
        <v>0</v>
      </c>
      <c r="J13" s="90">
        <f t="shared" si="1"/>
        <v>0</v>
      </c>
      <c r="K13" s="90">
        <v>0</v>
      </c>
      <c r="L13" s="90">
        <v>0</v>
      </c>
      <c r="M13" s="90">
        <v>0</v>
      </c>
      <c r="N13" s="90">
        <v>0</v>
      </c>
      <c r="O13" s="90">
        <f t="shared" si="2"/>
        <v>0</v>
      </c>
      <c r="P13" s="90">
        <v>0</v>
      </c>
      <c r="Q13" s="90">
        <v>0</v>
      </c>
      <c r="R13" s="90">
        <v>0</v>
      </c>
      <c r="S13" s="90">
        <v>0</v>
      </c>
      <c r="T13" s="90">
        <f t="shared" si="3"/>
        <v>0</v>
      </c>
      <c r="U13" s="90">
        <v>0</v>
      </c>
      <c r="V13" s="90">
        <v>0</v>
      </c>
      <c r="W13" s="90">
        <v>0</v>
      </c>
      <c r="X13" s="90">
        <v>0</v>
      </c>
      <c r="Y13" s="91"/>
      <c r="Z13" s="42"/>
      <c r="AA13" s="91"/>
      <c r="AB13" s="78"/>
      <c r="AC13" s="78"/>
      <c r="AJ13" s="2"/>
      <c r="AK13" s="2"/>
      <c r="AL13" s="2"/>
      <c r="AM13" s="2"/>
      <c r="AN13" s="2"/>
      <c r="AO13" s="2"/>
      <c r="AP13" s="2"/>
      <c r="AQ13" s="2"/>
      <c r="AR13" s="2"/>
      <c r="AS13" s="2"/>
      <c r="AT13" s="2"/>
      <c r="AU13" s="2"/>
      <c r="AV13" s="2"/>
      <c r="AW13" s="2"/>
      <c r="AX13" s="2"/>
      <c r="AY13" s="2"/>
      <c r="AZ13" s="2"/>
      <c r="BA13" s="2"/>
      <c r="BB13" s="2"/>
      <c r="BC13" s="2"/>
      <c r="BD13" s="2"/>
    </row>
    <row r="14" spans="1:56" s="20" customFormat="1">
      <c r="A14" s="28" t="s">
        <v>93</v>
      </c>
      <c r="B14" s="24">
        <v>36</v>
      </c>
      <c r="C14" s="24">
        <v>-8</v>
      </c>
      <c r="D14" s="24">
        <v>-28</v>
      </c>
      <c r="E14" s="24">
        <f t="shared" si="0"/>
        <v>-47</v>
      </c>
      <c r="F14" s="24">
        <v>-47</v>
      </c>
      <c r="G14" s="24">
        <v>-114</v>
      </c>
      <c r="H14" s="24">
        <v>-143</v>
      </c>
      <c r="I14" s="24">
        <v>-109</v>
      </c>
      <c r="J14" s="24">
        <f t="shared" si="1"/>
        <v>-68</v>
      </c>
      <c r="K14" s="24">
        <v>-434</v>
      </c>
      <c r="L14" s="24">
        <v>-66</v>
      </c>
      <c r="M14" s="24">
        <v>-66</v>
      </c>
      <c r="N14" s="24">
        <v>-25</v>
      </c>
      <c r="O14" s="24">
        <f t="shared" si="2"/>
        <v>4</v>
      </c>
      <c r="P14" s="24">
        <v>-153</v>
      </c>
      <c r="Q14" s="24">
        <v>28</v>
      </c>
      <c r="R14" s="24">
        <v>8</v>
      </c>
      <c r="S14" s="24">
        <v>35</v>
      </c>
      <c r="T14" s="90">
        <f t="shared" si="3"/>
        <v>43</v>
      </c>
      <c r="U14" s="24">
        <v>114</v>
      </c>
      <c r="V14" s="24">
        <v>109</v>
      </c>
      <c r="W14" s="24">
        <v>141</v>
      </c>
      <c r="X14" s="24">
        <v>80</v>
      </c>
      <c r="Y14" s="91"/>
      <c r="Z14" s="42"/>
      <c r="AA14" s="91"/>
      <c r="AB14" s="78"/>
      <c r="AC14" s="78"/>
      <c r="AJ14" s="2"/>
      <c r="AK14" s="2"/>
      <c r="AL14" s="2"/>
      <c r="AM14" s="2"/>
      <c r="AN14" s="2"/>
      <c r="AO14" s="2"/>
      <c r="AP14" s="2"/>
      <c r="AQ14" s="2"/>
      <c r="AR14" s="2"/>
      <c r="AS14" s="2"/>
      <c r="AT14" s="2"/>
      <c r="AU14" s="2"/>
      <c r="AV14" s="2"/>
      <c r="AW14" s="2"/>
      <c r="AX14" s="2"/>
      <c r="AY14" s="2"/>
      <c r="AZ14" s="2"/>
      <c r="BA14" s="2"/>
      <c r="BB14" s="2"/>
      <c r="BC14" s="2"/>
      <c r="BD14" s="2"/>
    </row>
    <row r="15" spans="1:56" s="20" customFormat="1">
      <c r="A15" s="28" t="s">
        <v>94</v>
      </c>
      <c r="B15" s="90">
        <v>-1139</v>
      </c>
      <c r="C15" s="90">
        <v>-1495</v>
      </c>
      <c r="D15" s="90">
        <v>-1165</v>
      </c>
      <c r="E15" s="90">
        <f t="shared" ref="E15:E17" si="4">+F15-SUM(B15:D15)</f>
        <v>-22</v>
      </c>
      <c r="F15" s="90">
        <v>-3821</v>
      </c>
      <c r="G15" s="90">
        <v>-3165</v>
      </c>
      <c r="H15" s="90">
        <v>-7115</v>
      </c>
      <c r="I15" s="90">
        <v>-6533</v>
      </c>
      <c r="J15" s="90">
        <f t="shared" ref="J15:J17" si="5">+K15-SUM(G15:I15)</f>
        <v>170</v>
      </c>
      <c r="K15" s="90">
        <v>-16643</v>
      </c>
      <c r="L15" s="90">
        <v>2814</v>
      </c>
      <c r="M15" s="90">
        <v>-1526</v>
      </c>
      <c r="N15" s="90">
        <v>-2150</v>
      </c>
      <c r="O15" s="90">
        <f t="shared" ref="O15:O17" si="6">+P15-SUM(L15:N15)</f>
        <v>-501</v>
      </c>
      <c r="P15" s="90">
        <v>-1363</v>
      </c>
      <c r="Q15" s="90">
        <v>-274</v>
      </c>
      <c r="R15" s="90">
        <v>-2645</v>
      </c>
      <c r="S15" s="90">
        <v>-145</v>
      </c>
      <c r="T15" s="90">
        <f t="shared" si="3"/>
        <v>-2072</v>
      </c>
      <c r="U15" s="90">
        <v>-5136</v>
      </c>
      <c r="V15" s="90">
        <v>-1270</v>
      </c>
      <c r="W15" s="90">
        <v>-2044</v>
      </c>
      <c r="X15" s="90">
        <v>-7664</v>
      </c>
      <c r="Y15" s="91"/>
      <c r="Z15" s="77"/>
      <c r="AA15" s="91"/>
      <c r="AB15" s="78"/>
      <c r="AC15" s="78"/>
      <c r="AJ15" s="2"/>
      <c r="AK15" s="2"/>
      <c r="AL15" s="2"/>
      <c r="AM15" s="2"/>
      <c r="AN15" s="2"/>
      <c r="AO15" s="2"/>
      <c r="AP15" s="2"/>
      <c r="AQ15" s="2"/>
      <c r="AR15" s="2"/>
      <c r="AS15" s="2"/>
      <c r="AT15" s="2"/>
      <c r="AU15" s="2"/>
      <c r="AV15" s="2"/>
      <c r="AW15" s="2"/>
      <c r="AX15" s="2"/>
      <c r="AY15" s="2"/>
      <c r="AZ15" s="2"/>
      <c r="BA15" s="2"/>
      <c r="BB15" s="2"/>
      <c r="BC15" s="2"/>
      <c r="BD15" s="2"/>
    </row>
    <row r="16" spans="1:56" s="20" customFormat="1">
      <c r="A16" s="28" t="s">
        <v>95</v>
      </c>
      <c r="B16" s="90">
        <v>-1103</v>
      </c>
      <c r="C16" s="90">
        <v>7880</v>
      </c>
      <c r="D16" s="90">
        <v>-790</v>
      </c>
      <c r="E16" s="90">
        <f t="shared" si="4"/>
        <v>-848</v>
      </c>
      <c r="F16" s="90">
        <v>5139</v>
      </c>
      <c r="G16" s="90">
        <v>-384</v>
      </c>
      <c r="H16" s="90">
        <v>109</v>
      </c>
      <c r="I16" s="90">
        <v>-200</v>
      </c>
      <c r="J16" s="90">
        <f t="shared" si="5"/>
        <v>-734</v>
      </c>
      <c r="K16" s="90">
        <v>-1209</v>
      </c>
      <c r="L16" s="90">
        <v>8186</v>
      </c>
      <c r="M16" s="90">
        <v>-964</v>
      </c>
      <c r="N16" s="90">
        <v>-1219</v>
      </c>
      <c r="O16" s="90">
        <f t="shared" si="6"/>
        <v>11041</v>
      </c>
      <c r="P16" s="90">
        <v>17044</v>
      </c>
      <c r="Q16" s="90">
        <v>353</v>
      </c>
      <c r="R16" s="90">
        <v>-654</v>
      </c>
      <c r="S16" s="90">
        <v>-932</v>
      </c>
      <c r="T16" s="90">
        <f t="shared" si="3"/>
        <v>-281</v>
      </c>
      <c r="U16" s="90">
        <v>-1514</v>
      </c>
      <c r="V16" s="90">
        <v>-84</v>
      </c>
      <c r="W16" s="90">
        <v>-1220</v>
      </c>
      <c r="X16" s="90">
        <v>-1887</v>
      </c>
      <c r="Y16" s="91"/>
      <c r="Z16" s="77"/>
      <c r="AA16" s="91"/>
      <c r="AB16" s="78"/>
      <c r="AC16" s="78"/>
      <c r="AJ16" s="2"/>
      <c r="AK16" s="2"/>
      <c r="AL16" s="2"/>
      <c r="AM16" s="2"/>
      <c r="AN16" s="2"/>
      <c r="AO16" s="2"/>
      <c r="AP16" s="2"/>
      <c r="AQ16" s="2"/>
      <c r="AR16" s="2"/>
      <c r="AS16" s="2"/>
      <c r="AT16" s="2"/>
      <c r="AU16" s="2"/>
      <c r="AV16" s="2"/>
      <c r="AW16" s="2"/>
      <c r="AX16" s="2"/>
      <c r="AY16" s="2"/>
      <c r="AZ16" s="2"/>
      <c r="BA16" s="2"/>
      <c r="BB16" s="2"/>
      <c r="BC16" s="2"/>
      <c r="BD16" s="2"/>
    </row>
    <row r="17" spans="1:56" s="20" customFormat="1">
      <c r="A17" s="28" t="s">
        <v>96</v>
      </c>
      <c r="B17" s="90">
        <v>-2695</v>
      </c>
      <c r="C17" s="90">
        <v>-12042</v>
      </c>
      <c r="D17" s="90">
        <v>-2637</v>
      </c>
      <c r="E17" s="90">
        <f t="shared" si="4"/>
        <v>-2953</v>
      </c>
      <c r="F17" s="90">
        <v>-20327</v>
      </c>
      <c r="G17" s="90">
        <v>-193</v>
      </c>
      <c r="H17" s="90">
        <v>-1269</v>
      </c>
      <c r="I17" s="90">
        <v>-4159</v>
      </c>
      <c r="J17" s="90">
        <f t="shared" si="5"/>
        <v>-13931</v>
      </c>
      <c r="K17" s="90">
        <v>-19552</v>
      </c>
      <c r="L17" s="90">
        <v>-9444</v>
      </c>
      <c r="M17" s="90">
        <v>-8839</v>
      </c>
      <c r="N17" s="90">
        <v>-8272</v>
      </c>
      <c r="O17" s="90">
        <f t="shared" si="6"/>
        <v>-5187</v>
      </c>
      <c r="P17" s="90">
        <v>-31742</v>
      </c>
      <c r="Q17" s="90">
        <v>-8680</v>
      </c>
      <c r="R17" s="90">
        <v>-8396</v>
      </c>
      <c r="S17" s="90">
        <v>-8347</v>
      </c>
      <c r="T17" s="90">
        <f t="shared" si="3"/>
        <v>5538</v>
      </c>
      <c r="U17" s="90">
        <v>-19885</v>
      </c>
      <c r="V17" s="90">
        <v>-7932</v>
      </c>
      <c r="W17" s="90">
        <v>-7673</v>
      </c>
      <c r="X17" s="90">
        <v>9085</v>
      </c>
      <c r="Y17" s="91"/>
      <c r="Z17" s="77"/>
      <c r="AA17" s="91"/>
      <c r="AB17" s="78"/>
      <c r="AC17" s="78"/>
      <c r="AJ17" s="2"/>
      <c r="AK17" s="2"/>
      <c r="AL17" s="2"/>
      <c r="AM17" s="2"/>
      <c r="AN17" s="2"/>
      <c r="AO17" s="2"/>
      <c r="AP17" s="2"/>
      <c r="AQ17" s="2"/>
      <c r="AR17" s="2"/>
      <c r="AS17" s="2"/>
      <c r="AT17" s="2"/>
      <c r="AU17" s="2"/>
      <c r="AV17" s="2"/>
      <c r="AW17" s="2"/>
      <c r="AX17" s="2"/>
      <c r="AY17" s="2"/>
      <c r="AZ17" s="2"/>
      <c r="BA17" s="2"/>
      <c r="BB17" s="2"/>
      <c r="BC17" s="2"/>
      <c r="BD17" s="2"/>
    </row>
    <row r="18" spans="1:56" s="20" customFormat="1">
      <c r="A18" s="28" t="s">
        <v>97</v>
      </c>
      <c r="B18" s="90">
        <v>48</v>
      </c>
      <c r="C18" s="90">
        <v>-438</v>
      </c>
      <c r="D18" s="90">
        <v>-15</v>
      </c>
      <c r="E18" s="90">
        <f t="shared" ref="E18:E31" si="7">+F18-SUM(B18:D18)</f>
        <v>-59</v>
      </c>
      <c r="F18" s="90">
        <v>-464</v>
      </c>
      <c r="G18" s="90">
        <v>34</v>
      </c>
      <c r="H18" s="90">
        <v>136</v>
      </c>
      <c r="I18" s="90">
        <v>7</v>
      </c>
      <c r="J18" s="90">
        <f t="shared" ref="J18:J31" si="8">+K18-SUM(G18:I18)</f>
        <v>506</v>
      </c>
      <c r="K18" s="90">
        <v>683</v>
      </c>
      <c r="L18" s="90">
        <v>342</v>
      </c>
      <c r="M18" s="90">
        <v>137</v>
      </c>
      <c r="N18" s="90">
        <v>1965</v>
      </c>
      <c r="O18" s="90">
        <f t="shared" ref="O18:O31" si="9">+P18-SUM(L18:N18)</f>
        <v>9</v>
      </c>
      <c r="P18" s="90">
        <v>2453</v>
      </c>
      <c r="Q18" s="90">
        <v>-240</v>
      </c>
      <c r="R18" s="90">
        <v>202</v>
      </c>
      <c r="S18" s="90">
        <v>343</v>
      </c>
      <c r="T18" s="90">
        <f t="shared" si="3"/>
        <v>-309</v>
      </c>
      <c r="U18" s="90">
        <v>-4</v>
      </c>
      <c r="V18" s="90">
        <v>1243</v>
      </c>
      <c r="W18" s="90">
        <v>28</v>
      </c>
      <c r="X18" s="90">
        <v>10</v>
      </c>
      <c r="Y18" s="91"/>
      <c r="Z18" s="23"/>
      <c r="AA18" s="91"/>
      <c r="AB18" s="78"/>
      <c r="AC18" s="78"/>
      <c r="AJ18" s="2"/>
      <c r="AK18" s="2"/>
      <c r="AL18" s="2"/>
      <c r="AM18" s="2"/>
      <c r="AN18" s="2"/>
      <c r="AO18" s="2"/>
      <c r="AP18" s="2"/>
      <c r="AQ18" s="2"/>
      <c r="AR18" s="2"/>
      <c r="AS18" s="2"/>
      <c r="AT18" s="2"/>
      <c r="AU18" s="2"/>
      <c r="AV18" s="2"/>
      <c r="AW18" s="2"/>
      <c r="AX18" s="2"/>
      <c r="AY18" s="2"/>
      <c r="AZ18" s="2"/>
      <c r="BA18" s="2"/>
      <c r="BB18" s="2"/>
      <c r="BC18" s="2"/>
      <c r="BD18" s="2"/>
    </row>
    <row r="19" spans="1:56" ht="12.75" customHeight="1">
      <c r="A19" s="28" t="s">
        <v>98</v>
      </c>
      <c r="B19" s="79">
        <v>0</v>
      </c>
      <c r="C19" s="79">
        <v>0</v>
      </c>
      <c r="D19" s="79">
        <v>0</v>
      </c>
      <c r="E19" s="90">
        <f t="shared" si="7"/>
        <v>0</v>
      </c>
      <c r="F19" s="79">
        <v>0</v>
      </c>
      <c r="G19" s="79">
        <v>0</v>
      </c>
      <c r="H19" s="90">
        <v>1000</v>
      </c>
      <c r="I19" s="90">
        <v>0</v>
      </c>
      <c r="J19" s="90">
        <f t="shared" si="8"/>
        <v>7250</v>
      </c>
      <c r="K19" s="90">
        <v>8250</v>
      </c>
      <c r="L19" s="90">
        <v>0</v>
      </c>
      <c r="M19" s="90">
        <v>0</v>
      </c>
      <c r="N19" s="90">
        <v>2500</v>
      </c>
      <c r="O19" s="90">
        <f t="shared" si="9"/>
        <v>-600</v>
      </c>
      <c r="P19" s="90">
        <v>1900</v>
      </c>
      <c r="Q19" s="90">
        <v>-589</v>
      </c>
      <c r="R19" s="90">
        <v>0</v>
      </c>
      <c r="S19" s="90">
        <v>0</v>
      </c>
      <c r="T19" s="90">
        <f t="shared" si="3"/>
        <v>0</v>
      </c>
      <c r="U19" s="90">
        <v>-589</v>
      </c>
      <c r="V19" s="90">
        <v>0</v>
      </c>
      <c r="W19" s="90">
        <v>0</v>
      </c>
      <c r="X19" s="90">
        <v>0</v>
      </c>
      <c r="Y19" s="91"/>
      <c r="Z19" s="42"/>
      <c r="AA19" s="91"/>
      <c r="AB19" s="78"/>
      <c r="AC19" s="78"/>
    </row>
    <row r="20" spans="1:56">
      <c r="A20" s="28" t="s">
        <v>99</v>
      </c>
      <c r="B20" s="79">
        <v>6761</v>
      </c>
      <c r="C20" s="79">
        <v>6871</v>
      </c>
      <c r="D20" s="79">
        <v>6380</v>
      </c>
      <c r="E20" s="79">
        <f t="shared" si="7"/>
        <v>6314</v>
      </c>
      <c r="F20" s="79">
        <v>26326</v>
      </c>
      <c r="G20" s="79">
        <v>6043</v>
      </c>
      <c r="H20" s="79">
        <v>5962</v>
      </c>
      <c r="I20" s="79">
        <v>5360</v>
      </c>
      <c r="J20" s="79">
        <f t="shared" si="8"/>
        <v>4418</v>
      </c>
      <c r="K20" s="90">
        <v>21783</v>
      </c>
      <c r="L20" s="90">
        <v>4883</v>
      </c>
      <c r="M20" s="90">
        <v>5449</v>
      </c>
      <c r="N20" s="90">
        <v>4839</v>
      </c>
      <c r="O20" s="79">
        <f t="shared" si="9"/>
        <v>5017</v>
      </c>
      <c r="P20" s="90">
        <v>20188</v>
      </c>
      <c r="Q20" s="90">
        <v>4995</v>
      </c>
      <c r="R20" s="90">
        <v>5354</v>
      </c>
      <c r="S20" s="90">
        <v>5721</v>
      </c>
      <c r="T20" s="90">
        <f t="shared" si="3"/>
        <v>5694</v>
      </c>
      <c r="U20" s="90">
        <v>21764</v>
      </c>
      <c r="V20" s="90">
        <v>6061</v>
      </c>
      <c r="W20" s="90">
        <v>6428</v>
      </c>
      <c r="X20" s="90">
        <v>5904</v>
      </c>
      <c r="Y20" s="91"/>
      <c r="Z20" s="77"/>
      <c r="AA20" s="91"/>
      <c r="AB20" s="78"/>
      <c r="AC20" s="78"/>
    </row>
    <row r="21" spans="1:56" s="20" customFormat="1">
      <c r="A21" s="28" t="s">
        <v>100</v>
      </c>
      <c r="B21" s="24">
        <v>216</v>
      </c>
      <c r="C21" s="24">
        <v>-72</v>
      </c>
      <c r="D21" s="90">
        <v>446</v>
      </c>
      <c r="E21" s="90">
        <f>+F21-SUM(B21:D21)</f>
        <v>-374</v>
      </c>
      <c r="F21" s="90">
        <v>216</v>
      </c>
      <c r="G21" s="90">
        <v>819</v>
      </c>
      <c r="H21" s="90">
        <v>-36</v>
      </c>
      <c r="I21" s="90">
        <v>823</v>
      </c>
      <c r="J21" s="90">
        <f>+K21-SUM(G21:I21)</f>
        <v>-662</v>
      </c>
      <c r="K21" s="90">
        <v>944</v>
      </c>
      <c r="L21" s="90">
        <v>1226</v>
      </c>
      <c r="M21" s="90">
        <v>108</v>
      </c>
      <c r="N21" s="90">
        <v>207</v>
      </c>
      <c r="O21" s="90">
        <f>+P21-SUM(L21:N21)</f>
        <v>-440</v>
      </c>
      <c r="P21" s="90">
        <v>1101</v>
      </c>
      <c r="Q21" s="90">
        <v>348</v>
      </c>
      <c r="R21" s="90">
        <v>173</v>
      </c>
      <c r="S21" s="90">
        <v>-649</v>
      </c>
      <c r="T21" s="90">
        <f t="shared" si="3"/>
        <v>-73</v>
      </c>
      <c r="U21" s="90">
        <v>-201</v>
      </c>
      <c r="V21" s="90">
        <v>90</v>
      </c>
      <c r="W21" s="90">
        <v>-30</v>
      </c>
      <c r="X21" s="90">
        <v>304</v>
      </c>
      <c r="Y21" s="91"/>
      <c r="Z21" s="77"/>
      <c r="AA21" s="91"/>
      <c r="AB21" s="78"/>
      <c r="AC21" s="78"/>
      <c r="AJ21" s="2"/>
      <c r="AK21" s="2"/>
      <c r="AL21" s="2"/>
      <c r="AM21" s="2"/>
      <c r="AN21" s="2"/>
      <c r="AO21" s="2"/>
      <c r="AP21" s="2"/>
      <c r="AQ21" s="2"/>
      <c r="AR21" s="2"/>
      <c r="AS21" s="2"/>
      <c r="AT21" s="2"/>
      <c r="AU21" s="2"/>
      <c r="AV21" s="2"/>
      <c r="AW21" s="2"/>
      <c r="AX21" s="2"/>
      <c r="AY21" s="2"/>
      <c r="AZ21" s="2"/>
      <c r="BA21" s="2"/>
      <c r="BB21" s="2"/>
      <c r="BC21" s="2"/>
      <c r="BD21" s="2"/>
    </row>
    <row r="22" spans="1:56" s="20" customFormat="1" ht="4.5" customHeight="1">
      <c r="A22" s="28"/>
      <c r="B22" s="24"/>
      <c r="C22" s="24"/>
      <c r="D22" s="90"/>
      <c r="E22" s="90"/>
      <c r="F22" s="90"/>
      <c r="G22" s="90"/>
      <c r="H22" s="90"/>
      <c r="I22" s="90"/>
      <c r="J22" s="90"/>
      <c r="K22" s="90"/>
      <c r="L22" s="90"/>
      <c r="M22" s="90"/>
      <c r="N22" s="90"/>
      <c r="O22" s="90"/>
      <c r="P22" s="90"/>
      <c r="Q22" s="90"/>
      <c r="R22" s="90"/>
      <c r="S22" s="90"/>
      <c r="T22" s="90"/>
      <c r="U22" s="90"/>
      <c r="V22" s="90"/>
      <c r="W22" s="90"/>
      <c r="X22" s="90"/>
      <c r="Y22" s="91"/>
      <c r="Z22" s="42"/>
      <c r="AA22" s="91"/>
      <c r="AB22" s="78"/>
      <c r="AC22" s="78"/>
      <c r="AJ22" s="2"/>
      <c r="AK22" s="2"/>
      <c r="AL22" s="2"/>
      <c r="AM22" s="2"/>
      <c r="AN22" s="2"/>
      <c r="AO22" s="2"/>
      <c r="AP22" s="2"/>
      <c r="AQ22" s="2"/>
      <c r="AR22" s="2"/>
      <c r="AS22" s="2"/>
      <c r="AT22" s="2"/>
      <c r="AU22" s="2"/>
      <c r="AV22" s="2"/>
      <c r="AW22" s="2"/>
      <c r="AX22" s="2"/>
      <c r="AY22" s="2"/>
      <c r="AZ22" s="2"/>
      <c r="BA22" s="2"/>
      <c r="BB22" s="2"/>
      <c r="BC22" s="2"/>
      <c r="BD22" s="2"/>
    </row>
    <row r="23" spans="1:56" s="20" customFormat="1">
      <c r="A23" s="20" t="s">
        <v>101</v>
      </c>
      <c r="B23" s="24"/>
      <c r="C23" s="24"/>
      <c r="D23" s="90"/>
      <c r="E23" s="90"/>
      <c r="F23" s="90"/>
      <c r="G23" s="90"/>
      <c r="H23" s="90"/>
      <c r="I23" s="90"/>
      <c r="J23" s="90"/>
      <c r="K23" s="90"/>
      <c r="L23" s="90"/>
      <c r="M23" s="90"/>
      <c r="N23" s="90"/>
      <c r="O23" s="90"/>
      <c r="P23" s="90"/>
      <c r="Q23" s="90"/>
      <c r="R23" s="90"/>
      <c r="S23" s="90"/>
      <c r="T23" s="90"/>
      <c r="U23" s="90"/>
      <c r="V23" s="90"/>
      <c r="W23" s="90"/>
      <c r="X23" s="90"/>
      <c r="Y23" s="91"/>
      <c r="Z23" s="42"/>
      <c r="AA23" s="91"/>
      <c r="AB23" s="78"/>
      <c r="AC23" s="78"/>
      <c r="AJ23" s="2"/>
      <c r="AK23" s="2"/>
      <c r="AL23" s="2"/>
      <c r="AM23" s="2"/>
      <c r="AN23" s="2"/>
      <c r="AO23" s="2"/>
      <c r="AP23" s="2"/>
      <c r="AQ23" s="2"/>
      <c r="AR23" s="2"/>
      <c r="AS23" s="2"/>
      <c r="AT23" s="2"/>
      <c r="AU23" s="2"/>
      <c r="AV23" s="2"/>
      <c r="AW23" s="2"/>
      <c r="AX23" s="2"/>
      <c r="AY23" s="2"/>
      <c r="AZ23" s="2"/>
      <c r="BA23" s="2"/>
      <c r="BB23" s="2"/>
      <c r="BC23" s="2"/>
      <c r="BD23" s="2"/>
    </row>
    <row r="24" spans="1:56">
      <c r="A24" s="28" t="s">
        <v>102</v>
      </c>
      <c r="B24" s="90">
        <v>-11818</v>
      </c>
      <c r="C24" s="90">
        <v>-22334</v>
      </c>
      <c r="D24" s="90">
        <v>-10719</v>
      </c>
      <c r="E24" s="90">
        <f t="shared" si="7"/>
        <v>7187</v>
      </c>
      <c r="F24" s="90">
        <v>-37684</v>
      </c>
      <c r="G24" s="90">
        <v>-45659</v>
      </c>
      <c r="H24" s="90">
        <v>-726</v>
      </c>
      <c r="I24" s="90">
        <v>-21681</v>
      </c>
      <c r="J24" s="90">
        <f t="shared" si="8"/>
        <v>-55</v>
      </c>
      <c r="K24" s="90">
        <v>-68121</v>
      </c>
      <c r="L24" s="90">
        <v>-30896</v>
      </c>
      <c r="M24" s="90">
        <v>2521</v>
      </c>
      <c r="N24" s="90">
        <v>-18113</v>
      </c>
      <c r="O24" s="90">
        <f t="shared" si="9"/>
        <v>-2754</v>
      </c>
      <c r="P24" s="90">
        <v>-49242</v>
      </c>
      <c r="Q24" s="90">
        <v>-27578</v>
      </c>
      <c r="R24" s="90">
        <v>7570</v>
      </c>
      <c r="S24" s="90">
        <v>-8892</v>
      </c>
      <c r="T24" s="90">
        <f t="shared" si="3"/>
        <v>33547</v>
      </c>
      <c r="U24" s="90">
        <v>4647</v>
      </c>
      <c r="V24" s="90">
        <v>-35231</v>
      </c>
      <c r="W24" s="90">
        <v>-3081</v>
      </c>
      <c r="X24" s="90">
        <v>-7083</v>
      </c>
      <c r="Y24" s="91"/>
      <c r="Z24" s="23"/>
      <c r="AA24" s="91"/>
      <c r="AB24" s="78"/>
      <c r="AC24" s="78"/>
    </row>
    <row r="25" spans="1:56">
      <c r="A25" s="28" t="s">
        <v>49</v>
      </c>
      <c r="B25" s="90">
        <v>-21</v>
      </c>
      <c r="C25" s="90">
        <v>210</v>
      </c>
      <c r="D25" s="90">
        <v>2844</v>
      </c>
      <c r="E25" s="90">
        <f t="shared" si="7"/>
        <v>-4212</v>
      </c>
      <c r="F25" s="90">
        <v>-1179</v>
      </c>
      <c r="G25" s="90">
        <v>-1116</v>
      </c>
      <c r="H25" s="90">
        <v>3977</v>
      </c>
      <c r="I25" s="90">
        <v>-308</v>
      </c>
      <c r="J25" s="90">
        <f t="shared" si="8"/>
        <v>-10262</v>
      </c>
      <c r="K25" s="90">
        <v>-7709</v>
      </c>
      <c r="L25" s="90">
        <v>-6046</v>
      </c>
      <c r="M25" s="90">
        <v>1659</v>
      </c>
      <c r="N25" s="90">
        <v>3975</v>
      </c>
      <c r="O25" s="90">
        <f t="shared" si="9"/>
        <v>-9094</v>
      </c>
      <c r="P25" s="90">
        <v>-9506</v>
      </c>
      <c r="Q25" s="90">
        <v>-11394</v>
      </c>
      <c r="R25" s="90">
        <v>1049</v>
      </c>
      <c r="S25" s="90">
        <v>9689</v>
      </c>
      <c r="T25" s="90">
        <f t="shared" si="3"/>
        <v>-37255</v>
      </c>
      <c r="U25" s="90">
        <v>-37911</v>
      </c>
      <c r="V25" s="90">
        <v>-17923</v>
      </c>
      <c r="W25" s="90">
        <v>12915</v>
      </c>
      <c r="X25" s="90">
        <v>9142</v>
      </c>
      <c r="Y25" s="91"/>
      <c r="Z25" s="23"/>
      <c r="AA25" s="91"/>
      <c r="AB25" s="78"/>
      <c r="AC25" s="78"/>
    </row>
    <row r="26" spans="1:56">
      <c r="A26" s="28" t="s">
        <v>63</v>
      </c>
      <c r="B26" s="90">
        <v>1902</v>
      </c>
      <c r="C26" s="90">
        <v>-4360</v>
      </c>
      <c r="D26" s="90">
        <v>125</v>
      </c>
      <c r="E26" s="90">
        <f t="shared" si="7"/>
        <v>1719</v>
      </c>
      <c r="F26" s="90">
        <v>-614</v>
      </c>
      <c r="G26" s="90">
        <v>-808</v>
      </c>
      <c r="H26" s="90">
        <v>-299</v>
      </c>
      <c r="I26" s="90">
        <v>-820</v>
      </c>
      <c r="J26" s="90">
        <f t="shared" si="8"/>
        <v>4312</v>
      </c>
      <c r="K26" s="90">
        <v>2385</v>
      </c>
      <c r="L26" s="90">
        <v>-4445</v>
      </c>
      <c r="M26" s="90">
        <v>-351</v>
      </c>
      <c r="N26" s="90">
        <v>172</v>
      </c>
      <c r="O26" s="90">
        <f t="shared" si="9"/>
        <v>1867</v>
      </c>
      <c r="P26" s="90">
        <v>-2757</v>
      </c>
      <c r="Q26" s="90">
        <v>-1936</v>
      </c>
      <c r="R26" s="90">
        <v>-131</v>
      </c>
      <c r="S26" s="90">
        <v>935</v>
      </c>
      <c r="T26" s="90">
        <f t="shared" si="3"/>
        <v>1797</v>
      </c>
      <c r="U26" s="90">
        <v>665</v>
      </c>
      <c r="V26" s="90">
        <v>-229.18027246548957</v>
      </c>
      <c r="W26" s="90">
        <v>284.18027246548957</v>
      </c>
      <c r="X26" s="90">
        <v>887</v>
      </c>
      <c r="Y26" s="91"/>
      <c r="Z26" s="77"/>
      <c r="AA26" s="91"/>
      <c r="AB26" s="78"/>
      <c r="AC26" s="78"/>
    </row>
    <row r="27" spans="1:56">
      <c r="A27" s="28" t="s">
        <v>65</v>
      </c>
      <c r="B27" s="90">
        <v>-17986</v>
      </c>
      <c r="C27" s="90">
        <v>-2846</v>
      </c>
      <c r="D27" s="90">
        <v>-364</v>
      </c>
      <c r="E27" s="90">
        <f t="shared" si="7"/>
        <v>8463</v>
      </c>
      <c r="F27" s="90">
        <v>-12733</v>
      </c>
      <c r="G27" s="90">
        <v>3707</v>
      </c>
      <c r="H27" s="90">
        <v>569</v>
      </c>
      <c r="I27" s="90">
        <v>-2173</v>
      </c>
      <c r="J27" s="90">
        <f t="shared" si="8"/>
        <v>370</v>
      </c>
      <c r="K27" s="90">
        <v>2473</v>
      </c>
      <c r="L27" s="90">
        <v>2451</v>
      </c>
      <c r="M27" s="90">
        <v>2929</v>
      </c>
      <c r="N27" s="90">
        <v>-3061</v>
      </c>
      <c r="O27" s="90">
        <f t="shared" si="9"/>
        <v>-3196</v>
      </c>
      <c r="P27" s="90">
        <v>-877</v>
      </c>
      <c r="Q27" s="90">
        <v>5829</v>
      </c>
      <c r="R27" s="90">
        <v>-2691</v>
      </c>
      <c r="S27" s="90">
        <v>-3103</v>
      </c>
      <c r="T27" s="90">
        <f t="shared" si="3"/>
        <v>6967</v>
      </c>
      <c r="U27" s="90">
        <v>7002</v>
      </c>
      <c r="V27" s="90">
        <v>753</v>
      </c>
      <c r="W27" s="90">
        <v>1673</v>
      </c>
      <c r="X27" s="90">
        <v>-4410</v>
      </c>
      <c r="Y27" s="91"/>
      <c r="Z27" s="23"/>
      <c r="AA27" s="91"/>
      <c r="AB27" s="78"/>
      <c r="AC27" s="78"/>
    </row>
    <row r="28" spans="1:56">
      <c r="A28" s="28" t="s">
        <v>103</v>
      </c>
      <c r="B28" s="90">
        <v>-15155</v>
      </c>
      <c r="C28" s="90">
        <v>31278</v>
      </c>
      <c r="D28" s="90">
        <v>13795</v>
      </c>
      <c r="E28" s="90">
        <f t="shared" si="7"/>
        <v>19491</v>
      </c>
      <c r="F28" s="90">
        <v>49409</v>
      </c>
      <c r="G28" s="90">
        <v>-44361</v>
      </c>
      <c r="H28" s="90">
        <v>21535</v>
      </c>
      <c r="I28" s="90">
        <v>24733</v>
      </c>
      <c r="J28" s="90">
        <f t="shared" si="8"/>
        <v>18119</v>
      </c>
      <c r="K28" s="90">
        <v>20026</v>
      </c>
      <c r="L28" s="90">
        <v>-30384</v>
      </c>
      <c r="M28" s="90">
        <v>5311</v>
      </c>
      <c r="N28" s="90">
        <v>27519</v>
      </c>
      <c r="O28" s="90">
        <f t="shared" si="9"/>
        <v>21727</v>
      </c>
      <c r="P28" s="90">
        <v>24173</v>
      </c>
      <c r="Q28" s="90">
        <v>-53939</v>
      </c>
      <c r="R28" s="90">
        <v>20239</v>
      </c>
      <c r="S28" s="90">
        <v>38574</v>
      </c>
      <c r="T28" s="90">
        <f t="shared" si="3"/>
        <v>36678</v>
      </c>
      <c r="U28" s="90">
        <v>41552</v>
      </c>
      <c r="V28" s="90">
        <v>-42436.144444058009</v>
      </c>
      <c r="W28" s="90">
        <v>19642.144444058009</v>
      </c>
      <c r="X28" s="90">
        <v>35727</v>
      </c>
      <c r="Y28" s="91"/>
      <c r="Z28" s="23"/>
      <c r="AA28" s="91"/>
      <c r="AB28" s="78"/>
      <c r="AC28" s="78"/>
    </row>
    <row r="29" spans="1:56">
      <c r="A29" s="28" t="s">
        <v>104</v>
      </c>
      <c r="B29" s="90">
        <v>9057</v>
      </c>
      <c r="C29" s="90">
        <v>-9018</v>
      </c>
      <c r="D29" s="90">
        <v>-5724</v>
      </c>
      <c r="E29" s="90">
        <f t="shared" si="7"/>
        <v>-6377</v>
      </c>
      <c r="F29" s="90">
        <v>-12062</v>
      </c>
      <c r="G29" s="90">
        <v>6185</v>
      </c>
      <c r="H29" s="90">
        <v>2499</v>
      </c>
      <c r="I29" s="90">
        <v>-4641</v>
      </c>
      <c r="J29" s="90">
        <f t="shared" si="8"/>
        <v>4736</v>
      </c>
      <c r="K29" s="90">
        <v>8779</v>
      </c>
      <c r="L29" s="90">
        <v>7883</v>
      </c>
      <c r="M29" s="90">
        <v>-18493</v>
      </c>
      <c r="N29" s="90">
        <v>-1412</v>
      </c>
      <c r="O29" s="90">
        <f t="shared" si="9"/>
        <v>-6260</v>
      </c>
      <c r="P29" s="90">
        <v>-18282</v>
      </c>
      <c r="Q29" s="90">
        <v>11443</v>
      </c>
      <c r="R29" s="90">
        <v>-16365</v>
      </c>
      <c r="S29" s="90">
        <v>-3516</v>
      </c>
      <c r="T29" s="90">
        <f>U29-SUM(Q29:S29)</f>
        <v>-17766</v>
      </c>
      <c r="U29" s="90">
        <v>-26204</v>
      </c>
      <c r="V29" s="90">
        <v>11664</v>
      </c>
      <c r="W29" s="90">
        <v>-7462</v>
      </c>
      <c r="X29" s="90">
        <v>-5162</v>
      </c>
      <c r="Y29" s="91"/>
      <c r="Z29" s="23"/>
      <c r="AA29" s="91"/>
      <c r="AB29" s="78"/>
      <c r="AC29" s="78"/>
    </row>
    <row r="30" spans="1:56">
      <c r="A30" s="28" t="s">
        <v>59</v>
      </c>
      <c r="B30" s="90">
        <v>1268</v>
      </c>
      <c r="C30" s="90">
        <v>321</v>
      </c>
      <c r="D30" s="90">
        <v>896</v>
      </c>
      <c r="E30" s="90">
        <f t="shared" si="7"/>
        <v>-2258</v>
      </c>
      <c r="F30" s="90">
        <v>227</v>
      </c>
      <c r="G30" s="90">
        <v>-2924</v>
      </c>
      <c r="H30" s="90">
        <v>-3660</v>
      </c>
      <c r="I30" s="90">
        <v>-1844</v>
      </c>
      <c r="J30" s="90">
        <f t="shared" si="8"/>
        <v>-2295</v>
      </c>
      <c r="K30" s="90">
        <v>-10723</v>
      </c>
      <c r="L30" s="90">
        <v>-4172</v>
      </c>
      <c r="M30" s="90">
        <v>-8600</v>
      </c>
      <c r="N30" s="90">
        <v>-6020</v>
      </c>
      <c r="O30" s="90">
        <f t="shared" si="9"/>
        <v>3959</v>
      </c>
      <c r="P30" s="90">
        <v>-14833</v>
      </c>
      <c r="Q30" s="90">
        <v>-3575</v>
      </c>
      <c r="R30" s="90">
        <v>-587</v>
      </c>
      <c r="S30" s="90">
        <v>-2143</v>
      </c>
      <c r="T30" s="90">
        <f t="shared" si="3"/>
        <v>-4157</v>
      </c>
      <c r="U30" s="90">
        <v>-10462</v>
      </c>
      <c r="V30" s="90">
        <v>-5021.9913428310001</v>
      </c>
      <c r="W30" s="90">
        <v>-404.00865716899989</v>
      </c>
      <c r="X30" s="90">
        <v>-4060</v>
      </c>
      <c r="Y30" s="91"/>
      <c r="Z30" s="23"/>
      <c r="AA30" s="91"/>
      <c r="AB30" s="78"/>
      <c r="AC30" s="78"/>
    </row>
    <row r="31" spans="1:56">
      <c r="A31" s="28" t="s">
        <v>105</v>
      </c>
      <c r="B31" s="90">
        <v>-6868</v>
      </c>
      <c r="C31" s="90">
        <v>-6459</v>
      </c>
      <c r="D31" s="90">
        <v>-6327</v>
      </c>
      <c r="E31" s="90">
        <f t="shared" si="7"/>
        <v>-6020</v>
      </c>
      <c r="F31" s="90">
        <v>-25674</v>
      </c>
      <c r="G31" s="90">
        <v>-6005</v>
      </c>
      <c r="H31" s="90">
        <v>-5917</v>
      </c>
      <c r="I31" s="90">
        <v>-5909</v>
      </c>
      <c r="J31" s="90">
        <f t="shared" si="8"/>
        <v>-5396</v>
      </c>
      <c r="K31" s="90">
        <v>-23227</v>
      </c>
      <c r="L31" s="90">
        <v>-5453</v>
      </c>
      <c r="M31" s="90">
        <v>-5376</v>
      </c>
      <c r="N31" s="90">
        <v>-4793</v>
      </c>
      <c r="O31" s="90">
        <f t="shared" si="9"/>
        <v>-4559</v>
      </c>
      <c r="P31" s="90">
        <v>-20181</v>
      </c>
      <c r="Q31" s="90">
        <v>-4616</v>
      </c>
      <c r="R31" s="124">
        <v>-5029</v>
      </c>
      <c r="S31" s="124">
        <v>-5535</v>
      </c>
      <c r="T31" s="90">
        <f t="shared" si="3"/>
        <v>-5309</v>
      </c>
      <c r="U31" s="90">
        <v>-20489</v>
      </c>
      <c r="V31" s="90">
        <v>-5840</v>
      </c>
      <c r="W31" s="90">
        <v>-6410</v>
      </c>
      <c r="X31" s="90">
        <v>-6645</v>
      </c>
      <c r="Y31" s="91"/>
      <c r="Z31" s="23"/>
      <c r="AA31" s="91"/>
      <c r="AB31" s="78"/>
      <c r="AC31" s="78"/>
    </row>
    <row r="32" spans="1:56">
      <c r="A32" s="28" t="s">
        <v>106</v>
      </c>
      <c r="B32" s="90">
        <v>0</v>
      </c>
      <c r="C32" s="90">
        <v>0</v>
      </c>
      <c r="D32" s="90">
        <v>0</v>
      </c>
      <c r="E32" s="90">
        <v>0</v>
      </c>
      <c r="F32" s="90">
        <v>0</v>
      </c>
      <c r="G32" s="90">
        <v>0</v>
      </c>
      <c r="H32" s="90">
        <v>0</v>
      </c>
      <c r="I32" s="90">
        <v>0</v>
      </c>
      <c r="J32" s="90">
        <v>0</v>
      </c>
      <c r="K32" s="90">
        <v>0</v>
      </c>
      <c r="L32" s="90">
        <v>0</v>
      </c>
      <c r="M32" s="90">
        <v>0</v>
      </c>
      <c r="N32" s="90">
        <v>0</v>
      </c>
      <c r="O32" s="90">
        <v>0</v>
      </c>
      <c r="P32" s="90">
        <v>0</v>
      </c>
      <c r="Q32" s="90">
        <v>-11000</v>
      </c>
      <c r="R32" s="90">
        <v>0</v>
      </c>
      <c r="S32" s="90">
        <v>0</v>
      </c>
      <c r="T32" s="90">
        <f t="shared" si="3"/>
        <v>0</v>
      </c>
      <c r="U32" s="90">
        <v>-11000</v>
      </c>
      <c r="V32" s="90">
        <v>0</v>
      </c>
      <c r="W32" s="90">
        <v>0</v>
      </c>
      <c r="X32" s="90">
        <v>0</v>
      </c>
      <c r="Y32" s="91"/>
      <c r="Z32" s="77"/>
      <c r="AA32" s="91"/>
      <c r="AB32" s="78"/>
      <c r="AC32" s="78"/>
    </row>
    <row r="33" spans="1:199">
      <c r="A33" s="140" t="s">
        <v>107</v>
      </c>
      <c r="B33" s="221">
        <f t="shared" ref="B33:X33" si="10">SUM(B8:B32)</f>
        <v>15205</v>
      </c>
      <c r="C33" s="221">
        <f t="shared" si="10"/>
        <v>38738</v>
      </c>
      <c r="D33" s="221">
        <f t="shared" si="10"/>
        <v>59819</v>
      </c>
      <c r="E33" s="221">
        <f t="shared" si="10"/>
        <v>70625</v>
      </c>
      <c r="F33" s="221">
        <f t="shared" si="10"/>
        <v>184387</v>
      </c>
      <c r="G33" s="221">
        <f t="shared" si="10"/>
        <v>-26870</v>
      </c>
      <c r="H33" s="221">
        <f t="shared" si="10"/>
        <v>79878</v>
      </c>
      <c r="I33" s="221">
        <f t="shared" si="10"/>
        <v>48081</v>
      </c>
      <c r="J33" s="221">
        <f t="shared" si="10"/>
        <v>65052</v>
      </c>
      <c r="K33" s="221">
        <f t="shared" si="10"/>
        <v>166141</v>
      </c>
      <c r="L33" s="221">
        <f t="shared" si="10"/>
        <v>16025</v>
      </c>
      <c r="M33" s="221">
        <f t="shared" si="10"/>
        <v>47534</v>
      </c>
      <c r="N33" s="221">
        <f t="shared" si="10"/>
        <v>68601</v>
      </c>
      <c r="O33" s="221">
        <f t="shared" si="10"/>
        <v>79038</v>
      </c>
      <c r="P33" s="221">
        <f t="shared" si="10"/>
        <v>211198</v>
      </c>
      <c r="Q33" s="221">
        <f t="shared" si="10"/>
        <v>-21873</v>
      </c>
      <c r="R33" s="221">
        <f t="shared" si="10"/>
        <v>74910</v>
      </c>
      <c r="S33" s="221">
        <f t="shared" si="10"/>
        <v>110142</v>
      </c>
      <c r="T33" s="221">
        <f t="shared" si="10"/>
        <v>105346</v>
      </c>
      <c r="U33" s="221">
        <f t="shared" si="10"/>
        <v>268525</v>
      </c>
      <c r="V33" s="221">
        <f t="shared" si="10"/>
        <v>3242.6839406455001</v>
      </c>
      <c r="W33" s="221">
        <f t="shared" si="10"/>
        <v>109377.31605935449</v>
      </c>
      <c r="X33" s="221">
        <f t="shared" si="10"/>
        <v>120716</v>
      </c>
      <c r="Y33" s="91"/>
      <c r="Z33" s="23"/>
      <c r="AA33" s="91"/>
      <c r="AB33" s="78"/>
      <c r="AC33" s="78"/>
      <c r="AD33" s="131"/>
      <c r="AE33" s="131"/>
      <c r="AF33" s="131"/>
      <c r="AG33" s="131"/>
      <c r="AH33" s="131"/>
      <c r="AI33" s="131"/>
      <c r="BE33" s="131"/>
      <c r="BF33" s="131"/>
      <c r="BG33" s="131"/>
      <c r="BH33" s="131"/>
      <c r="BI33" s="131"/>
      <c r="BJ33" s="131"/>
      <c r="BK33" s="131"/>
      <c r="BL33" s="131"/>
      <c r="BM33" s="131"/>
      <c r="BN33" s="131"/>
      <c r="BO33" s="131"/>
      <c r="BP33" s="131"/>
      <c r="BQ33" s="131"/>
      <c r="BR33" s="131"/>
      <c r="BS33" s="131"/>
      <c r="BT33" s="131"/>
      <c r="BU33" s="131"/>
      <c r="BV33" s="131"/>
      <c r="BW33" s="131"/>
      <c r="BX33" s="131"/>
      <c r="BY33" s="131"/>
      <c r="BZ33" s="131"/>
      <c r="CA33" s="131"/>
      <c r="CB33" s="131"/>
      <c r="CC33" s="131"/>
      <c r="CD33" s="131"/>
      <c r="CE33" s="131"/>
      <c r="CF33" s="131"/>
      <c r="CG33" s="131"/>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c r="DR33" s="131"/>
      <c r="DS33" s="131"/>
      <c r="DT33" s="131"/>
      <c r="DU33" s="131"/>
      <c r="DV33" s="131"/>
      <c r="DW33" s="131"/>
      <c r="DX33" s="131"/>
      <c r="DY33" s="131"/>
      <c r="DZ33" s="131"/>
      <c r="EA33" s="131"/>
      <c r="EB33" s="131"/>
      <c r="EC33" s="131"/>
      <c r="ED33" s="131"/>
      <c r="EE33" s="131"/>
      <c r="EF33" s="131"/>
      <c r="EG33" s="131"/>
      <c r="EH33" s="131"/>
      <c r="EI33" s="131"/>
      <c r="EJ33" s="131"/>
      <c r="EK33" s="131"/>
      <c r="EL33" s="131"/>
      <c r="EM33" s="131"/>
      <c r="EN33" s="131"/>
      <c r="EO33" s="131"/>
      <c r="EP33" s="131"/>
      <c r="EQ33" s="131"/>
      <c r="ER33" s="131"/>
      <c r="ES33" s="131"/>
      <c r="ET33" s="131"/>
      <c r="EU33" s="131"/>
      <c r="EV33" s="131"/>
      <c r="EW33" s="131"/>
      <c r="EX33" s="131"/>
      <c r="EY33" s="131"/>
      <c r="EZ33" s="131"/>
      <c r="FA33" s="131"/>
      <c r="FB33" s="131"/>
      <c r="FC33" s="131"/>
      <c r="FD33" s="131"/>
      <c r="FE33" s="131"/>
      <c r="FF33" s="131"/>
      <c r="FG33" s="131"/>
      <c r="FH33" s="131"/>
      <c r="FI33" s="131"/>
      <c r="FJ33" s="131"/>
      <c r="FK33" s="131"/>
      <c r="FL33" s="131"/>
      <c r="FM33" s="131"/>
      <c r="FN33" s="131"/>
      <c r="FO33" s="131"/>
      <c r="FP33" s="131"/>
      <c r="FQ33" s="131"/>
      <c r="FR33" s="131"/>
      <c r="FS33" s="131"/>
      <c r="FT33" s="131"/>
      <c r="FU33" s="131"/>
      <c r="FV33" s="131"/>
      <c r="FW33" s="131"/>
      <c r="FX33" s="131"/>
      <c r="FY33" s="131"/>
      <c r="FZ33" s="131"/>
      <c r="GA33" s="131"/>
      <c r="GB33" s="131"/>
      <c r="GC33" s="131"/>
      <c r="GD33" s="131"/>
      <c r="GE33" s="131"/>
      <c r="GF33" s="131"/>
      <c r="GG33" s="131"/>
      <c r="GH33" s="131"/>
      <c r="GI33" s="131"/>
      <c r="GJ33" s="131"/>
      <c r="GK33" s="131"/>
      <c r="GL33" s="131"/>
      <c r="GM33" s="131"/>
      <c r="GN33" s="131"/>
      <c r="GO33" s="131"/>
      <c r="GP33" s="131"/>
      <c r="GQ33" s="131"/>
    </row>
    <row r="34" spans="1:199">
      <c r="A34" s="13" t="s">
        <v>51</v>
      </c>
      <c r="B34" s="90"/>
      <c r="C34" s="90"/>
      <c r="D34" s="90"/>
      <c r="E34" s="90"/>
      <c r="F34" s="90"/>
      <c r="G34" s="90"/>
      <c r="H34" s="90"/>
      <c r="I34" s="90"/>
      <c r="J34" s="90"/>
      <c r="K34" s="90"/>
      <c r="L34" s="90"/>
      <c r="M34" s="90"/>
      <c r="N34" s="90"/>
      <c r="O34" s="90"/>
      <c r="P34" s="90"/>
      <c r="Q34" s="90"/>
      <c r="R34" s="90"/>
      <c r="S34" s="90"/>
      <c r="T34" s="90"/>
      <c r="U34" s="90"/>
      <c r="V34" s="90"/>
      <c r="W34" s="90"/>
      <c r="X34" s="90"/>
      <c r="Y34" s="57"/>
      <c r="Z34" s="42"/>
      <c r="AA34" s="91"/>
      <c r="AB34" s="78"/>
      <c r="AC34" s="78"/>
    </row>
    <row r="35" spans="1:199">
      <c r="A35" s="10" t="s">
        <v>108</v>
      </c>
      <c r="B35" s="90"/>
      <c r="C35" s="90"/>
      <c r="D35" s="90"/>
      <c r="E35" s="90"/>
      <c r="F35" s="90"/>
      <c r="G35" s="90"/>
      <c r="H35" s="90"/>
      <c r="I35" s="90"/>
      <c r="J35" s="90"/>
      <c r="K35" s="90"/>
      <c r="L35" s="90"/>
      <c r="M35" s="90"/>
      <c r="N35" s="90"/>
      <c r="O35" s="90"/>
      <c r="P35" s="90"/>
      <c r="Q35" s="90"/>
      <c r="R35" s="90"/>
      <c r="S35" s="90"/>
      <c r="T35" s="90"/>
      <c r="U35" s="90"/>
      <c r="V35" s="90"/>
      <c r="W35" s="90"/>
      <c r="X35" s="90"/>
      <c r="Y35" s="91"/>
      <c r="Z35" s="42"/>
      <c r="AA35" s="91"/>
      <c r="AB35" s="78"/>
      <c r="AC35" s="78"/>
    </row>
    <row r="36" spans="1:199">
      <c r="A36" s="11" t="s">
        <v>109</v>
      </c>
      <c r="B36" s="90">
        <v>-12680</v>
      </c>
      <c r="C36" s="90">
        <v>-7223</v>
      </c>
      <c r="D36" s="90">
        <v>-9123</v>
      </c>
      <c r="E36" s="90">
        <f t="shared" ref="E36:E41" si="11">+F36-SUM(B36:D36)</f>
        <v>-8222</v>
      </c>
      <c r="F36" s="90">
        <v>-37248</v>
      </c>
      <c r="G36" s="90">
        <v>-16101</v>
      </c>
      <c r="H36" s="90">
        <v>-8953</v>
      </c>
      <c r="I36" s="90">
        <v>-7045</v>
      </c>
      <c r="J36" s="90">
        <f t="shared" ref="J36:J41" si="12">+K36-SUM(G36:I36)</f>
        <v>-12737</v>
      </c>
      <c r="K36" s="90">
        <v>-44836</v>
      </c>
      <c r="L36" s="90">
        <v>-12479</v>
      </c>
      <c r="M36" s="90">
        <v>-13634</v>
      </c>
      <c r="N36" s="90">
        <v>-14993</v>
      </c>
      <c r="O36" s="90">
        <f t="shared" ref="O36:O41" si="13">+P36-SUM(L36:N36)</f>
        <v>-11697</v>
      </c>
      <c r="P36" s="90">
        <v>-52803</v>
      </c>
      <c r="Q36" s="90">
        <v>-11266</v>
      </c>
      <c r="R36" s="90">
        <v>-12063</v>
      </c>
      <c r="S36" s="90">
        <v>-12859</v>
      </c>
      <c r="T36" s="90">
        <f t="shared" ref="T36:T41" si="14">U36-SUM(Q36:S36)</f>
        <v>-10074</v>
      </c>
      <c r="U36" s="90">
        <v>-46262</v>
      </c>
      <c r="V36" s="90">
        <v>-12940</v>
      </c>
      <c r="W36" s="90">
        <v>-14426</v>
      </c>
      <c r="X36" s="90">
        <v>-14361</v>
      </c>
      <c r="Y36" s="91"/>
      <c r="Z36" s="77"/>
      <c r="AA36" s="91"/>
      <c r="AB36" s="78"/>
      <c r="AC36" s="78"/>
    </row>
    <row r="37" spans="1:199">
      <c r="A37" s="11" t="s">
        <v>110</v>
      </c>
      <c r="B37" s="90">
        <v>129</v>
      </c>
      <c r="C37" s="90">
        <v>398</v>
      </c>
      <c r="D37" s="90">
        <v>298</v>
      </c>
      <c r="E37" s="90">
        <f t="shared" si="11"/>
        <v>475</v>
      </c>
      <c r="F37" s="90">
        <v>1300</v>
      </c>
      <c r="G37" s="90">
        <v>63</v>
      </c>
      <c r="H37" s="90">
        <v>91</v>
      </c>
      <c r="I37" s="90">
        <v>43</v>
      </c>
      <c r="J37" s="90">
        <f t="shared" si="12"/>
        <v>69</v>
      </c>
      <c r="K37" s="90">
        <v>266</v>
      </c>
      <c r="L37" s="90">
        <v>565</v>
      </c>
      <c r="M37" s="90">
        <v>-18</v>
      </c>
      <c r="N37" s="90">
        <v>93</v>
      </c>
      <c r="O37" s="90">
        <f t="shared" si="13"/>
        <v>99</v>
      </c>
      <c r="P37" s="90">
        <v>739</v>
      </c>
      <c r="Q37" s="90">
        <v>62</v>
      </c>
      <c r="R37" s="90">
        <v>28</v>
      </c>
      <c r="S37" s="90">
        <v>82</v>
      </c>
      <c r="T37" s="90">
        <f t="shared" si="14"/>
        <v>43</v>
      </c>
      <c r="U37" s="90">
        <v>215</v>
      </c>
      <c r="V37" s="90">
        <v>95</v>
      </c>
      <c r="W37" s="90">
        <v>85</v>
      </c>
      <c r="X37" s="90">
        <v>135</v>
      </c>
      <c r="Y37" s="91"/>
      <c r="Z37" s="77"/>
      <c r="AA37" s="91"/>
      <c r="AB37" s="78"/>
      <c r="AC37" s="78"/>
    </row>
    <row r="38" spans="1:199">
      <c r="A38" s="11" t="s">
        <v>111</v>
      </c>
      <c r="B38" s="90">
        <v>0</v>
      </c>
      <c r="C38" s="90">
        <v>0</v>
      </c>
      <c r="D38" s="90">
        <v>0</v>
      </c>
      <c r="E38" s="90">
        <f t="shared" si="11"/>
        <v>0</v>
      </c>
      <c r="F38" s="90">
        <v>0</v>
      </c>
      <c r="G38" s="90">
        <v>0</v>
      </c>
      <c r="H38" s="90">
        <v>0</v>
      </c>
      <c r="I38" s="90">
        <v>0</v>
      </c>
      <c r="J38" s="90">
        <f t="shared" si="12"/>
        <v>0</v>
      </c>
      <c r="K38" s="90">
        <v>0</v>
      </c>
      <c r="L38" s="90">
        <v>0</v>
      </c>
      <c r="M38" s="90">
        <v>0</v>
      </c>
      <c r="N38" s="90">
        <v>-600</v>
      </c>
      <c r="O38" s="90">
        <f t="shared" si="13"/>
        <v>0</v>
      </c>
      <c r="P38" s="90">
        <v>-600</v>
      </c>
      <c r="Q38" s="90">
        <v>0</v>
      </c>
      <c r="R38" s="90">
        <v>0</v>
      </c>
      <c r="S38" s="90">
        <v>-600</v>
      </c>
      <c r="T38" s="90">
        <f t="shared" si="14"/>
        <v>0</v>
      </c>
      <c r="U38" s="90">
        <v>-600</v>
      </c>
      <c r="V38" s="90">
        <v>-600</v>
      </c>
      <c r="W38" s="90">
        <v>0</v>
      </c>
      <c r="X38" s="90">
        <v>-574</v>
      </c>
      <c r="Y38" s="91"/>
      <c r="Z38" s="77"/>
      <c r="AA38" s="91"/>
      <c r="AB38" s="78"/>
      <c r="AC38" s="78"/>
    </row>
    <row r="39" spans="1:199">
      <c r="A39" s="11" t="s">
        <v>112</v>
      </c>
      <c r="B39" s="90">
        <v>0</v>
      </c>
      <c r="C39" s="90">
        <v>0</v>
      </c>
      <c r="D39" s="90">
        <v>0</v>
      </c>
      <c r="E39" s="90">
        <f t="shared" si="11"/>
        <v>-76831</v>
      </c>
      <c r="F39" s="90">
        <v>-76831</v>
      </c>
      <c r="G39" s="90">
        <v>-1367</v>
      </c>
      <c r="H39" s="90">
        <v>-1205</v>
      </c>
      <c r="I39" s="90">
        <v>-750</v>
      </c>
      <c r="J39" s="90">
        <f t="shared" si="12"/>
        <v>-550</v>
      </c>
      <c r="K39" s="90">
        <v>-3872</v>
      </c>
      <c r="L39" s="90">
        <v>0</v>
      </c>
      <c r="M39" s="90">
        <v>0</v>
      </c>
      <c r="N39" s="90">
        <v>0</v>
      </c>
      <c r="O39" s="90">
        <f t="shared" si="13"/>
        <v>0</v>
      </c>
      <c r="P39" s="90">
        <v>0</v>
      </c>
      <c r="Q39" s="90">
        <v>0</v>
      </c>
      <c r="R39" s="90"/>
      <c r="S39" s="90">
        <v>-24466</v>
      </c>
      <c r="T39" s="90">
        <f t="shared" si="14"/>
        <v>167</v>
      </c>
      <c r="U39" s="90">
        <v>-24299</v>
      </c>
      <c r="V39" s="90">
        <v>0</v>
      </c>
      <c r="W39" s="90">
        <v>0</v>
      </c>
      <c r="X39" s="90">
        <v>0</v>
      </c>
      <c r="Y39" s="91"/>
      <c r="Z39" s="77"/>
      <c r="AA39" s="91"/>
      <c r="AB39" s="78"/>
      <c r="AC39" s="78"/>
    </row>
    <row r="40" spans="1:199">
      <c r="A40" s="11" t="s">
        <v>113</v>
      </c>
      <c r="B40" s="90">
        <v>-18835</v>
      </c>
      <c r="C40" s="90">
        <v>-14152</v>
      </c>
      <c r="D40" s="90">
        <v>-43513</v>
      </c>
      <c r="E40" s="90">
        <f t="shared" si="11"/>
        <v>-19511</v>
      </c>
      <c r="F40" s="90">
        <v>-96011</v>
      </c>
      <c r="G40" s="90">
        <v>-36804</v>
      </c>
      <c r="H40" s="90">
        <v>-59278</v>
      </c>
      <c r="I40" s="90">
        <v>-68231</v>
      </c>
      <c r="J40" s="90">
        <f t="shared" si="12"/>
        <v>-48294</v>
      </c>
      <c r="K40" s="90">
        <v>-212607</v>
      </c>
      <c r="L40" s="90">
        <v>-51495</v>
      </c>
      <c r="M40" s="90">
        <v>-62328</v>
      </c>
      <c r="N40" s="90">
        <v>-51198</v>
      </c>
      <c r="O40" s="90">
        <f t="shared" si="13"/>
        <v>-70348</v>
      </c>
      <c r="P40" s="90">
        <v>-235369</v>
      </c>
      <c r="Q40" s="90">
        <v>-64932</v>
      </c>
      <c r="R40" s="90">
        <v>-93556.639479999998</v>
      </c>
      <c r="S40" s="90">
        <v>-67066.360519999987</v>
      </c>
      <c r="T40" s="90">
        <f t="shared" si="14"/>
        <v>-63457</v>
      </c>
      <c r="U40" s="90">
        <v>-289012</v>
      </c>
      <c r="V40" s="90">
        <v>-90185</v>
      </c>
      <c r="W40" s="90">
        <v>-54750</v>
      </c>
      <c r="X40" s="90">
        <v>-102354</v>
      </c>
      <c r="Y40" s="91"/>
      <c r="Z40" s="77"/>
      <c r="AA40" s="91"/>
      <c r="AB40" s="78"/>
      <c r="AC40" s="78"/>
    </row>
    <row r="41" spans="1:199">
      <c r="A41" s="11" t="s">
        <v>114</v>
      </c>
      <c r="B41" s="90">
        <v>5357</v>
      </c>
      <c r="C41" s="90">
        <v>58674</v>
      </c>
      <c r="D41" s="90">
        <v>19152</v>
      </c>
      <c r="E41" s="90">
        <f t="shared" si="11"/>
        <v>11337</v>
      </c>
      <c r="F41" s="90">
        <v>94520</v>
      </c>
      <c r="G41" s="90">
        <v>49515</v>
      </c>
      <c r="H41" s="90">
        <v>33052</v>
      </c>
      <c r="I41" s="90">
        <v>41788</v>
      </c>
      <c r="J41" s="90">
        <f t="shared" si="12"/>
        <v>40148</v>
      </c>
      <c r="K41" s="90">
        <v>164503</v>
      </c>
      <c r="L41" s="90">
        <v>106750</v>
      </c>
      <c r="M41" s="90">
        <v>44428</v>
      </c>
      <c r="N41" s="90">
        <v>66347</v>
      </c>
      <c r="O41" s="90">
        <f t="shared" si="13"/>
        <v>58511</v>
      </c>
      <c r="P41" s="90">
        <v>276036</v>
      </c>
      <c r="Q41" s="90">
        <v>80825</v>
      </c>
      <c r="R41" s="90">
        <v>59019</v>
      </c>
      <c r="S41" s="90">
        <v>52318</v>
      </c>
      <c r="T41" s="90">
        <f t="shared" si="14"/>
        <v>48697</v>
      </c>
      <c r="U41" s="90">
        <v>240859</v>
      </c>
      <c r="V41" s="90">
        <v>81362</v>
      </c>
      <c r="W41" s="90">
        <v>55072</v>
      </c>
      <c r="X41" s="90">
        <v>70832</v>
      </c>
      <c r="Y41" s="91"/>
      <c r="Z41" s="77"/>
      <c r="AA41" s="91"/>
      <c r="AB41" s="78"/>
      <c r="AC41" s="78"/>
    </row>
    <row r="42" spans="1:199">
      <c r="A42" s="140" t="s">
        <v>115</v>
      </c>
      <c r="B42" s="221">
        <f t="shared" ref="B42:X42" si="15">SUM(B36:B41)</f>
        <v>-26029</v>
      </c>
      <c r="C42" s="221">
        <f t="shared" si="15"/>
        <v>37697</v>
      </c>
      <c r="D42" s="221">
        <f t="shared" si="15"/>
        <v>-33186</v>
      </c>
      <c r="E42" s="221">
        <f t="shared" si="15"/>
        <v>-92752</v>
      </c>
      <c r="F42" s="221">
        <f t="shared" si="15"/>
        <v>-114270</v>
      </c>
      <c r="G42" s="221">
        <f t="shared" si="15"/>
        <v>-4694</v>
      </c>
      <c r="H42" s="221">
        <f t="shared" si="15"/>
        <v>-36293</v>
      </c>
      <c r="I42" s="221">
        <f t="shared" si="15"/>
        <v>-34195</v>
      </c>
      <c r="J42" s="221">
        <f t="shared" si="15"/>
        <v>-21364</v>
      </c>
      <c r="K42" s="221">
        <f t="shared" si="15"/>
        <v>-96546</v>
      </c>
      <c r="L42" s="221">
        <f t="shared" si="15"/>
        <v>43341</v>
      </c>
      <c r="M42" s="221">
        <f t="shared" si="15"/>
        <v>-31552</v>
      </c>
      <c r="N42" s="221">
        <f t="shared" si="15"/>
        <v>-351</v>
      </c>
      <c r="O42" s="221">
        <f t="shared" si="15"/>
        <v>-23435</v>
      </c>
      <c r="P42" s="221">
        <f t="shared" si="15"/>
        <v>-11997</v>
      </c>
      <c r="Q42" s="221">
        <f t="shared" si="15"/>
        <v>4689</v>
      </c>
      <c r="R42" s="221">
        <f t="shared" si="15"/>
        <v>-46572.639479999998</v>
      </c>
      <c r="S42" s="221">
        <f t="shared" si="15"/>
        <v>-52591.360519999987</v>
      </c>
      <c r="T42" s="221">
        <f t="shared" si="15"/>
        <v>-24624</v>
      </c>
      <c r="U42" s="221">
        <f t="shared" si="15"/>
        <v>-119099</v>
      </c>
      <c r="V42" s="221">
        <f t="shared" si="15"/>
        <v>-22268</v>
      </c>
      <c r="W42" s="221">
        <f t="shared" si="15"/>
        <v>-14019</v>
      </c>
      <c r="X42" s="221">
        <f t="shared" si="15"/>
        <v>-46322</v>
      </c>
      <c r="Y42" s="91"/>
      <c r="Z42" s="25"/>
      <c r="AA42" s="91"/>
      <c r="AB42" s="78"/>
      <c r="AC42" s="78"/>
      <c r="AD42" s="131"/>
      <c r="AE42" s="131"/>
      <c r="AF42" s="131"/>
      <c r="AG42" s="131"/>
      <c r="AH42" s="131"/>
      <c r="AI42" s="131"/>
      <c r="BE42" s="131"/>
      <c r="BF42" s="131"/>
      <c r="BG42" s="131"/>
      <c r="BH42" s="131"/>
      <c r="BI42" s="131"/>
      <c r="BJ42" s="131"/>
      <c r="BK42" s="131"/>
      <c r="BL42" s="131"/>
      <c r="BM42" s="131"/>
      <c r="BN42" s="131"/>
      <c r="BO42" s="131"/>
      <c r="BP42" s="131"/>
      <c r="BQ42" s="131"/>
      <c r="BR42" s="131"/>
      <c r="BS42" s="131"/>
      <c r="BT42" s="131"/>
      <c r="BU42" s="131"/>
      <c r="BV42" s="131"/>
      <c r="BW42" s="131"/>
      <c r="BX42" s="131"/>
      <c r="BY42" s="131"/>
      <c r="BZ42" s="131"/>
      <c r="CA42" s="131"/>
      <c r="CB42" s="131"/>
      <c r="CC42" s="131"/>
      <c r="CD42" s="131"/>
      <c r="CE42" s="131"/>
      <c r="CF42" s="131"/>
      <c r="CG42" s="131"/>
      <c r="CH42" s="131"/>
      <c r="CI42" s="131"/>
      <c r="CJ42" s="131"/>
      <c r="CK42" s="131"/>
      <c r="CL42" s="131"/>
      <c r="CM42" s="131"/>
      <c r="CN42" s="131"/>
      <c r="CO42" s="131"/>
      <c r="CP42" s="131"/>
      <c r="CQ42" s="131"/>
      <c r="CR42" s="131"/>
      <c r="CS42" s="131"/>
      <c r="CT42" s="131"/>
      <c r="CU42" s="131"/>
      <c r="CV42" s="131"/>
      <c r="CW42" s="131"/>
      <c r="CX42" s="131"/>
      <c r="CY42" s="131"/>
      <c r="CZ42" s="131"/>
      <c r="DA42" s="131"/>
      <c r="DB42" s="131"/>
      <c r="DC42" s="131"/>
      <c r="DD42" s="131"/>
      <c r="DE42" s="131"/>
      <c r="DF42" s="131"/>
      <c r="DG42" s="131"/>
      <c r="DH42" s="131"/>
      <c r="DI42" s="131"/>
      <c r="DJ42" s="131"/>
      <c r="DK42" s="131"/>
      <c r="DL42" s="131"/>
      <c r="DM42" s="131"/>
      <c r="DN42" s="131"/>
      <c r="DO42" s="131"/>
      <c r="DP42" s="131"/>
      <c r="DQ42" s="131"/>
      <c r="DR42" s="131"/>
      <c r="DS42" s="131"/>
      <c r="DT42" s="131"/>
      <c r="DU42" s="131"/>
      <c r="DV42" s="131"/>
      <c r="DW42" s="131"/>
      <c r="DX42" s="131"/>
      <c r="DY42" s="131"/>
      <c r="DZ42" s="131"/>
      <c r="EA42" s="131"/>
      <c r="EB42" s="131"/>
      <c r="EC42" s="131"/>
      <c r="ED42" s="131"/>
      <c r="EE42" s="131"/>
      <c r="EF42" s="131"/>
      <c r="EG42" s="131"/>
      <c r="EH42" s="131"/>
      <c r="EI42" s="131"/>
      <c r="EJ42" s="131"/>
      <c r="EK42" s="131"/>
      <c r="EL42" s="131"/>
      <c r="EM42" s="131"/>
      <c r="EN42" s="131"/>
      <c r="EO42" s="131"/>
      <c r="EP42" s="131"/>
      <c r="EQ42" s="131"/>
      <c r="ER42" s="131"/>
      <c r="ES42" s="131"/>
      <c r="ET42" s="131"/>
      <c r="EU42" s="131"/>
      <c r="EV42" s="131"/>
      <c r="EW42" s="131"/>
      <c r="EX42" s="131"/>
      <c r="EY42" s="131"/>
      <c r="EZ42" s="131"/>
      <c r="FA42" s="131"/>
      <c r="FB42" s="131"/>
      <c r="FC42" s="131"/>
      <c r="FD42" s="131"/>
      <c r="FE42" s="131"/>
      <c r="FF42" s="131"/>
      <c r="FG42" s="131"/>
      <c r="FH42" s="131"/>
      <c r="FI42" s="131"/>
      <c r="FJ42" s="131"/>
      <c r="FK42" s="131"/>
      <c r="FL42" s="131"/>
      <c r="FM42" s="131"/>
      <c r="FN42" s="131"/>
      <c r="FO42" s="131"/>
      <c r="FP42" s="131"/>
      <c r="FQ42" s="131"/>
      <c r="FR42" s="131"/>
      <c r="FS42" s="131"/>
      <c r="FT42" s="131"/>
      <c r="FU42" s="131"/>
      <c r="FV42" s="131"/>
      <c r="FW42" s="131"/>
      <c r="FX42" s="131"/>
      <c r="FY42" s="131"/>
      <c r="FZ42" s="131"/>
      <c r="GA42" s="131"/>
      <c r="GB42" s="131"/>
      <c r="GC42" s="131"/>
      <c r="GD42" s="131"/>
      <c r="GE42" s="131"/>
      <c r="GF42" s="131"/>
      <c r="GG42" s="131"/>
      <c r="GH42" s="131"/>
      <c r="GI42" s="131"/>
      <c r="GJ42" s="131"/>
      <c r="GK42" s="131"/>
      <c r="GL42" s="131"/>
      <c r="GM42" s="131"/>
      <c r="GN42" s="131"/>
      <c r="GO42" s="131"/>
      <c r="GP42" s="131"/>
      <c r="GQ42" s="131"/>
    </row>
    <row r="43" spans="1:199">
      <c r="A43" s="13" t="s">
        <v>51</v>
      </c>
      <c r="B43" s="90"/>
      <c r="C43" s="90"/>
      <c r="D43" s="90"/>
      <c r="E43" s="90"/>
      <c r="F43" s="90"/>
      <c r="G43" s="90"/>
      <c r="H43" s="90"/>
      <c r="I43" s="90"/>
      <c r="J43" s="90"/>
      <c r="K43" s="90"/>
      <c r="L43" s="90"/>
      <c r="M43" s="90"/>
      <c r="N43" s="90"/>
      <c r="O43" s="90"/>
      <c r="P43" s="90"/>
      <c r="Q43" s="90"/>
      <c r="R43" s="90"/>
      <c r="S43" s="90"/>
      <c r="T43" s="90"/>
      <c r="U43" s="90"/>
      <c r="V43" s="90"/>
      <c r="W43" s="90"/>
      <c r="X43" s="90"/>
      <c r="Y43" s="57"/>
      <c r="Z43" s="42"/>
      <c r="AA43" s="91"/>
      <c r="AB43" s="78"/>
      <c r="AC43" s="78"/>
    </row>
    <row r="44" spans="1:199">
      <c r="A44" s="10" t="s">
        <v>116</v>
      </c>
      <c r="B44" s="90"/>
      <c r="C44" s="90"/>
      <c r="D44" s="90"/>
      <c r="E44" s="90"/>
      <c r="F44" s="90"/>
      <c r="G44" s="90"/>
      <c r="H44" s="90"/>
      <c r="I44" s="90"/>
      <c r="J44" s="90"/>
      <c r="K44" s="90"/>
      <c r="L44" s="90"/>
      <c r="M44" s="90"/>
      <c r="N44" s="90"/>
      <c r="O44" s="90"/>
      <c r="P44" s="90"/>
      <c r="Q44" s="90"/>
      <c r="R44" s="90"/>
      <c r="S44" s="90"/>
      <c r="T44" s="90"/>
      <c r="U44" s="90"/>
      <c r="V44" s="90"/>
      <c r="W44" s="90"/>
      <c r="X44" s="90"/>
      <c r="Y44" s="91"/>
      <c r="Z44" s="42"/>
      <c r="AA44" s="91"/>
      <c r="AB44" s="78"/>
      <c r="AC44" s="78"/>
    </row>
    <row r="45" spans="1:199">
      <c r="A45" s="11" t="s">
        <v>117</v>
      </c>
      <c r="B45" s="90">
        <v>25000</v>
      </c>
      <c r="C45" s="90">
        <v>0</v>
      </c>
      <c r="D45" s="90">
        <v>200000</v>
      </c>
      <c r="E45" s="90">
        <f t="shared" ref="E45:E52" si="16">+F45-SUM(B45:D45)</f>
        <v>75000</v>
      </c>
      <c r="F45" s="90">
        <v>300000</v>
      </c>
      <c r="G45" s="90">
        <v>35000</v>
      </c>
      <c r="H45" s="90">
        <v>0</v>
      </c>
      <c r="I45" s="90">
        <v>0</v>
      </c>
      <c r="J45" s="90">
        <f t="shared" ref="J45:J52" si="17">+K45-SUM(G45:I45)</f>
        <v>0</v>
      </c>
      <c r="K45" s="90">
        <v>35000</v>
      </c>
      <c r="L45" s="90">
        <v>50000</v>
      </c>
      <c r="M45" s="90">
        <v>20000</v>
      </c>
      <c r="N45" s="90">
        <v>0</v>
      </c>
      <c r="O45" s="90">
        <f t="shared" ref="O45:O52" si="18">+P45-SUM(L45:N45)</f>
        <v>10000</v>
      </c>
      <c r="P45" s="90">
        <v>80000</v>
      </c>
      <c r="Q45" s="90">
        <v>180000</v>
      </c>
      <c r="R45" s="90">
        <v>0</v>
      </c>
      <c r="S45" s="90">
        <v>110000</v>
      </c>
      <c r="T45" s="90">
        <f t="shared" ref="T45:T52" si="19">U45-SUM(Q45:S45)</f>
        <v>0</v>
      </c>
      <c r="U45" s="90">
        <v>290000</v>
      </c>
      <c r="V45" s="90">
        <v>50000</v>
      </c>
      <c r="W45" s="90">
        <v>0</v>
      </c>
      <c r="X45" s="90">
        <v>125000</v>
      </c>
      <c r="Y45" s="91"/>
      <c r="Z45" s="77"/>
      <c r="AA45" s="91"/>
      <c r="AB45" s="78"/>
      <c r="AC45" s="78"/>
    </row>
    <row r="46" spans="1:199">
      <c r="A46" s="11" t="s">
        <v>118</v>
      </c>
      <c r="B46" s="90">
        <v>-25000</v>
      </c>
      <c r="C46" s="90">
        <v>-74000</v>
      </c>
      <c r="D46" s="90">
        <v>-230000</v>
      </c>
      <c r="E46" s="90">
        <f t="shared" si="16"/>
        <v>-31</v>
      </c>
      <c r="F46" s="90">
        <v>-329031</v>
      </c>
      <c r="G46" s="90">
        <v>0</v>
      </c>
      <c r="H46" s="90">
        <v>-10000</v>
      </c>
      <c r="I46" s="90">
        <v>-15000</v>
      </c>
      <c r="J46" s="90">
        <f t="shared" si="17"/>
        <v>-20000</v>
      </c>
      <c r="K46" s="90">
        <v>-45000</v>
      </c>
      <c r="L46" s="90">
        <v>-100000</v>
      </c>
      <c r="M46" s="90">
        <v>0</v>
      </c>
      <c r="N46" s="90">
        <v>-10000</v>
      </c>
      <c r="O46" s="90">
        <f t="shared" si="18"/>
        <v>-20000</v>
      </c>
      <c r="P46" s="90">
        <v>-130000</v>
      </c>
      <c r="Q46" s="90">
        <v>-35000</v>
      </c>
      <c r="R46" s="90">
        <v>-10000</v>
      </c>
      <c r="S46" s="90">
        <v>-100000</v>
      </c>
      <c r="T46" s="90">
        <f t="shared" si="19"/>
        <v>-56250</v>
      </c>
      <c r="U46" s="90">
        <v>-201250</v>
      </c>
      <c r="V46" s="90">
        <v>-31250</v>
      </c>
      <c r="W46" s="90">
        <v>-47250</v>
      </c>
      <c r="X46" s="90">
        <v>-30250</v>
      </c>
      <c r="Y46" s="91"/>
      <c r="Z46" s="77"/>
      <c r="AA46" s="91"/>
      <c r="AB46" s="78"/>
      <c r="AC46" s="78"/>
    </row>
    <row r="47" spans="1:199">
      <c r="A47" s="11" t="s">
        <v>106</v>
      </c>
      <c r="B47" s="90">
        <v>0</v>
      </c>
      <c r="C47" s="90">
        <v>0</v>
      </c>
      <c r="D47" s="90">
        <v>0</v>
      </c>
      <c r="E47" s="90">
        <v>0</v>
      </c>
      <c r="F47" s="90">
        <v>0</v>
      </c>
      <c r="G47" s="90">
        <v>0</v>
      </c>
      <c r="H47" s="90">
        <v>0</v>
      </c>
      <c r="I47" s="90">
        <v>0</v>
      </c>
      <c r="J47" s="90">
        <v>0</v>
      </c>
      <c r="K47" s="90">
        <v>0</v>
      </c>
      <c r="L47" s="90">
        <v>0</v>
      </c>
      <c r="M47" s="90">
        <v>-5000</v>
      </c>
      <c r="N47" s="90">
        <v>0</v>
      </c>
      <c r="O47" s="90">
        <v>0</v>
      </c>
      <c r="P47" s="90">
        <v>-5000</v>
      </c>
      <c r="Q47" s="90">
        <v>-4000</v>
      </c>
      <c r="R47" s="90">
        <v>0</v>
      </c>
      <c r="S47" s="90">
        <v>0</v>
      </c>
      <c r="T47" s="90">
        <f t="shared" si="19"/>
        <v>0</v>
      </c>
      <c r="U47" s="90">
        <v>-4000</v>
      </c>
      <c r="V47" s="90">
        <v>0</v>
      </c>
      <c r="W47" s="90">
        <v>0</v>
      </c>
      <c r="X47" s="90">
        <v>0</v>
      </c>
      <c r="Y47" s="91"/>
      <c r="Z47" s="77"/>
      <c r="AA47" s="91"/>
      <c r="AB47" s="78"/>
      <c r="AC47" s="78"/>
    </row>
    <row r="48" spans="1:199">
      <c r="A48" s="11" t="s">
        <v>119</v>
      </c>
      <c r="B48" s="90">
        <v>0</v>
      </c>
      <c r="C48" s="90">
        <v>0</v>
      </c>
      <c r="D48" s="90">
        <v>0</v>
      </c>
      <c r="E48" s="90">
        <f t="shared" si="16"/>
        <v>0</v>
      </c>
      <c r="F48" s="90">
        <v>0</v>
      </c>
      <c r="G48" s="90">
        <v>0</v>
      </c>
      <c r="H48" s="90">
        <v>0</v>
      </c>
      <c r="I48" s="90">
        <v>0</v>
      </c>
      <c r="J48" s="90">
        <f t="shared" si="17"/>
        <v>0</v>
      </c>
      <c r="K48" s="90">
        <v>0</v>
      </c>
      <c r="L48" s="90">
        <v>0</v>
      </c>
      <c r="M48" s="90">
        <v>0</v>
      </c>
      <c r="N48" s="90">
        <v>0</v>
      </c>
      <c r="O48" s="90">
        <f t="shared" si="18"/>
        <v>0</v>
      </c>
      <c r="P48" s="90">
        <v>0</v>
      </c>
      <c r="Q48" s="90">
        <v>0</v>
      </c>
      <c r="R48" s="90">
        <v>0</v>
      </c>
      <c r="S48" s="90">
        <v>-593</v>
      </c>
      <c r="T48" s="90">
        <f t="shared" si="19"/>
        <v>-29</v>
      </c>
      <c r="U48" s="90">
        <v>-622</v>
      </c>
      <c r="V48" s="90">
        <v>0</v>
      </c>
      <c r="W48" s="90">
        <v>0</v>
      </c>
      <c r="X48" s="90">
        <f>0</f>
        <v>0</v>
      </c>
      <c r="Y48" s="91"/>
      <c r="Z48" s="77"/>
      <c r="AA48" s="91"/>
      <c r="AB48" s="78"/>
      <c r="AC48" s="78"/>
    </row>
    <row r="49" spans="1:29">
      <c r="A49" s="11" t="s">
        <v>120</v>
      </c>
      <c r="B49" s="90">
        <v>-57</v>
      </c>
      <c r="C49" s="90">
        <v>-50</v>
      </c>
      <c r="D49" s="90">
        <v>-50</v>
      </c>
      <c r="E49" s="90">
        <f t="shared" si="16"/>
        <v>-44</v>
      </c>
      <c r="F49" s="90">
        <v>-201</v>
      </c>
      <c r="G49" s="90">
        <v>-39</v>
      </c>
      <c r="H49" s="90">
        <v>-36</v>
      </c>
      <c r="I49" s="90">
        <v>-33</v>
      </c>
      <c r="J49" s="90">
        <f t="shared" si="17"/>
        <v>-34</v>
      </c>
      <c r="K49" s="90">
        <v>-142</v>
      </c>
      <c r="L49" s="90">
        <v>-43</v>
      </c>
      <c r="M49" s="90">
        <v>-37</v>
      </c>
      <c r="N49" s="90">
        <v>-40</v>
      </c>
      <c r="O49" s="90">
        <f t="shared" si="18"/>
        <v>-49</v>
      </c>
      <c r="P49" s="90">
        <v>-169</v>
      </c>
      <c r="Q49" s="90">
        <v>-60</v>
      </c>
      <c r="R49" s="90">
        <v>-72</v>
      </c>
      <c r="S49" s="90">
        <v>-90</v>
      </c>
      <c r="T49" s="90">
        <f t="shared" si="19"/>
        <v>-104</v>
      </c>
      <c r="U49" s="90">
        <v>-326</v>
      </c>
      <c r="V49" s="90">
        <v>-116</v>
      </c>
      <c r="W49" s="90">
        <v>-131</v>
      </c>
      <c r="X49" s="90">
        <v>-118</v>
      </c>
      <c r="Y49" s="91"/>
      <c r="Z49" s="77"/>
      <c r="AA49" s="91"/>
      <c r="AB49" s="78"/>
      <c r="AC49" s="78"/>
    </row>
    <row r="50" spans="1:29">
      <c r="A50" s="11" t="s">
        <v>121</v>
      </c>
      <c r="B50" s="90">
        <v>75</v>
      </c>
      <c r="C50" s="90">
        <v>99</v>
      </c>
      <c r="D50" s="90">
        <v>536</v>
      </c>
      <c r="E50" s="90">
        <f t="shared" si="16"/>
        <v>0</v>
      </c>
      <c r="F50" s="90">
        <v>710</v>
      </c>
      <c r="G50" s="90">
        <v>0</v>
      </c>
      <c r="H50" s="90">
        <v>0</v>
      </c>
      <c r="I50" s="90">
        <v>0</v>
      </c>
      <c r="J50" s="90">
        <f t="shared" si="17"/>
        <v>0</v>
      </c>
      <c r="K50" s="90">
        <v>0</v>
      </c>
      <c r="L50" s="90">
        <v>0</v>
      </c>
      <c r="M50" s="90">
        <v>85</v>
      </c>
      <c r="N50" s="90">
        <v>0</v>
      </c>
      <c r="O50" s="90">
        <f t="shared" si="18"/>
        <v>0</v>
      </c>
      <c r="P50" s="90">
        <v>85</v>
      </c>
      <c r="Q50" s="90">
        <v>0</v>
      </c>
      <c r="R50" s="90"/>
      <c r="S50" s="90"/>
      <c r="T50" s="90">
        <f t="shared" si="19"/>
        <v>0</v>
      </c>
      <c r="U50" s="90">
        <v>0</v>
      </c>
      <c r="V50" s="90">
        <v>0</v>
      </c>
      <c r="W50" s="90">
        <v>0</v>
      </c>
      <c r="X50" s="90">
        <f>0-SUM(V50:W50)</f>
        <v>0</v>
      </c>
      <c r="Y50" s="91"/>
      <c r="Z50" s="91"/>
      <c r="AA50" s="91"/>
      <c r="AB50" s="78"/>
      <c r="AC50" s="78"/>
    </row>
    <row r="51" spans="1:29">
      <c r="A51" s="11" t="s">
        <v>122</v>
      </c>
      <c r="B51" s="79">
        <v>0</v>
      </c>
      <c r="C51" s="79">
        <v>0</v>
      </c>
      <c r="D51" s="79">
        <v>0</v>
      </c>
      <c r="E51" s="79">
        <v>0</v>
      </c>
      <c r="F51" s="79">
        <v>0</v>
      </c>
      <c r="G51" s="79">
        <v>0</v>
      </c>
      <c r="H51" s="79">
        <v>0</v>
      </c>
      <c r="I51" s="79">
        <v>0</v>
      </c>
      <c r="J51" s="90">
        <f t="shared" si="17"/>
        <v>1060</v>
      </c>
      <c r="K51" s="90">
        <v>1060</v>
      </c>
      <c r="L51" s="90">
        <v>1102</v>
      </c>
      <c r="M51" s="90">
        <v>2698</v>
      </c>
      <c r="N51" s="90">
        <v>805</v>
      </c>
      <c r="O51" s="90">
        <f t="shared" si="18"/>
        <v>876</v>
      </c>
      <c r="P51" s="90">
        <v>5481</v>
      </c>
      <c r="Q51" s="90">
        <v>1514</v>
      </c>
      <c r="R51" s="90">
        <v>960</v>
      </c>
      <c r="S51" s="90">
        <v>1050</v>
      </c>
      <c r="T51" s="90">
        <f t="shared" si="19"/>
        <v>1499</v>
      </c>
      <c r="U51" s="90">
        <v>5023</v>
      </c>
      <c r="V51" s="90">
        <v>2765</v>
      </c>
      <c r="W51" s="90">
        <v>1103</v>
      </c>
      <c r="X51" s="90">
        <v>1226</v>
      </c>
      <c r="Y51" s="91"/>
      <c r="Z51" s="77"/>
      <c r="AA51" s="91"/>
      <c r="AB51" s="78"/>
      <c r="AC51" s="78"/>
    </row>
    <row r="52" spans="1:29">
      <c r="A52" s="11" t="s">
        <v>123</v>
      </c>
      <c r="B52" s="90">
        <v>-29015</v>
      </c>
      <c r="C52" s="90">
        <v>-28409</v>
      </c>
      <c r="D52" s="90">
        <v>-28196</v>
      </c>
      <c r="E52" s="90">
        <f t="shared" si="16"/>
        <v>-32737</v>
      </c>
      <c r="F52" s="90">
        <v>-118357</v>
      </c>
      <c r="G52" s="90">
        <v>-31385</v>
      </c>
      <c r="H52" s="90">
        <v>-28806</v>
      </c>
      <c r="I52" s="90">
        <v>-11521</v>
      </c>
      <c r="J52" s="90">
        <f t="shared" si="17"/>
        <v>-930</v>
      </c>
      <c r="K52" s="90">
        <v>-72642</v>
      </c>
      <c r="L52" s="90">
        <v>-42363</v>
      </c>
      <c r="M52" s="90">
        <v>-28275</v>
      </c>
      <c r="N52" s="90">
        <v>-29904</v>
      </c>
      <c r="O52" s="90">
        <f t="shared" si="18"/>
        <v>-31305</v>
      </c>
      <c r="P52" s="90">
        <v>-131847</v>
      </c>
      <c r="Q52" s="90">
        <v>-152227</v>
      </c>
      <c r="R52" s="90">
        <v>-8420</v>
      </c>
      <c r="S52" s="90">
        <v>-35233</v>
      </c>
      <c r="T52" s="90">
        <f t="shared" si="19"/>
        <v>-12046</v>
      </c>
      <c r="U52" s="90">
        <v>-207926</v>
      </c>
      <c r="V52" s="90">
        <v>-17994</v>
      </c>
      <c r="W52" s="90">
        <v>-41679</v>
      </c>
      <c r="X52" s="90">
        <v>-159235</v>
      </c>
      <c r="Y52" s="91"/>
      <c r="Z52" s="77"/>
      <c r="AA52" s="91"/>
      <c r="AB52" s="78"/>
      <c r="AC52" s="78"/>
    </row>
    <row r="53" spans="1:29">
      <c r="A53" s="140" t="s">
        <v>124</v>
      </c>
      <c r="B53" s="221">
        <f t="shared" ref="B53:X53" si="20">SUM(B45:B52)</f>
        <v>-28997</v>
      </c>
      <c r="C53" s="221">
        <f t="shared" si="20"/>
        <v>-102360</v>
      </c>
      <c r="D53" s="221">
        <f t="shared" si="20"/>
        <v>-57710</v>
      </c>
      <c r="E53" s="221">
        <f t="shared" si="20"/>
        <v>42188</v>
      </c>
      <c r="F53" s="221">
        <f t="shared" si="20"/>
        <v>-146879</v>
      </c>
      <c r="G53" s="221">
        <f t="shared" si="20"/>
        <v>3576</v>
      </c>
      <c r="H53" s="221">
        <f t="shared" si="20"/>
        <v>-38842</v>
      </c>
      <c r="I53" s="221">
        <f t="shared" si="20"/>
        <v>-26554</v>
      </c>
      <c r="J53" s="221">
        <f t="shared" si="20"/>
        <v>-19904</v>
      </c>
      <c r="K53" s="221">
        <f t="shared" si="20"/>
        <v>-81724</v>
      </c>
      <c r="L53" s="221">
        <f t="shared" si="20"/>
        <v>-91304</v>
      </c>
      <c r="M53" s="221">
        <f t="shared" si="20"/>
        <v>-10529</v>
      </c>
      <c r="N53" s="221">
        <f t="shared" si="20"/>
        <v>-39139</v>
      </c>
      <c r="O53" s="221">
        <f t="shared" si="20"/>
        <v>-40478</v>
      </c>
      <c r="P53" s="221">
        <f t="shared" si="20"/>
        <v>-181450</v>
      </c>
      <c r="Q53" s="221">
        <f t="shared" si="20"/>
        <v>-9773</v>
      </c>
      <c r="R53" s="221">
        <f t="shared" si="20"/>
        <v>-17532</v>
      </c>
      <c r="S53" s="221">
        <f t="shared" si="20"/>
        <v>-24866</v>
      </c>
      <c r="T53" s="221">
        <f t="shared" si="20"/>
        <v>-66930</v>
      </c>
      <c r="U53" s="221">
        <f t="shared" si="20"/>
        <v>-119101</v>
      </c>
      <c r="V53" s="221">
        <f t="shared" si="20"/>
        <v>3405</v>
      </c>
      <c r="W53" s="221">
        <f t="shared" si="20"/>
        <v>-87957</v>
      </c>
      <c r="X53" s="221">
        <f t="shared" si="20"/>
        <v>-63377</v>
      </c>
      <c r="Y53" s="91"/>
      <c r="Z53" s="25"/>
      <c r="AA53" s="91"/>
      <c r="AB53" s="78"/>
      <c r="AC53" s="78"/>
    </row>
    <row r="54" spans="1:29">
      <c r="A54" s="12"/>
      <c r="B54" s="90"/>
      <c r="C54" s="90"/>
      <c r="D54" s="90"/>
      <c r="E54" s="90"/>
      <c r="F54" s="90"/>
      <c r="G54" s="90"/>
      <c r="H54" s="90"/>
      <c r="I54" s="90"/>
      <c r="J54" s="90"/>
      <c r="K54" s="90"/>
      <c r="L54" s="90"/>
      <c r="M54" s="90"/>
      <c r="N54" s="90"/>
      <c r="O54" s="90"/>
      <c r="P54" s="90"/>
      <c r="Q54" s="90"/>
      <c r="R54" s="90"/>
      <c r="S54" s="90"/>
      <c r="T54" s="90"/>
      <c r="U54" s="90"/>
      <c r="V54" s="90"/>
      <c r="W54" s="90"/>
      <c r="X54" s="90"/>
      <c r="Y54" s="57"/>
      <c r="Z54" s="42"/>
      <c r="AA54" s="91"/>
      <c r="AB54" s="78"/>
      <c r="AC54" s="78"/>
    </row>
    <row r="55" spans="1:29">
      <c r="A55" s="12" t="s">
        <v>125</v>
      </c>
      <c r="B55" s="90">
        <v>-984</v>
      </c>
      <c r="C55" s="90">
        <v>-1253</v>
      </c>
      <c r="D55" s="90">
        <v>-2766</v>
      </c>
      <c r="E55" s="90">
        <f>+F55-SUM(B55:D55)</f>
        <v>56</v>
      </c>
      <c r="F55" s="90">
        <v>-4947</v>
      </c>
      <c r="G55" s="90">
        <v>-753</v>
      </c>
      <c r="H55" s="90">
        <v>-4612</v>
      </c>
      <c r="I55" s="90">
        <v>-4261</v>
      </c>
      <c r="J55" s="90">
        <f>+K55-SUM(G55:I55)</f>
        <v>3566</v>
      </c>
      <c r="K55" s="90">
        <v>-6060</v>
      </c>
      <c r="L55" s="90">
        <v>1282</v>
      </c>
      <c r="M55" s="90">
        <v>242</v>
      </c>
      <c r="N55" s="90">
        <v>-1812</v>
      </c>
      <c r="O55" s="90">
        <f>+P55-SUM(L55:N55)</f>
        <v>2317</v>
      </c>
      <c r="P55" s="90">
        <v>2029</v>
      </c>
      <c r="Q55" s="90">
        <v>-1212</v>
      </c>
      <c r="R55" s="90">
        <v>-632</v>
      </c>
      <c r="S55" s="90">
        <v>3174</v>
      </c>
      <c r="T55" s="90">
        <f t="shared" ref="T55" si="21">U55-SUM(Q55:S55)</f>
        <v>-5658</v>
      </c>
      <c r="U55" s="90">
        <v>-4328</v>
      </c>
      <c r="V55" s="90">
        <v>2700</v>
      </c>
      <c r="W55" s="90">
        <v>4646</v>
      </c>
      <c r="X55" s="90">
        <v>-1709</v>
      </c>
      <c r="Y55" s="91"/>
      <c r="Z55" s="77"/>
      <c r="AA55" s="91"/>
      <c r="AB55" s="78"/>
      <c r="AC55" s="78"/>
    </row>
    <row r="56" spans="1:29">
      <c r="A56" s="13" t="s">
        <v>51</v>
      </c>
      <c r="B56" s="90"/>
      <c r="C56" s="90"/>
      <c r="D56" s="90"/>
      <c r="E56" s="90"/>
      <c r="F56" s="90"/>
      <c r="G56" s="90"/>
      <c r="H56" s="90"/>
      <c r="I56" s="90"/>
      <c r="J56" s="90"/>
      <c r="K56" s="90"/>
      <c r="L56" s="90"/>
      <c r="M56" s="90"/>
      <c r="N56" s="90"/>
      <c r="O56" s="90"/>
      <c r="P56" s="90"/>
      <c r="Q56" s="90"/>
      <c r="R56" s="90"/>
      <c r="S56" s="90"/>
      <c r="T56" s="90"/>
      <c r="U56" s="90"/>
      <c r="V56" s="90"/>
      <c r="W56" s="90"/>
      <c r="X56" s="90"/>
      <c r="Y56" s="91"/>
      <c r="Z56" s="42"/>
      <c r="AA56" s="91"/>
      <c r="AB56" s="78"/>
      <c r="AC56" s="78"/>
    </row>
    <row r="57" spans="1:29">
      <c r="A57" s="10" t="s">
        <v>126</v>
      </c>
      <c r="B57" s="222">
        <f t="shared" ref="B57:X57" si="22">B53+B42+B33+B55</f>
        <v>-40805</v>
      </c>
      <c r="C57" s="222">
        <f t="shared" si="22"/>
        <v>-27178</v>
      </c>
      <c r="D57" s="222">
        <f t="shared" si="22"/>
        <v>-33843</v>
      </c>
      <c r="E57" s="222">
        <f t="shared" si="22"/>
        <v>20117</v>
      </c>
      <c r="F57" s="222">
        <f t="shared" si="22"/>
        <v>-81709</v>
      </c>
      <c r="G57" s="222">
        <f t="shared" si="22"/>
        <v>-28741</v>
      </c>
      <c r="H57" s="222">
        <f t="shared" si="22"/>
        <v>131</v>
      </c>
      <c r="I57" s="222">
        <f t="shared" si="22"/>
        <v>-16929</v>
      </c>
      <c r="J57" s="222">
        <f t="shared" si="22"/>
        <v>27350</v>
      </c>
      <c r="K57" s="222">
        <f t="shared" si="22"/>
        <v>-18189</v>
      </c>
      <c r="L57" s="222">
        <f t="shared" si="22"/>
        <v>-30656</v>
      </c>
      <c r="M57" s="222">
        <f t="shared" si="22"/>
        <v>5695</v>
      </c>
      <c r="N57" s="222">
        <f t="shared" si="22"/>
        <v>27299</v>
      </c>
      <c r="O57" s="222">
        <f t="shared" si="22"/>
        <v>17442</v>
      </c>
      <c r="P57" s="222">
        <f t="shared" si="22"/>
        <v>19780</v>
      </c>
      <c r="Q57" s="222">
        <f t="shared" si="22"/>
        <v>-28169</v>
      </c>
      <c r="R57" s="222">
        <f t="shared" si="22"/>
        <v>10173.360520000002</v>
      </c>
      <c r="S57" s="222">
        <f t="shared" si="22"/>
        <v>35858.639480000013</v>
      </c>
      <c r="T57" s="222">
        <f t="shared" si="22"/>
        <v>8134</v>
      </c>
      <c r="U57" s="222">
        <f t="shared" si="22"/>
        <v>25997</v>
      </c>
      <c r="V57" s="222">
        <f t="shared" si="22"/>
        <v>-12920.3160593545</v>
      </c>
      <c r="W57" s="222">
        <f t="shared" si="22"/>
        <v>12047.316059354489</v>
      </c>
      <c r="X57" s="222">
        <f t="shared" si="22"/>
        <v>9308</v>
      </c>
      <c r="Y57" s="91"/>
      <c r="Z57" s="23"/>
      <c r="AA57" s="91"/>
      <c r="AB57" s="78"/>
      <c r="AC57" s="78"/>
    </row>
    <row r="58" spans="1:29">
      <c r="A58" s="20" t="s">
        <v>127</v>
      </c>
      <c r="B58" s="223">
        <v>225519.47593517869</v>
      </c>
      <c r="C58" s="223">
        <f t="shared" ref="C58:Q58" si="23">B59</f>
        <v>184714.47593517869</v>
      </c>
      <c r="D58" s="223">
        <f t="shared" si="23"/>
        <v>157536.47593517869</v>
      </c>
      <c r="E58" s="223">
        <f t="shared" si="23"/>
        <v>123693.47593517869</v>
      </c>
      <c r="F58" s="223">
        <v>225519.47593517869</v>
      </c>
      <c r="G58" s="223">
        <f t="shared" si="23"/>
        <v>143810.47593517869</v>
      </c>
      <c r="H58" s="223">
        <f t="shared" si="23"/>
        <v>115069.47593517869</v>
      </c>
      <c r="I58" s="223">
        <f t="shared" si="23"/>
        <v>115200.47593517869</v>
      </c>
      <c r="J58" s="223">
        <f t="shared" si="23"/>
        <v>98271.475935178692</v>
      </c>
      <c r="K58" s="223">
        <f>F59</f>
        <v>143810.47593517869</v>
      </c>
      <c r="L58" s="223">
        <f t="shared" si="23"/>
        <v>125621.47593517869</v>
      </c>
      <c r="M58" s="223">
        <f t="shared" si="23"/>
        <v>94965.475935178692</v>
      </c>
      <c r="N58" s="223">
        <f t="shared" si="23"/>
        <v>100660.47593517869</v>
      </c>
      <c r="O58" s="223">
        <f t="shared" si="23"/>
        <v>127959.47593517869</v>
      </c>
      <c r="P58" s="223">
        <f>K59</f>
        <v>125621.47593517869</v>
      </c>
      <c r="Q58" s="223">
        <f t="shared" si="23"/>
        <v>145401.47593517869</v>
      </c>
      <c r="R58" s="223">
        <f>Q59</f>
        <v>117232.47593517869</v>
      </c>
      <c r="S58" s="223">
        <f>R59</f>
        <v>127405.83645517869</v>
      </c>
      <c r="T58" s="223">
        <f>S59</f>
        <v>163264.47593517869</v>
      </c>
      <c r="U58" s="223">
        <f>P59</f>
        <v>145401.47593517869</v>
      </c>
      <c r="V58" s="223">
        <f>T59</f>
        <v>171398.47593517869</v>
      </c>
      <c r="W58" s="223">
        <f>V59</f>
        <v>158478.1598758242</v>
      </c>
      <c r="X58" s="223">
        <f>W59</f>
        <v>170525.47593517869</v>
      </c>
      <c r="Y58" s="91"/>
      <c r="Z58" s="23"/>
      <c r="AA58" s="91"/>
      <c r="AB58" s="78"/>
      <c r="AC58" s="78"/>
    </row>
    <row r="59" spans="1:29">
      <c r="A59" s="140" t="s">
        <v>128</v>
      </c>
      <c r="B59" s="144">
        <f t="shared" ref="B59:Q59" si="24">SUM(B57:B58)</f>
        <v>184714.47593517869</v>
      </c>
      <c r="C59" s="144">
        <f t="shared" si="24"/>
        <v>157536.47593517869</v>
      </c>
      <c r="D59" s="144">
        <f t="shared" si="24"/>
        <v>123693.47593517869</v>
      </c>
      <c r="E59" s="144">
        <f t="shared" si="24"/>
        <v>143810.47593517869</v>
      </c>
      <c r="F59" s="144">
        <f t="shared" si="24"/>
        <v>143810.47593517869</v>
      </c>
      <c r="G59" s="144">
        <f t="shared" si="24"/>
        <v>115069.47593517869</v>
      </c>
      <c r="H59" s="144">
        <f t="shared" si="24"/>
        <v>115200.47593517869</v>
      </c>
      <c r="I59" s="144">
        <f t="shared" si="24"/>
        <v>98271.475935178692</v>
      </c>
      <c r="J59" s="144">
        <f t="shared" si="24"/>
        <v>125621.47593517869</v>
      </c>
      <c r="K59" s="144">
        <f t="shared" si="24"/>
        <v>125621.47593517869</v>
      </c>
      <c r="L59" s="144">
        <f t="shared" si="24"/>
        <v>94965.475935178692</v>
      </c>
      <c r="M59" s="144">
        <f t="shared" si="24"/>
        <v>100660.47593517869</v>
      </c>
      <c r="N59" s="144">
        <f t="shared" si="24"/>
        <v>127959.47593517869</v>
      </c>
      <c r="O59" s="144">
        <f t="shared" si="24"/>
        <v>145401.47593517869</v>
      </c>
      <c r="P59" s="144">
        <f t="shared" si="24"/>
        <v>145401.47593517869</v>
      </c>
      <c r="Q59" s="144">
        <f t="shared" si="24"/>
        <v>117232.47593517869</v>
      </c>
      <c r="R59" s="145">
        <f t="shared" ref="R59:S59" si="25">SUM(R57:R58)</f>
        <v>127405.83645517869</v>
      </c>
      <c r="S59" s="145">
        <f t="shared" si="25"/>
        <v>163264.47593517869</v>
      </c>
      <c r="T59" s="145">
        <f t="shared" ref="T59:X59" si="26">SUM(T57:T58)</f>
        <v>171398.47593517869</v>
      </c>
      <c r="U59" s="145">
        <f t="shared" si="26"/>
        <v>171398.47593517869</v>
      </c>
      <c r="V59" s="145">
        <f t="shared" si="26"/>
        <v>158478.1598758242</v>
      </c>
      <c r="W59" s="145">
        <f t="shared" si="26"/>
        <v>170525.47593517869</v>
      </c>
      <c r="X59" s="145">
        <f t="shared" si="26"/>
        <v>179833.47593517869</v>
      </c>
      <c r="Y59" s="91"/>
      <c r="Z59" s="23"/>
      <c r="AA59" s="91"/>
      <c r="AB59" s="78"/>
      <c r="AC59" s="78"/>
    </row>
    <row r="60" spans="1:29">
      <c r="A60" s="12"/>
      <c r="B60" s="88"/>
      <c r="C60" s="88"/>
      <c r="D60" s="88"/>
      <c r="E60" s="88"/>
      <c r="F60" s="88"/>
      <c r="G60" s="88"/>
      <c r="H60" s="88"/>
      <c r="I60" s="88"/>
      <c r="J60" s="88"/>
      <c r="K60" s="88"/>
      <c r="L60" s="88"/>
      <c r="M60" s="88"/>
      <c r="N60" s="88"/>
      <c r="O60" s="88"/>
      <c r="P60" s="88"/>
      <c r="Q60" s="88"/>
      <c r="R60" s="88"/>
      <c r="S60" s="88"/>
      <c r="T60" s="88"/>
      <c r="U60" s="88"/>
      <c r="V60" s="88"/>
      <c r="W60" s="88"/>
      <c r="X60" s="88"/>
    </row>
    <row r="61" spans="1:29">
      <c r="B61" s="88"/>
      <c r="C61" s="88"/>
      <c r="D61" s="88"/>
      <c r="E61" s="88"/>
      <c r="F61" s="88"/>
      <c r="G61" s="88"/>
      <c r="H61" s="88"/>
      <c r="I61" s="88"/>
      <c r="J61" s="88"/>
      <c r="K61" s="88"/>
      <c r="L61" s="88"/>
      <c r="M61" s="88"/>
      <c r="N61" s="88"/>
      <c r="O61" s="88"/>
      <c r="P61" s="88"/>
      <c r="Q61" s="88"/>
      <c r="R61" s="88"/>
      <c r="S61" s="88"/>
      <c r="T61" s="88"/>
      <c r="U61" s="88"/>
      <c r="V61" s="88"/>
      <c r="W61" s="88"/>
      <c r="X61" s="88"/>
    </row>
    <row r="62" spans="1:29">
      <c r="B62" s="88"/>
      <c r="C62" s="88"/>
      <c r="D62" s="88"/>
      <c r="E62" s="88"/>
      <c r="F62" s="88"/>
      <c r="G62" s="88"/>
      <c r="H62" s="88"/>
      <c r="I62" s="88"/>
      <c r="J62" s="88"/>
      <c r="K62" s="88"/>
      <c r="L62" s="88"/>
      <c r="M62" s="88"/>
      <c r="N62" s="88"/>
      <c r="O62" s="88"/>
      <c r="P62" s="88"/>
      <c r="Q62" s="88"/>
      <c r="R62" s="88"/>
      <c r="S62" s="88"/>
      <c r="T62" s="88"/>
      <c r="U62" s="88"/>
      <c r="V62" s="88"/>
      <c r="W62" s="88"/>
      <c r="X62" s="88"/>
    </row>
    <row r="63" spans="1:29">
      <c r="B63" s="79"/>
      <c r="C63" s="79"/>
      <c r="D63" s="79"/>
      <c r="E63" s="79"/>
      <c r="F63" s="79"/>
      <c r="G63" s="79"/>
      <c r="H63" s="79"/>
      <c r="I63" s="79"/>
      <c r="J63" s="79"/>
      <c r="K63" s="79"/>
      <c r="L63" s="79"/>
      <c r="M63" s="79"/>
      <c r="N63" s="79"/>
      <c r="O63" s="79"/>
      <c r="P63" s="79"/>
      <c r="Q63" s="79"/>
      <c r="R63" s="79"/>
      <c r="S63" s="79"/>
      <c r="T63" s="79"/>
      <c r="U63" s="79"/>
      <c r="V63" s="79"/>
      <c r="W63" s="79"/>
      <c r="X63" s="79"/>
    </row>
    <row r="64" spans="1:29">
      <c r="B64" s="82"/>
      <c r="C64" s="82"/>
      <c r="D64" s="82"/>
      <c r="E64" s="82"/>
      <c r="F64" s="82"/>
      <c r="G64" s="82"/>
      <c r="H64" s="82"/>
      <c r="I64" s="82"/>
      <c r="J64" s="82"/>
      <c r="K64" s="82"/>
      <c r="L64" s="82"/>
      <c r="M64" s="82"/>
      <c r="N64" s="82"/>
      <c r="O64" s="82"/>
      <c r="P64" s="82"/>
      <c r="Q64" s="82"/>
      <c r="R64" s="82"/>
      <c r="S64" s="82"/>
      <c r="T64" s="82"/>
      <c r="U64" s="82"/>
      <c r="V64" s="82"/>
      <c r="W64" s="82"/>
      <c r="X64" s="82"/>
    </row>
    <row r="68" spans="17:17">
      <c r="Q68" s="106"/>
    </row>
  </sheetData>
  <mergeCells count="2">
    <mergeCell ref="Y3:Y5"/>
    <mergeCell ref="Z3:Z5"/>
  </mergeCells>
  <hyperlinks>
    <hyperlink ref="X1" location="Contents!B6" display="Back" xr:uid="{41B69EF9-BCB3-4937-9F1A-3D650A65BF58}"/>
  </hyperlinks>
  <pageMargins left="0.25" right="0.25" top="0.75" bottom="0.75" header="0.3" footer="0.3"/>
  <pageSetup paperSize="9" scale="63" orientation="landscape" r:id="rId1"/>
  <rowBreaks count="2" manualBreakCount="2">
    <brk id="42" max="23" man="1"/>
    <brk id="61"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A79"/>
  <sheetViews>
    <sheetView showGridLines="0" view="pageBreakPreview" zoomScale="80" zoomScaleNormal="50" zoomScaleSheetLayoutView="80" workbookViewId="0">
      <pane xSplit="2" ySplit="4" topLeftCell="G5" activePane="bottomRight" state="frozen"/>
      <selection pane="bottomRight"/>
      <selection pane="bottomLeft" activeCell="W25" sqref="W25"/>
      <selection pane="topRight" activeCell="W25" sqref="W25"/>
    </sheetView>
  </sheetViews>
  <sheetFormatPr defaultColWidth="9.140625" defaultRowHeight="12.75" outlineLevelCol="1"/>
  <cols>
    <col min="1" max="1" width="2.42578125" style="6" customWidth="1"/>
    <col min="2" max="2" width="37.42578125" style="153" bestFit="1" customWidth="1"/>
    <col min="3" max="6" width="9.7109375" style="153" hidden="1" customWidth="1" outlineLevel="1"/>
    <col min="7" max="7" width="12.28515625" style="153" bestFit="1" customWidth="1" collapsed="1"/>
    <col min="8" max="11" width="10.7109375" style="153" hidden="1" customWidth="1" outlineLevel="1"/>
    <col min="12" max="12" width="12.28515625" style="153" bestFit="1" customWidth="1" collapsed="1"/>
    <col min="13" max="16" width="10.7109375" style="153" hidden="1" customWidth="1" outlineLevel="1"/>
    <col min="17" max="17" width="12.28515625" style="153" bestFit="1" customWidth="1" collapsed="1"/>
    <col min="18" max="21" width="10.7109375" style="153" bestFit="1" customWidth="1"/>
    <col min="22" max="22" width="12.28515625" style="153" bestFit="1" customWidth="1"/>
    <col min="23" max="23" width="29" style="153" customWidth="1"/>
    <col min="24" max="24" width="6.42578125" style="153" customWidth="1"/>
    <col min="25" max="25" width="18.5703125" style="153" bestFit="1" customWidth="1"/>
    <col min="26" max="26" width="20.140625" style="153" customWidth="1"/>
    <col min="27" max="27" width="9.140625" style="153" customWidth="1"/>
    <col min="28" max="16384" width="9.140625" style="153"/>
  </cols>
  <sheetData>
    <row r="1" spans="1:25" ht="15.75" thickBot="1">
      <c r="A1" s="6" t="s">
        <v>129</v>
      </c>
      <c r="B1" s="2"/>
      <c r="K1" s="105"/>
      <c r="L1" s="105"/>
      <c r="M1" s="105"/>
      <c r="N1" s="105"/>
      <c r="O1" s="105"/>
      <c r="P1" s="105"/>
      <c r="Q1" s="105"/>
      <c r="R1" s="105"/>
      <c r="S1" s="105"/>
      <c r="T1" s="105"/>
      <c r="U1" s="105"/>
      <c r="V1" s="189" t="s">
        <v>7</v>
      </c>
      <c r="Y1" s="105"/>
    </row>
    <row r="2" spans="1:25" ht="13.5" thickBot="1">
      <c r="B2" s="2"/>
      <c r="C2" s="247">
        <v>2021</v>
      </c>
      <c r="D2" s="248"/>
      <c r="E2" s="248"/>
      <c r="F2" s="248"/>
      <c r="G2" s="248"/>
      <c r="H2" s="247">
        <v>2022</v>
      </c>
      <c r="I2" s="248"/>
      <c r="J2" s="248"/>
      <c r="K2" s="248"/>
      <c r="L2" s="249"/>
      <c r="M2" s="247">
        <v>2023</v>
      </c>
      <c r="N2" s="248"/>
      <c r="O2" s="248"/>
      <c r="P2" s="248"/>
      <c r="Q2" s="249"/>
      <c r="R2" s="247">
        <v>2024</v>
      </c>
      <c r="S2" s="248"/>
      <c r="T2" s="248"/>
      <c r="U2" s="248"/>
      <c r="V2" s="249"/>
    </row>
    <row r="3" spans="1:25" s="158" customFormat="1" ht="13.5" thickBot="1">
      <c r="A3" s="154"/>
      <c r="B3" s="155"/>
      <c r="C3" s="156">
        <v>2021</v>
      </c>
      <c r="D3" s="156">
        <v>2021</v>
      </c>
      <c r="E3" s="156">
        <v>2021</v>
      </c>
      <c r="F3" s="156">
        <v>2021</v>
      </c>
      <c r="G3" s="156">
        <v>2021</v>
      </c>
      <c r="H3" s="157">
        <v>2022</v>
      </c>
      <c r="I3" s="157">
        <v>2022</v>
      </c>
      <c r="J3" s="157">
        <v>2022</v>
      </c>
      <c r="K3" s="157">
        <v>2022</v>
      </c>
      <c r="L3" s="157">
        <v>2022</v>
      </c>
      <c r="M3" s="156">
        <v>2023</v>
      </c>
      <c r="N3" s="156">
        <v>2023</v>
      </c>
      <c r="O3" s="156">
        <v>2023</v>
      </c>
      <c r="P3" s="156">
        <v>2023</v>
      </c>
      <c r="Q3" s="156">
        <v>2023</v>
      </c>
      <c r="R3" s="157">
        <v>2024</v>
      </c>
      <c r="S3" s="157">
        <v>2024</v>
      </c>
      <c r="T3" s="157">
        <v>2024</v>
      </c>
      <c r="U3" s="157">
        <v>2024</v>
      </c>
      <c r="V3" s="157">
        <v>2024</v>
      </c>
    </row>
    <row r="4" spans="1:25">
      <c r="B4" s="2"/>
      <c r="C4" s="4" t="s">
        <v>9</v>
      </c>
      <c r="D4" s="4" t="s">
        <v>10</v>
      </c>
      <c r="E4" s="4" t="s">
        <v>11</v>
      </c>
      <c r="F4" s="4" t="s">
        <v>12</v>
      </c>
      <c r="G4" s="4" t="s">
        <v>130</v>
      </c>
      <c r="H4" s="4" t="s">
        <v>9</v>
      </c>
      <c r="I4" s="4" t="s">
        <v>10</v>
      </c>
      <c r="J4" s="4" t="s">
        <v>11</v>
      </c>
      <c r="K4" s="4" t="s">
        <v>12</v>
      </c>
      <c r="L4" s="4" t="s">
        <v>131</v>
      </c>
      <c r="M4" s="4" t="s">
        <v>9</v>
      </c>
      <c r="N4" s="4" t="s">
        <v>10</v>
      </c>
      <c r="O4" s="4" t="s">
        <v>11</v>
      </c>
      <c r="P4" s="4" t="s">
        <v>12</v>
      </c>
      <c r="Q4" s="4" t="s">
        <v>132</v>
      </c>
      <c r="R4" s="4" t="s">
        <v>9</v>
      </c>
      <c r="S4" s="4" t="s">
        <v>10</v>
      </c>
      <c r="T4" s="4" t="s">
        <v>11</v>
      </c>
      <c r="U4" s="4" t="s">
        <v>12</v>
      </c>
      <c r="V4" s="4" t="s">
        <v>133</v>
      </c>
      <c r="W4" s="83"/>
    </row>
    <row r="5" spans="1:25">
      <c r="A5" s="250" t="s">
        <v>134</v>
      </c>
      <c r="B5" s="250"/>
      <c r="C5" s="159"/>
      <c r="D5" s="159"/>
      <c r="E5" s="159"/>
    </row>
    <row r="6" spans="1:25" ht="21" customHeight="1">
      <c r="A6" s="250" t="s">
        <v>42</v>
      </c>
      <c r="B6" s="250"/>
      <c r="C6" s="159"/>
      <c r="D6" s="159"/>
      <c r="E6" s="159"/>
    </row>
    <row r="7" spans="1:25" ht="21" hidden="1" customHeight="1">
      <c r="B7" s="53"/>
      <c r="C7" s="159"/>
      <c r="D7" s="159"/>
      <c r="E7" s="159"/>
    </row>
    <row r="8" spans="1:25" ht="21" hidden="1" customHeight="1">
      <c r="B8" s="53"/>
      <c r="C8" s="159"/>
      <c r="D8" s="159"/>
      <c r="E8" s="159"/>
    </row>
    <row r="9" spans="1:25" ht="21" hidden="1" customHeight="1">
      <c r="B9" s="53"/>
      <c r="C9" s="159"/>
      <c r="D9" s="159"/>
      <c r="E9" s="159"/>
    </row>
    <row r="10" spans="1:25" ht="21" hidden="1" customHeight="1">
      <c r="B10" s="53"/>
      <c r="C10" s="159"/>
      <c r="D10" s="159"/>
      <c r="E10" s="159"/>
    </row>
    <row r="11" spans="1:25" ht="21" hidden="1" customHeight="1">
      <c r="B11" s="2"/>
      <c r="C11" s="159"/>
      <c r="D11" s="159"/>
      <c r="E11" s="159"/>
    </row>
    <row r="12" spans="1:25" ht="21" hidden="1" customHeight="1">
      <c r="B12" s="1"/>
      <c r="C12" s="159"/>
      <c r="D12" s="159"/>
      <c r="E12" s="159"/>
    </row>
    <row r="13" spans="1:25" ht="21" hidden="1" customHeight="1">
      <c r="B13" s="53"/>
      <c r="C13" s="159"/>
      <c r="D13" s="159"/>
      <c r="E13" s="159"/>
    </row>
    <row r="14" spans="1:25" ht="21" hidden="1" customHeight="1">
      <c r="B14" s="53"/>
      <c r="C14" s="159"/>
      <c r="D14" s="159"/>
      <c r="E14" s="159"/>
    </row>
    <row r="15" spans="1:25" ht="21" hidden="1" customHeight="1">
      <c r="B15" s="53"/>
      <c r="C15" s="159"/>
      <c r="D15" s="159"/>
      <c r="E15" s="159"/>
    </row>
    <row r="16" spans="1:25">
      <c r="A16" s="1"/>
      <c r="B16" s="2"/>
      <c r="C16" s="159"/>
      <c r="D16" s="159"/>
      <c r="E16" s="159"/>
      <c r="P16" s="160"/>
    </row>
    <row r="17" spans="1:26" ht="14.25">
      <c r="A17" s="161"/>
      <c r="B17" s="140" t="s">
        <v>135</v>
      </c>
      <c r="C17" s="162">
        <f t="shared" ref="C17:V17" si="0">C23+C29+C35</f>
        <v>159093</v>
      </c>
      <c r="D17" s="162">
        <f t="shared" si="0"/>
        <v>163659</v>
      </c>
      <c r="E17" s="162">
        <f t="shared" si="0"/>
        <v>169862</v>
      </c>
      <c r="F17" s="162">
        <f t="shared" si="0"/>
        <v>169007</v>
      </c>
      <c r="G17" s="162">
        <f t="shared" si="0"/>
        <v>661621</v>
      </c>
      <c r="H17" s="162">
        <f t="shared" si="0"/>
        <v>180169</v>
      </c>
      <c r="I17" s="162">
        <f t="shared" si="0"/>
        <v>185481</v>
      </c>
      <c r="J17" s="162">
        <f t="shared" si="0"/>
        <v>195053</v>
      </c>
      <c r="K17" s="162">
        <f t="shared" si="0"/>
        <v>203990</v>
      </c>
      <c r="L17" s="162">
        <f t="shared" si="0"/>
        <v>764693</v>
      </c>
      <c r="M17" s="162">
        <f t="shared" si="0"/>
        <v>218801</v>
      </c>
      <c r="N17" s="162">
        <f t="shared" si="0"/>
        <v>222813</v>
      </c>
      <c r="O17" s="162">
        <f t="shared" si="0"/>
        <v>227862</v>
      </c>
      <c r="P17" s="162">
        <f t="shared" si="0"/>
        <v>232065</v>
      </c>
      <c r="Q17" s="162">
        <f t="shared" si="0"/>
        <v>901541</v>
      </c>
      <c r="R17" s="162">
        <f t="shared" si="0"/>
        <v>245781</v>
      </c>
      <c r="S17" s="162">
        <f t="shared" si="0"/>
        <v>254580</v>
      </c>
      <c r="T17" s="162">
        <f t="shared" si="0"/>
        <v>268071</v>
      </c>
      <c r="U17" s="162">
        <f t="shared" si="0"/>
        <v>273742</v>
      </c>
      <c r="V17" s="162">
        <f t="shared" si="0"/>
        <v>1042174</v>
      </c>
      <c r="W17" s="163"/>
      <c r="Z17" s="163"/>
    </row>
    <row r="18" spans="1:26">
      <c r="B18" s="53" t="s">
        <v>136</v>
      </c>
      <c r="C18" s="164">
        <v>3.6038265422410953E-2</v>
      </c>
      <c r="D18" s="164">
        <v>0.16240038638010135</v>
      </c>
      <c r="E18" s="164">
        <v>0.12850765971211953</v>
      </c>
      <c r="F18" s="164">
        <v>0.12012058622648691</v>
      </c>
      <c r="G18" s="164">
        <v>0.11055887067670445</v>
      </c>
      <c r="H18" s="164">
        <f t="shared" ref="H18:J18" si="1">H17/C17-1</f>
        <v>0.13247597317292392</v>
      </c>
      <c r="I18" s="164">
        <f t="shared" si="1"/>
        <v>0.13333822154601949</v>
      </c>
      <c r="J18" s="164">
        <f t="shared" si="1"/>
        <v>0.14830273987118958</v>
      </c>
      <c r="K18" s="164">
        <f t="shared" ref="K18" si="2">K17/F17-1</f>
        <v>0.20699142639062296</v>
      </c>
      <c r="L18" s="164">
        <f t="shared" ref="L18" si="3">L17/G17-1</f>
        <v>0.15578707447314999</v>
      </c>
      <c r="M18" s="164">
        <f>M17/H17-1</f>
        <v>0.21442090481714393</v>
      </c>
      <c r="N18" s="164">
        <f>N17/I17-1</f>
        <v>0.20127128924256388</v>
      </c>
      <c r="O18" s="165">
        <f>O17/J17-1</f>
        <v>0.16820556464140513</v>
      </c>
      <c r="P18" s="164">
        <f t="shared" ref="P18" si="4">P17/K17-1</f>
        <v>0.13762929555370351</v>
      </c>
      <c r="Q18" s="164">
        <f t="shared" ref="Q18" si="5">Q17/L17-1</f>
        <v>0.17895809167862131</v>
      </c>
      <c r="R18" s="164">
        <f>R17/M17-1</f>
        <v>0.12330839438576602</v>
      </c>
      <c r="S18" s="164">
        <f>S17/N17-1</f>
        <v>0.14257247108561888</v>
      </c>
      <c r="T18" s="164">
        <f>T17/O17-1</f>
        <v>0.17646206914711526</v>
      </c>
      <c r="U18" s="164">
        <f>U17/P17-1</f>
        <v>0.17959192467627605</v>
      </c>
      <c r="V18" s="164">
        <f>V17/Q17-1</f>
        <v>0.15599179626883308</v>
      </c>
      <c r="W18" s="163"/>
      <c r="Z18" s="163"/>
    </row>
    <row r="19" spans="1:26">
      <c r="B19" s="53" t="s">
        <v>137</v>
      </c>
      <c r="C19" s="165">
        <v>2.7551097699270555E-2</v>
      </c>
      <c r="D19" s="165">
        <v>0.14889159851110234</v>
      </c>
      <c r="E19" s="165">
        <v>0.12610127163995721</v>
      </c>
      <c r="F19" s="165">
        <v>0.12222951818446059</v>
      </c>
      <c r="G19" s="165">
        <v>0.10510489414269042</v>
      </c>
      <c r="H19" s="165">
        <v>0.13961567030821898</v>
      </c>
      <c r="I19" s="165">
        <v>0.15033269885470735</v>
      </c>
      <c r="J19" s="165">
        <v>0.17187436580971149</v>
      </c>
      <c r="K19" s="165">
        <v>0.22975035140904332</v>
      </c>
      <c r="L19" s="165">
        <v>0.17357299666141079</v>
      </c>
      <c r="M19" s="165">
        <v>0.2324777889138252</v>
      </c>
      <c r="N19" s="165">
        <v>0.20843819543719944</v>
      </c>
      <c r="O19" s="165">
        <v>0.16420739184312994</v>
      </c>
      <c r="P19" s="165">
        <v>0.13404308666251508</v>
      </c>
      <c r="Q19" s="165">
        <v>0.18297434587289607</v>
      </c>
      <c r="R19" s="165">
        <v>0.12345030546140801</v>
      </c>
      <c r="S19" s="165">
        <v>0.1432362749567746</v>
      </c>
      <c r="T19" s="165">
        <v>0.17140954712138612</v>
      </c>
      <c r="U19" s="165">
        <v>0.18060042538682608</v>
      </c>
      <c r="V19" s="165">
        <v>0.15517292499254043</v>
      </c>
      <c r="W19" s="163"/>
      <c r="X19" s="160"/>
      <c r="Z19" s="163"/>
    </row>
    <row r="20" spans="1:26">
      <c r="B20" s="53" t="s">
        <v>138</v>
      </c>
      <c r="C20" s="166">
        <f t="shared" ref="C20:V20" si="6">ROUND(C26+C32+C38,0)</f>
        <v>64765</v>
      </c>
      <c r="D20" s="166">
        <f t="shared" si="6"/>
        <v>64269</v>
      </c>
      <c r="E20" s="166">
        <f t="shared" si="6"/>
        <v>67655</v>
      </c>
      <c r="F20" s="166">
        <f t="shared" si="6"/>
        <v>63906</v>
      </c>
      <c r="G20" s="166">
        <f t="shared" si="6"/>
        <v>260595</v>
      </c>
      <c r="H20" s="166">
        <f t="shared" si="6"/>
        <v>68223</v>
      </c>
      <c r="I20" s="166">
        <f t="shared" si="6"/>
        <v>65928</v>
      </c>
      <c r="J20" s="166">
        <f t="shared" si="6"/>
        <v>70530</v>
      </c>
      <c r="K20" s="166">
        <f t="shared" si="6"/>
        <v>73310</v>
      </c>
      <c r="L20" s="166">
        <f t="shared" si="6"/>
        <v>277991</v>
      </c>
      <c r="M20" s="166">
        <f t="shared" si="6"/>
        <v>81698</v>
      </c>
      <c r="N20" s="167">
        <f t="shared" si="6"/>
        <v>83106</v>
      </c>
      <c r="O20" s="167">
        <f t="shared" si="6"/>
        <v>87295</v>
      </c>
      <c r="P20" s="166">
        <f t="shared" si="6"/>
        <v>87441</v>
      </c>
      <c r="Q20" s="166">
        <f t="shared" si="6"/>
        <v>339540</v>
      </c>
      <c r="R20" s="166">
        <f t="shared" si="6"/>
        <v>95193</v>
      </c>
      <c r="S20" s="166">
        <f t="shared" si="6"/>
        <v>95185</v>
      </c>
      <c r="T20" s="166">
        <f t="shared" si="6"/>
        <v>99656</v>
      </c>
      <c r="U20" s="166">
        <f t="shared" si="6"/>
        <v>102449</v>
      </c>
      <c r="V20" s="166">
        <f t="shared" si="6"/>
        <v>392483</v>
      </c>
      <c r="W20" s="163"/>
      <c r="X20" s="160"/>
      <c r="Z20" s="163"/>
    </row>
    <row r="21" spans="1:26">
      <c r="B21" s="53" t="s">
        <v>139</v>
      </c>
      <c r="C21" s="81">
        <f t="shared" ref="C21:D21" si="7">C20/C17</f>
        <v>0.4070889354025633</v>
      </c>
      <c r="D21" s="81">
        <f t="shared" si="7"/>
        <v>0.39270067640643047</v>
      </c>
      <c r="E21" s="81">
        <f t="shared" ref="E21:N21" si="8">E20/E17</f>
        <v>0.39829390917332896</v>
      </c>
      <c r="F21" s="81">
        <f t="shared" si="8"/>
        <v>0.37812634979616228</v>
      </c>
      <c r="G21" s="81">
        <f t="shared" si="8"/>
        <v>0.39387353182562224</v>
      </c>
      <c r="H21" s="81">
        <f t="shared" si="8"/>
        <v>0.3786611459241046</v>
      </c>
      <c r="I21" s="81">
        <f t="shared" si="8"/>
        <v>0.35544341468937518</v>
      </c>
      <c r="J21" s="81">
        <f t="shared" ref="J21" si="9">J20/J17</f>
        <v>0.3615940282897469</v>
      </c>
      <c r="K21" s="81">
        <f t="shared" si="8"/>
        <v>0.35938036178244032</v>
      </c>
      <c r="L21" s="81">
        <f t="shared" si="8"/>
        <v>0.36353281643744612</v>
      </c>
      <c r="M21" s="81">
        <f t="shared" si="8"/>
        <v>0.37338951832944089</v>
      </c>
      <c r="N21" s="81">
        <f t="shared" si="8"/>
        <v>0.37298541826554105</v>
      </c>
      <c r="O21" s="81">
        <f t="shared" ref="O21:R21" si="10">O20/O17</f>
        <v>0.38310468616969923</v>
      </c>
      <c r="P21" s="81">
        <f t="shared" si="10"/>
        <v>0.37679529442182147</v>
      </c>
      <c r="Q21" s="81">
        <f t="shared" si="10"/>
        <v>0.37662180644030607</v>
      </c>
      <c r="R21" s="81">
        <f t="shared" si="10"/>
        <v>0.38730821340949872</v>
      </c>
      <c r="S21" s="81">
        <f t="shared" ref="S21:T21" si="11">S20/S17</f>
        <v>0.37389032916961268</v>
      </c>
      <c r="T21" s="81">
        <f t="shared" si="11"/>
        <v>0.3717522596625521</v>
      </c>
      <c r="U21" s="81">
        <f t="shared" ref="U21:V21" si="12">U20/U17</f>
        <v>0.37425385947351886</v>
      </c>
      <c r="V21" s="81">
        <f t="shared" si="12"/>
        <v>0.37660026060907298</v>
      </c>
      <c r="W21" s="163"/>
      <c r="X21" s="160"/>
      <c r="Z21" s="163"/>
    </row>
    <row r="22" spans="1:26">
      <c r="B22" s="53"/>
      <c r="W22" s="168"/>
      <c r="X22" s="160"/>
      <c r="Z22" s="163"/>
    </row>
    <row r="23" spans="1:26">
      <c r="A23" s="169"/>
      <c r="B23" s="169" t="s">
        <v>140</v>
      </c>
      <c r="C23" s="170">
        <v>91160</v>
      </c>
      <c r="D23" s="170">
        <v>94719</v>
      </c>
      <c r="E23" s="170">
        <v>98008</v>
      </c>
      <c r="F23" s="170">
        <f>G23-SUM(C23:E23)</f>
        <v>98112</v>
      </c>
      <c r="G23" s="170">
        <v>381999</v>
      </c>
      <c r="H23" s="170">
        <v>103266</v>
      </c>
      <c r="I23" s="170">
        <v>108557</v>
      </c>
      <c r="J23" s="170">
        <v>116198</v>
      </c>
      <c r="K23" s="170">
        <f>L23-SUM(H23:J23)</f>
        <v>120683</v>
      </c>
      <c r="L23" s="170">
        <v>448704</v>
      </c>
      <c r="M23" s="170">
        <v>125937</v>
      </c>
      <c r="N23" s="170">
        <v>128457</v>
      </c>
      <c r="O23" s="170">
        <v>136369</v>
      </c>
      <c r="P23" s="170">
        <f>Q23-SUM(M23:O23)</f>
        <v>139092</v>
      </c>
      <c r="Q23" s="170">
        <v>529855</v>
      </c>
      <c r="R23" s="170">
        <v>145139</v>
      </c>
      <c r="S23" s="170">
        <v>149297</v>
      </c>
      <c r="T23" s="170">
        <v>157574</v>
      </c>
      <c r="U23" s="170">
        <f>V23-SUM(R23:T23)</f>
        <v>162018</v>
      </c>
      <c r="V23" s="170">
        <v>614028</v>
      </c>
      <c r="W23" s="163"/>
      <c r="X23" s="160"/>
      <c r="Z23" s="163"/>
    </row>
    <row r="24" spans="1:26">
      <c r="B24" s="53" t="s">
        <v>136</v>
      </c>
      <c r="C24" s="164">
        <v>8.8620594943813469E-2</v>
      </c>
      <c r="D24" s="164">
        <v>0.16532769035814021</v>
      </c>
      <c r="E24" s="164">
        <v>0.11587990634961587</v>
      </c>
      <c r="F24" s="164">
        <v>0.10337679739550953</v>
      </c>
      <c r="G24" s="164">
        <v>0.11770781519735496</v>
      </c>
      <c r="H24" s="164">
        <f t="shared" ref="H24:J24" si="13">H23/C23-1</f>
        <v>0.13279947345326892</v>
      </c>
      <c r="I24" s="164">
        <f t="shared" si="13"/>
        <v>0.14609529239117802</v>
      </c>
      <c r="J24" s="164">
        <f t="shared" si="13"/>
        <v>0.18559709411476621</v>
      </c>
      <c r="K24" s="164">
        <f t="shared" ref="K24" si="14">K23/F23-1</f>
        <v>0.23005340834964128</v>
      </c>
      <c r="L24" s="164">
        <f t="shared" ref="L24" si="15">L23/G23-1</f>
        <v>0.17462087597087961</v>
      </c>
      <c r="M24" s="164">
        <f>M23/H23-1</f>
        <v>0.21953982917901338</v>
      </c>
      <c r="N24" s="165">
        <f>N23/I23-1</f>
        <v>0.18331383512808941</v>
      </c>
      <c r="O24" s="165">
        <f>O23/J23-1</f>
        <v>0.17359162808309958</v>
      </c>
      <c r="P24" s="164">
        <f t="shared" ref="P24" si="16">P23/K23-1</f>
        <v>0.15254012578407905</v>
      </c>
      <c r="Q24" s="164">
        <f t="shared" ref="Q24" si="17">Q23/L23-1</f>
        <v>0.18085642205106267</v>
      </c>
      <c r="R24" s="164">
        <f>R23/M23-1</f>
        <v>0.1524730619277892</v>
      </c>
      <c r="S24" s="164">
        <f>S23/N23-1</f>
        <v>0.16223327650497832</v>
      </c>
      <c r="T24" s="164">
        <f>T23/O23-1</f>
        <v>0.15549721710946041</v>
      </c>
      <c r="U24" s="164">
        <f>U23/P23-1</f>
        <v>0.16482615822621005</v>
      </c>
      <c r="V24" s="164">
        <f>V23/Q23-1</f>
        <v>0.15886044295137358</v>
      </c>
      <c r="W24" s="163"/>
      <c r="X24" s="160"/>
      <c r="Z24" s="163"/>
    </row>
    <row r="25" spans="1:26">
      <c r="B25" s="53" t="s">
        <v>137</v>
      </c>
      <c r="C25" s="165">
        <v>7.5681343266865264E-2</v>
      </c>
      <c r="D25" s="165">
        <v>0.14878169746846748</v>
      </c>
      <c r="E25" s="165">
        <v>0.11282360503880762</v>
      </c>
      <c r="F25" s="165">
        <v>0.10481465490671593</v>
      </c>
      <c r="G25" s="165">
        <v>0.11019217286842697</v>
      </c>
      <c r="H25" s="165">
        <v>0.13914165971010073</v>
      </c>
      <c r="I25" s="165">
        <v>0.15940735033532616</v>
      </c>
      <c r="J25" s="165">
        <v>0.20256649564599694</v>
      </c>
      <c r="K25" s="165">
        <v>0.24575108489288588</v>
      </c>
      <c r="L25" s="165">
        <v>0.18782068621210746</v>
      </c>
      <c r="M25" s="165">
        <v>0.23277185001861889</v>
      </c>
      <c r="N25" s="165">
        <v>0.19209484764736695</v>
      </c>
      <c r="O25" s="165">
        <v>0.17591072034844712</v>
      </c>
      <c r="P25" s="165">
        <v>0.15347102861842088</v>
      </c>
      <c r="Q25" s="165">
        <v>0.1868770373276698</v>
      </c>
      <c r="R25" s="165">
        <v>0.15568992839069518</v>
      </c>
      <c r="S25" s="165">
        <v>0.16232883162159317</v>
      </c>
      <c r="T25" s="165">
        <v>0.15084870680266604</v>
      </c>
      <c r="U25" s="165">
        <v>0.1660767367047451</v>
      </c>
      <c r="V25" s="165">
        <v>0.15878010290735345</v>
      </c>
      <c r="W25" s="163"/>
      <c r="X25" s="160"/>
      <c r="Z25" s="163"/>
    </row>
    <row r="26" spans="1:26">
      <c r="B26" s="53" t="s">
        <v>138</v>
      </c>
      <c r="C26" s="166">
        <v>35067</v>
      </c>
      <c r="D26" s="166">
        <v>35360</v>
      </c>
      <c r="E26" s="166">
        <v>36518</v>
      </c>
      <c r="F26" s="166">
        <f>G26-SUM(C26:E26)</f>
        <v>35525</v>
      </c>
      <c r="G26" s="166">
        <v>142470</v>
      </c>
      <c r="H26" s="166">
        <v>38184</v>
      </c>
      <c r="I26" s="166">
        <v>37912</v>
      </c>
      <c r="J26" s="166">
        <v>41157</v>
      </c>
      <c r="K26" s="166">
        <f>L26-SUM(H26:J26)</f>
        <v>43717</v>
      </c>
      <c r="L26" s="166">
        <v>160970</v>
      </c>
      <c r="M26" s="166">
        <v>43613</v>
      </c>
      <c r="N26" s="166">
        <v>44135</v>
      </c>
      <c r="O26" s="167">
        <v>49934</v>
      </c>
      <c r="P26" s="166">
        <f>Q26-SUM(M26:O26)</f>
        <v>50388</v>
      </c>
      <c r="Q26" s="167">
        <v>188070</v>
      </c>
      <c r="R26" s="166">
        <v>52847</v>
      </c>
      <c r="S26" s="166">
        <v>53773</v>
      </c>
      <c r="T26" s="166">
        <v>57247</v>
      </c>
      <c r="U26" s="166">
        <f>V26-SUM(R26:T26)</f>
        <v>59811</v>
      </c>
      <c r="V26" s="166">
        <v>223678</v>
      </c>
      <c r="W26" s="163"/>
      <c r="X26" s="160"/>
      <c r="Z26" s="163"/>
    </row>
    <row r="27" spans="1:26">
      <c r="B27" s="53" t="s">
        <v>139</v>
      </c>
      <c r="C27" s="81">
        <f t="shared" ref="C27:D27" si="18">C26/C23</f>
        <v>0.38467529618253621</v>
      </c>
      <c r="D27" s="81">
        <f t="shared" si="18"/>
        <v>0.37331475205608167</v>
      </c>
      <c r="E27" s="81">
        <f t="shared" ref="E27:N27" si="19">E26/E23</f>
        <v>0.37260223655211822</v>
      </c>
      <c r="F27" s="81">
        <f t="shared" si="19"/>
        <v>0.36208618721461189</v>
      </c>
      <c r="G27" s="81">
        <f t="shared" si="19"/>
        <v>0.37295909151594636</v>
      </c>
      <c r="H27" s="81">
        <f t="shared" si="19"/>
        <v>0.36976352332810414</v>
      </c>
      <c r="I27" s="81">
        <f t="shared" si="19"/>
        <v>0.34923588529528266</v>
      </c>
      <c r="J27" s="81">
        <f t="shared" si="19"/>
        <v>0.35419714625036575</v>
      </c>
      <c r="K27" s="81">
        <f t="shared" si="19"/>
        <v>0.36224654673814871</v>
      </c>
      <c r="L27" s="81">
        <f t="shared" si="19"/>
        <v>0.35874429467978891</v>
      </c>
      <c r="M27" s="81">
        <f t="shared" si="19"/>
        <v>0.34630807467225677</v>
      </c>
      <c r="N27" s="81">
        <f t="shared" si="19"/>
        <v>0.34357800664813909</v>
      </c>
      <c r="O27" s="81">
        <f t="shared" ref="O27:R27" si="20">O26/O23</f>
        <v>0.36616826404828079</v>
      </c>
      <c r="P27" s="81">
        <f t="shared" si="20"/>
        <v>0.36226382538176172</v>
      </c>
      <c r="Q27" s="81">
        <f t="shared" si="20"/>
        <v>0.35494616451670741</v>
      </c>
      <c r="R27" s="81">
        <f t="shared" si="20"/>
        <v>0.36411302268859508</v>
      </c>
      <c r="S27" s="81">
        <f t="shared" ref="S27:T27" si="21">S26/S23</f>
        <v>0.3601746853587145</v>
      </c>
      <c r="T27" s="81">
        <f t="shared" si="21"/>
        <v>0.36330232144897001</v>
      </c>
      <c r="U27" s="81">
        <f t="shared" ref="U27:V27" si="22">U26/U23</f>
        <v>0.36916268562752286</v>
      </c>
      <c r="V27" s="81">
        <f t="shared" si="22"/>
        <v>0.3642798048297472</v>
      </c>
      <c r="W27" s="163"/>
      <c r="X27" s="160"/>
      <c r="Z27" s="163"/>
    </row>
    <row r="28" spans="1:26">
      <c r="B28" s="53"/>
      <c r="W28" s="168"/>
      <c r="X28" s="160"/>
      <c r="Z28" s="163"/>
    </row>
    <row r="29" spans="1:26">
      <c r="A29" s="169"/>
      <c r="B29" s="169" t="s">
        <v>141</v>
      </c>
      <c r="C29" s="170">
        <v>30265</v>
      </c>
      <c r="D29" s="170">
        <v>28250</v>
      </c>
      <c r="E29" s="170">
        <v>27341</v>
      </c>
      <c r="F29" s="170">
        <f>G29-SUM(C29:E29)</f>
        <v>26530</v>
      </c>
      <c r="G29" s="170">
        <v>112386</v>
      </c>
      <c r="H29" s="170">
        <v>26156</v>
      </c>
      <c r="I29" s="170">
        <v>23051</v>
      </c>
      <c r="J29" s="170">
        <v>22820</v>
      </c>
      <c r="K29" s="170">
        <f>L29-SUM(H29:J29)</f>
        <v>25324</v>
      </c>
      <c r="L29" s="170">
        <v>97351</v>
      </c>
      <c r="M29" s="170">
        <v>26703</v>
      </c>
      <c r="N29" s="170">
        <v>27156</v>
      </c>
      <c r="O29" s="170">
        <v>26177</v>
      </c>
      <c r="P29" s="170">
        <f>Q29-SUM(M29:O29)</f>
        <v>25958</v>
      </c>
      <c r="Q29" s="170">
        <v>105994</v>
      </c>
      <c r="R29" s="170">
        <v>26250</v>
      </c>
      <c r="S29" s="170">
        <v>28098</v>
      </c>
      <c r="T29" s="170">
        <v>30498</v>
      </c>
      <c r="U29" s="170">
        <f>V29-SUM(R29:T29)</f>
        <v>31560</v>
      </c>
      <c r="V29" s="170">
        <v>116406</v>
      </c>
      <c r="W29" s="163"/>
      <c r="X29" s="160"/>
      <c r="Z29" s="163"/>
    </row>
    <row r="30" spans="1:26">
      <c r="B30" s="53" t="s">
        <v>136</v>
      </c>
      <c r="C30" s="165">
        <v>0.1197232602020053</v>
      </c>
      <c r="D30" s="165">
        <v>0.13099527584274151</v>
      </c>
      <c r="E30" s="165">
        <v>8.8766773989074288E-2</v>
      </c>
      <c r="F30" s="165">
        <v>9.6457595713837385E-2</v>
      </c>
      <c r="G30" s="165">
        <v>0.10927305927059172</v>
      </c>
      <c r="H30" s="165">
        <f t="shared" ref="H30:J30" si="23">H29/C29-1</f>
        <v>-0.13576738807203037</v>
      </c>
      <c r="I30" s="165">
        <f t="shared" si="23"/>
        <v>-0.18403539823008852</v>
      </c>
      <c r="J30" s="165">
        <f t="shared" si="23"/>
        <v>-0.16535605866647163</v>
      </c>
      <c r="K30" s="165">
        <f t="shared" ref="K30" si="24">K29/F29-1</f>
        <v>-4.5457972107048605E-2</v>
      </c>
      <c r="L30" s="165">
        <f t="shared" ref="L30" si="25">L29/G29-1</f>
        <v>-0.13378000818607305</v>
      </c>
      <c r="M30" s="165">
        <f>M29/H29-1</f>
        <v>2.0912983636641735E-2</v>
      </c>
      <c r="N30" s="165">
        <f>N29/I29-1</f>
        <v>0.17808338033057125</v>
      </c>
      <c r="O30" s="165">
        <f>O29/J29-1</f>
        <v>0.1471078001752848</v>
      </c>
      <c r="P30" s="165">
        <f t="shared" ref="P30" si="26">P29/K29-1</f>
        <v>2.5035539409256069E-2</v>
      </c>
      <c r="Q30" s="165">
        <f t="shared" ref="Q30" si="27">Q29/L29-1</f>
        <v>8.8781830695113584E-2</v>
      </c>
      <c r="R30" s="165">
        <f>R29/M29-1</f>
        <v>-1.6964386024042266E-2</v>
      </c>
      <c r="S30" s="165">
        <f>S29/N29-1</f>
        <v>3.4688466637207149E-2</v>
      </c>
      <c r="T30" s="165">
        <f>T29/O29-1</f>
        <v>0.16506857164686561</v>
      </c>
      <c r="U30" s="165">
        <f>U29/P29-1</f>
        <v>0.215810154865552</v>
      </c>
      <c r="V30" s="165">
        <f>V29/Q29-1</f>
        <v>9.8231975394833748E-2</v>
      </c>
      <c r="W30" s="163"/>
      <c r="X30" s="160"/>
      <c r="Z30" s="163"/>
    </row>
    <row r="31" spans="1:26">
      <c r="B31" s="53" t="s">
        <v>137</v>
      </c>
      <c r="C31" s="165">
        <v>0.11964786617880518</v>
      </c>
      <c r="D31" s="165">
        <v>0.13081910310668454</v>
      </c>
      <c r="E31" s="165">
        <v>8.8771489417104776E-2</v>
      </c>
      <c r="F31" s="165">
        <v>9.6635385618634384E-2</v>
      </c>
      <c r="G31" s="165">
        <v>0.10925327271755325</v>
      </c>
      <c r="H31" s="165">
        <v>-0.13528861994991015</v>
      </c>
      <c r="I31" s="165">
        <v>-0.18351476682907242</v>
      </c>
      <c r="J31" s="165">
        <v>-0.16443188457151503</v>
      </c>
      <c r="K31" s="165">
        <v>-4.441811054714051E-2</v>
      </c>
      <c r="L31" s="165">
        <v>-0.1330496353975803</v>
      </c>
      <c r="M31" s="165">
        <v>2.1960152872428251E-2</v>
      </c>
      <c r="N31" s="165">
        <v>0.17893810898925566</v>
      </c>
      <c r="O31" s="165">
        <v>0.1475514413969059</v>
      </c>
      <c r="P31" s="165">
        <v>2.5272453156314212E-2</v>
      </c>
      <c r="Q31" s="165">
        <v>8.9431347937867667E-2</v>
      </c>
      <c r="R31" s="165">
        <v>-1.6967091702651205E-2</v>
      </c>
      <c r="S31" s="165">
        <v>3.4689135398779491E-2</v>
      </c>
      <c r="T31" s="165">
        <v>0.16508864771273069</v>
      </c>
      <c r="U31" s="165">
        <v>0.21577210604350339</v>
      </c>
      <c r="V31" s="165">
        <v>9.8227814988833595E-2</v>
      </c>
      <c r="W31" s="163"/>
      <c r="X31" s="160"/>
      <c r="Z31" s="163"/>
    </row>
    <row r="32" spans="1:26">
      <c r="B32" s="53" t="s">
        <v>138</v>
      </c>
      <c r="C32" s="166">
        <v>12874</v>
      </c>
      <c r="D32" s="166">
        <v>10565</v>
      </c>
      <c r="E32" s="166">
        <v>10284</v>
      </c>
      <c r="F32" s="166">
        <f>G32-SUM(C32:E32)</f>
        <v>8903</v>
      </c>
      <c r="G32" s="166">
        <v>42626</v>
      </c>
      <c r="H32" s="166">
        <v>8505</v>
      </c>
      <c r="I32" s="166">
        <v>5357</v>
      </c>
      <c r="J32" s="166">
        <v>5701</v>
      </c>
      <c r="K32" s="166">
        <f>L32-SUM(H32:J32)</f>
        <v>6837</v>
      </c>
      <c r="L32" s="166">
        <v>26400</v>
      </c>
      <c r="M32" s="166">
        <v>7894</v>
      </c>
      <c r="N32" s="167">
        <v>9616</v>
      </c>
      <c r="O32" s="167">
        <v>9644</v>
      </c>
      <c r="P32" s="166">
        <f>Q32-SUM(M32:O32)</f>
        <v>9567</v>
      </c>
      <c r="Q32" s="167">
        <v>36721</v>
      </c>
      <c r="R32" s="166">
        <v>8933</v>
      </c>
      <c r="S32" s="166">
        <v>9296</v>
      </c>
      <c r="T32" s="166">
        <v>10244</v>
      </c>
      <c r="U32" s="166">
        <f>V32-SUM(R32:T32)</f>
        <v>9999</v>
      </c>
      <c r="V32" s="166">
        <v>38472</v>
      </c>
      <c r="W32" s="163"/>
      <c r="X32" s="160"/>
      <c r="Z32" s="163"/>
    </row>
    <row r="33" spans="1:26">
      <c r="B33" s="53" t="s">
        <v>139</v>
      </c>
      <c r="C33" s="81">
        <f t="shared" ref="C33:D33" si="28">C32/C29</f>
        <v>0.42537584668759293</v>
      </c>
      <c r="D33" s="81">
        <f t="shared" si="28"/>
        <v>0.37398230088495577</v>
      </c>
      <c r="E33" s="81">
        <f t="shared" ref="E33:N33" si="29">E32/E29</f>
        <v>0.37613840020482059</v>
      </c>
      <c r="F33" s="81">
        <f t="shared" si="29"/>
        <v>0.33558235959291366</v>
      </c>
      <c r="G33" s="81">
        <f t="shared" si="29"/>
        <v>0.37928211698966063</v>
      </c>
      <c r="H33" s="81">
        <f t="shared" si="29"/>
        <v>0.32516439822602844</v>
      </c>
      <c r="I33" s="81">
        <f t="shared" si="29"/>
        <v>0.23239772677974926</v>
      </c>
      <c r="J33" s="81">
        <f t="shared" si="29"/>
        <v>0.24982471516213847</v>
      </c>
      <c r="K33" s="81">
        <f t="shared" ref="K33" si="30">K32/K29</f>
        <v>0.26998104564839676</v>
      </c>
      <c r="L33" s="81">
        <f t="shared" si="29"/>
        <v>0.27118365502152009</v>
      </c>
      <c r="M33" s="81">
        <f t="shared" si="29"/>
        <v>0.29562221473242706</v>
      </c>
      <c r="N33" s="81">
        <f t="shared" si="29"/>
        <v>0.35410222418618353</v>
      </c>
      <c r="O33" s="81">
        <f t="shared" ref="O33:R33" si="31">O32/O29</f>
        <v>0.36841502081980365</v>
      </c>
      <c r="P33" s="81">
        <f t="shared" si="31"/>
        <v>0.36855689960705756</v>
      </c>
      <c r="Q33" s="81">
        <f t="shared" si="31"/>
        <v>0.34644413834745363</v>
      </c>
      <c r="R33" s="81">
        <f t="shared" si="31"/>
        <v>0.34030476190476189</v>
      </c>
      <c r="S33" s="81">
        <f t="shared" ref="S33:T33" si="32">S32/S29</f>
        <v>0.330842052815147</v>
      </c>
      <c r="T33" s="81">
        <f t="shared" si="32"/>
        <v>0.33589087809036661</v>
      </c>
      <c r="U33" s="81">
        <f t="shared" ref="U33:V33" si="33">U32/U29</f>
        <v>0.31682509505703421</v>
      </c>
      <c r="V33" s="81">
        <f t="shared" si="33"/>
        <v>0.3304984279160868</v>
      </c>
      <c r="W33" s="163"/>
      <c r="X33" s="160"/>
      <c r="Z33" s="163"/>
    </row>
    <row r="34" spans="1:26">
      <c r="B34" s="53"/>
      <c r="C34" s="81"/>
      <c r="D34" s="81"/>
      <c r="E34" s="81"/>
      <c r="F34" s="81"/>
      <c r="G34" s="81"/>
      <c r="H34" s="81"/>
      <c r="I34" s="81"/>
      <c r="J34" s="81"/>
      <c r="K34" s="81"/>
      <c r="L34" s="81"/>
      <c r="M34" s="81"/>
      <c r="N34" s="81"/>
      <c r="O34" s="81"/>
      <c r="P34" s="81"/>
      <c r="Q34" s="81"/>
      <c r="R34" s="81"/>
      <c r="S34" s="81"/>
      <c r="T34" s="81"/>
      <c r="U34" s="81"/>
      <c r="V34" s="81"/>
      <c r="W34" s="168"/>
      <c r="X34" s="160"/>
      <c r="Z34" s="163"/>
    </row>
    <row r="35" spans="1:26">
      <c r="A35" s="169"/>
      <c r="B35" s="169" t="s">
        <v>142</v>
      </c>
      <c r="C35" s="170">
        <v>37668</v>
      </c>
      <c r="D35" s="170">
        <v>40690</v>
      </c>
      <c r="E35" s="170">
        <v>44513</v>
      </c>
      <c r="F35" s="170">
        <f>G35-SUM(C35:E35)</f>
        <v>44365</v>
      </c>
      <c r="G35" s="170">
        <v>167236</v>
      </c>
      <c r="H35" s="170">
        <v>50747</v>
      </c>
      <c r="I35" s="170">
        <v>53873</v>
      </c>
      <c r="J35" s="170">
        <v>56035</v>
      </c>
      <c r="K35" s="170">
        <f>L35-SUM(H35:J35)</f>
        <v>57983</v>
      </c>
      <c r="L35" s="170">
        <v>218638</v>
      </c>
      <c r="M35" s="170">
        <v>66161</v>
      </c>
      <c r="N35" s="170">
        <v>67200</v>
      </c>
      <c r="O35" s="170">
        <v>65316</v>
      </c>
      <c r="P35" s="170">
        <f>Q35-SUM(M35:O35)</f>
        <v>67015</v>
      </c>
      <c r="Q35" s="170">
        <v>265692</v>
      </c>
      <c r="R35" s="170">
        <v>74392</v>
      </c>
      <c r="S35" s="170">
        <v>77185</v>
      </c>
      <c r="T35" s="170">
        <v>79999</v>
      </c>
      <c r="U35" s="170">
        <f>V35-SUM(R35:T35)</f>
        <v>80164</v>
      </c>
      <c r="V35" s="170">
        <v>311740</v>
      </c>
      <c r="W35" s="163"/>
      <c r="X35" s="160"/>
      <c r="Z35" s="163"/>
    </row>
    <row r="36" spans="1:26">
      <c r="B36" s="53" t="s">
        <v>136</v>
      </c>
      <c r="C36" s="164">
        <v>-0.11972143675071856</v>
      </c>
      <c r="D36" s="164">
        <v>0.17822498914145068</v>
      </c>
      <c r="E36" s="164">
        <v>0.18458099369295056</v>
      </c>
      <c r="F36" s="164">
        <v>0.17470278285275498</v>
      </c>
      <c r="G36" s="164">
        <v>9.5408397196567796E-2</v>
      </c>
      <c r="H36" s="164">
        <f t="shared" ref="H36:L36" si="34">H35/C35-1</f>
        <v>0.34721779760008498</v>
      </c>
      <c r="I36" s="164">
        <f t="shared" si="34"/>
        <v>0.32398623740476773</v>
      </c>
      <c r="J36" s="164">
        <f t="shared" si="34"/>
        <v>0.25884573046076431</v>
      </c>
      <c r="K36" s="164">
        <f t="shared" si="34"/>
        <v>0.30695367970246812</v>
      </c>
      <c r="L36" s="164">
        <f t="shared" si="34"/>
        <v>0.30736205123298821</v>
      </c>
      <c r="M36" s="164">
        <f>M35/H35-1</f>
        <v>0.30374209312865785</v>
      </c>
      <c r="N36" s="164">
        <f>N35/I35-1</f>
        <v>0.24737809292224311</v>
      </c>
      <c r="O36" s="165">
        <f>O35/J35-1</f>
        <v>0.16562862496653885</v>
      </c>
      <c r="P36" s="164">
        <f t="shared" ref="P36" si="35">P35/K35-1</f>
        <v>0.15576979459496743</v>
      </c>
      <c r="Q36" s="164">
        <f t="shared" ref="Q36" si="36">Q35/L35-1</f>
        <v>0.21521418966510852</v>
      </c>
      <c r="R36" s="164">
        <f>R35/M35-1</f>
        <v>0.12440863953084147</v>
      </c>
      <c r="S36" s="164">
        <f>S35/N35-1</f>
        <v>0.14858630952380958</v>
      </c>
      <c r="T36" s="164">
        <f>T35/O35-1</f>
        <v>0.22479943658521639</v>
      </c>
      <c r="U36" s="164">
        <f>U35/P35-1</f>
        <v>0.19620980377527419</v>
      </c>
      <c r="V36" s="164">
        <f>V35/Q35-1</f>
        <v>0.17331346069885423</v>
      </c>
      <c r="W36" s="163"/>
      <c r="X36" s="160"/>
      <c r="Z36" s="163"/>
    </row>
    <row r="37" spans="1:26">
      <c r="B37" s="53" t="s">
        <v>137</v>
      </c>
      <c r="C37" s="165">
        <v>-0.1247819651204235</v>
      </c>
      <c r="D37" s="165">
        <v>0.16222161892348419</v>
      </c>
      <c r="E37" s="165">
        <v>0.18208213385117511</v>
      </c>
      <c r="F37" s="165">
        <v>0.179630377826143</v>
      </c>
      <c r="G37" s="165">
        <v>9.096420394757998E-2</v>
      </c>
      <c r="H37" s="165">
        <v>0.36164443510882993</v>
      </c>
      <c r="I37" s="165">
        <v>0.36098382483424607</v>
      </c>
      <c r="J37" s="165">
        <v>0.31086442959089888</v>
      </c>
      <c r="K37" s="165">
        <v>0.3583152470456985</v>
      </c>
      <c r="L37" s="165">
        <v>0.34708458121964569</v>
      </c>
      <c r="M37" s="165">
        <v>0.34038310088315971</v>
      </c>
      <c r="N37" s="165">
        <v>0.25399313670169343</v>
      </c>
      <c r="O37" s="165">
        <v>0.14672165384513214</v>
      </c>
      <c r="P37" s="165">
        <v>0.14111137679013397</v>
      </c>
      <c r="Q37" s="165">
        <v>0.21661558209284659</v>
      </c>
      <c r="R37" s="165">
        <v>0.11875525609073234</v>
      </c>
      <c r="S37" s="165">
        <v>0.15060409538538755</v>
      </c>
      <c r="T37" s="165">
        <v>0.21687034702300667</v>
      </c>
      <c r="U37" s="165">
        <v>0.19712123355249878</v>
      </c>
      <c r="V37" s="165">
        <v>0.17069665455809857</v>
      </c>
      <c r="W37" s="163"/>
      <c r="X37" s="160"/>
      <c r="Z37" s="163"/>
    </row>
    <row r="38" spans="1:26">
      <c r="B38" s="53" t="s">
        <v>138</v>
      </c>
      <c r="C38" s="166">
        <v>16824</v>
      </c>
      <c r="D38" s="166">
        <v>18344</v>
      </c>
      <c r="E38" s="166">
        <v>20853</v>
      </c>
      <c r="F38" s="166">
        <f>G38-SUM(C38:E38)</f>
        <v>19478</v>
      </c>
      <c r="G38" s="166">
        <v>75499</v>
      </c>
      <c r="H38" s="166">
        <v>21534</v>
      </c>
      <c r="I38" s="166">
        <v>22659</v>
      </c>
      <c r="J38" s="166">
        <v>23672</v>
      </c>
      <c r="K38" s="166">
        <f>L38-SUM(H38:J38)</f>
        <v>22756</v>
      </c>
      <c r="L38" s="166">
        <v>90621</v>
      </c>
      <c r="M38" s="166">
        <v>30191</v>
      </c>
      <c r="N38" s="167">
        <v>29355</v>
      </c>
      <c r="O38" s="167">
        <v>27717</v>
      </c>
      <c r="P38" s="166">
        <f>Q38-SUM(M38:O38)</f>
        <v>27486</v>
      </c>
      <c r="Q38" s="167">
        <v>114749</v>
      </c>
      <c r="R38" s="166">
        <v>33413</v>
      </c>
      <c r="S38" s="166">
        <v>32116</v>
      </c>
      <c r="T38" s="166">
        <v>32165</v>
      </c>
      <c r="U38" s="166">
        <f>V38-SUM(R38:T38)</f>
        <v>32639</v>
      </c>
      <c r="V38" s="166">
        <v>130333</v>
      </c>
      <c r="W38" s="163"/>
      <c r="X38" s="160"/>
      <c r="Z38" s="163"/>
    </row>
    <row r="39" spans="1:26">
      <c r="B39" s="53" t="s">
        <v>139</v>
      </c>
      <c r="C39" s="81">
        <f t="shared" ref="C39:D39" si="37">C38/C35</f>
        <v>0.44663905702453011</v>
      </c>
      <c r="D39" s="81">
        <f t="shared" si="37"/>
        <v>0.45082329810764316</v>
      </c>
      <c r="E39" s="81">
        <f t="shared" ref="E39:Q39" si="38">E38/E35</f>
        <v>0.46846988520207578</v>
      </c>
      <c r="F39" s="81">
        <f t="shared" si="38"/>
        <v>0.43903978361320861</v>
      </c>
      <c r="G39" s="81">
        <f t="shared" si="38"/>
        <v>0.45145184051280823</v>
      </c>
      <c r="H39" s="81">
        <f t="shared" si="38"/>
        <v>0.42434035509488244</v>
      </c>
      <c r="I39" s="81">
        <f t="shared" si="38"/>
        <v>0.42060030070721882</v>
      </c>
      <c r="J39" s="81">
        <f t="shared" ref="J39" si="39">J38/J35</f>
        <v>0.42245025430534489</v>
      </c>
      <c r="K39" s="81">
        <f t="shared" si="38"/>
        <v>0.3924598589241674</v>
      </c>
      <c r="L39" s="81">
        <f t="shared" si="38"/>
        <v>0.41447964214820843</v>
      </c>
      <c r="M39" s="81">
        <f t="shared" si="38"/>
        <v>0.45632623448859599</v>
      </c>
      <c r="N39" s="171">
        <f t="shared" si="38"/>
        <v>0.43683035714285712</v>
      </c>
      <c r="O39" s="171">
        <f t="shared" ref="O39" si="40">O38/O35</f>
        <v>0.42435237920264562</v>
      </c>
      <c r="P39" s="81">
        <f t="shared" si="38"/>
        <v>0.410146982018951</v>
      </c>
      <c r="Q39" s="81">
        <f t="shared" si="38"/>
        <v>0.43188729807446213</v>
      </c>
      <c r="R39" s="81">
        <f t="shared" ref="R39:S39" si="41">R38/R35</f>
        <v>0.44914775782342187</v>
      </c>
      <c r="S39" s="81">
        <f t="shared" si="41"/>
        <v>0.41609120943188443</v>
      </c>
      <c r="T39" s="81">
        <f t="shared" ref="T39:U39" si="42">T38/T35</f>
        <v>0.40206752584407307</v>
      </c>
      <c r="U39" s="81">
        <f t="shared" si="42"/>
        <v>0.40715283668479618</v>
      </c>
      <c r="V39" s="81">
        <f t="shared" ref="V39" si="43">V38/V35</f>
        <v>0.4180823763392571</v>
      </c>
      <c r="W39" s="163"/>
      <c r="X39" s="160"/>
      <c r="Z39" s="163"/>
    </row>
    <row r="40" spans="1:26">
      <c r="B40" s="2"/>
      <c r="C40" s="174"/>
      <c r="D40" s="174"/>
      <c r="E40" s="174"/>
      <c r="F40" s="174"/>
      <c r="G40" s="174"/>
      <c r="H40" s="174"/>
      <c r="I40" s="174"/>
      <c r="J40" s="174"/>
      <c r="K40" s="174"/>
      <c r="L40" s="174"/>
      <c r="M40" s="174"/>
      <c r="N40" s="174"/>
      <c r="O40" s="174"/>
      <c r="P40" s="174"/>
      <c r="Q40" s="174"/>
      <c r="R40" s="174"/>
      <c r="S40" s="174"/>
      <c r="T40" s="174"/>
      <c r="U40" s="174"/>
      <c r="V40" s="174"/>
      <c r="W40" s="173"/>
      <c r="X40" s="160"/>
      <c r="Z40" s="163"/>
    </row>
    <row r="41" spans="1:26">
      <c r="A41" s="175"/>
      <c r="B41" s="140" t="s">
        <v>143</v>
      </c>
      <c r="C41" s="162">
        <v>102322</v>
      </c>
      <c r="D41" s="162">
        <v>111405</v>
      </c>
      <c r="E41" s="162">
        <v>120463</v>
      </c>
      <c r="F41" s="162">
        <f>G41-SUM(C41:E41)</f>
        <v>126482</v>
      </c>
      <c r="G41" s="162">
        <v>460672</v>
      </c>
      <c r="H41" s="162">
        <v>149039</v>
      </c>
      <c r="I41" s="162">
        <v>161301</v>
      </c>
      <c r="J41" s="162">
        <v>166298</v>
      </c>
      <c r="K41" s="162">
        <f>L41-SUM(H41:J41)</f>
        <v>170713</v>
      </c>
      <c r="L41" s="162">
        <v>647351</v>
      </c>
      <c r="M41" s="162">
        <v>181842</v>
      </c>
      <c r="N41" s="162">
        <v>182183</v>
      </c>
      <c r="O41" s="162">
        <v>183109</v>
      </c>
      <c r="P41" s="162">
        <f>Q41-SUM(M41:O41)</f>
        <v>181993</v>
      </c>
      <c r="Q41" s="162">
        <v>729127</v>
      </c>
      <c r="R41" s="162">
        <v>190726</v>
      </c>
      <c r="S41" s="162">
        <v>193786</v>
      </c>
      <c r="T41" s="162">
        <v>204002</v>
      </c>
      <c r="U41" s="162">
        <f>V41-SUM(R41:T41)</f>
        <v>207684</v>
      </c>
      <c r="V41" s="176">
        <v>796198</v>
      </c>
      <c r="W41" s="163"/>
      <c r="X41" s="160"/>
      <c r="Z41" s="163"/>
    </row>
    <row r="42" spans="1:26">
      <c r="B42" s="53" t="s">
        <v>136</v>
      </c>
      <c r="C42" s="164">
        <v>0.1070095530720212</v>
      </c>
      <c r="D42" s="164">
        <v>0.36393687483930992</v>
      </c>
      <c r="E42" s="164">
        <v>0.33109827988781126</v>
      </c>
      <c r="F42" s="164">
        <v>0.28971149411484465</v>
      </c>
      <c r="G42" s="164">
        <v>0.2701920982466588</v>
      </c>
      <c r="H42" s="164">
        <f t="shared" ref="H42:L42" si="44">H41/C41-1</f>
        <v>0.45656847989679639</v>
      </c>
      <c r="I42" s="164">
        <f t="shared" si="44"/>
        <v>0.44787935909519327</v>
      </c>
      <c r="J42" s="164">
        <f t="shared" si="44"/>
        <v>0.38049027502220589</v>
      </c>
      <c r="K42" s="164">
        <f t="shared" si="44"/>
        <v>0.34970193387201332</v>
      </c>
      <c r="L42" s="164">
        <f t="shared" si="44"/>
        <v>0.40523192206168379</v>
      </c>
      <c r="M42" s="164">
        <f>M41/H41-1</f>
        <v>0.22009675319882716</v>
      </c>
      <c r="N42" s="164">
        <f>N41/I41-1</f>
        <v>0.12945982975926995</v>
      </c>
      <c r="O42" s="165">
        <f>O41/J41-1</f>
        <v>0.10108961021780183</v>
      </c>
      <c r="P42" s="164">
        <f t="shared" ref="P42:Q42" si="45">P41/K41-1</f>
        <v>6.6075811449626043E-2</v>
      </c>
      <c r="Q42" s="164">
        <f t="shared" si="45"/>
        <v>0.12632404985857759</v>
      </c>
      <c r="R42" s="164">
        <f>R41/M41-1</f>
        <v>4.8855599916410863E-2</v>
      </c>
      <c r="S42" s="164">
        <f>S41/N41-1</f>
        <v>6.3688708606181699E-2</v>
      </c>
      <c r="T42" s="164">
        <f>T41/O41-1</f>
        <v>0.1141014368490898</v>
      </c>
      <c r="U42" s="164">
        <f>U41/P41-1</f>
        <v>0.14116477007357431</v>
      </c>
      <c r="V42" s="164">
        <f>V41/Q41-1</f>
        <v>9.1988089866374523E-2</v>
      </c>
      <c r="W42" s="163"/>
      <c r="X42" s="160"/>
      <c r="Z42" s="163"/>
    </row>
    <row r="43" spans="1:26">
      <c r="B43" s="53" t="s">
        <v>137</v>
      </c>
      <c r="C43" s="165">
        <v>0.10005088587135669</v>
      </c>
      <c r="D43" s="165">
        <v>0.35135000790399151</v>
      </c>
      <c r="E43" s="165">
        <v>0.32679047851373277</v>
      </c>
      <c r="F43" s="165">
        <v>0.28887038058699699</v>
      </c>
      <c r="G43" s="165">
        <v>0.2642814773706359</v>
      </c>
      <c r="H43" s="165">
        <v>0.46000319655332511</v>
      </c>
      <c r="I43" s="165">
        <v>0.45982518231785119</v>
      </c>
      <c r="J43" s="165">
        <v>0.39445060262651221</v>
      </c>
      <c r="K43" s="165">
        <v>0.36177775208904817</v>
      </c>
      <c r="L43" s="165">
        <v>0.41584967954091967</v>
      </c>
      <c r="M43" s="165">
        <v>0.22708642115163968</v>
      </c>
      <c r="N43" s="165">
        <v>0.12810372930601188</v>
      </c>
      <c r="O43" s="165">
        <v>9.4307364295294516E-2</v>
      </c>
      <c r="P43" s="165">
        <v>6.2180304598040692E-2</v>
      </c>
      <c r="Q43" s="165">
        <v>0.12482576852105742</v>
      </c>
      <c r="R43" s="165">
        <v>4.6032380477481594E-2</v>
      </c>
      <c r="S43" s="165">
        <v>6.4228835077683399E-2</v>
      </c>
      <c r="T43" s="165">
        <v>0.11253231166890121</v>
      </c>
      <c r="U43" s="165">
        <v>0.14160598149923698</v>
      </c>
      <c r="V43" s="165">
        <v>9.1134898767386341E-2</v>
      </c>
      <c r="W43" s="163"/>
      <c r="X43" s="160"/>
      <c r="Z43" s="163"/>
    </row>
    <row r="44" spans="1:26">
      <c r="B44" s="53" t="s">
        <v>138</v>
      </c>
      <c r="C44" s="166">
        <v>37829</v>
      </c>
      <c r="D44" s="166">
        <v>40094</v>
      </c>
      <c r="E44" s="166">
        <v>44927</v>
      </c>
      <c r="F44" s="166">
        <f>G44-SUM(C44:E44)</f>
        <v>47914</v>
      </c>
      <c r="G44" s="166">
        <v>170764</v>
      </c>
      <c r="H44" s="166">
        <v>53469</v>
      </c>
      <c r="I44" s="166">
        <v>59647</v>
      </c>
      <c r="J44" s="166">
        <v>60359</v>
      </c>
      <c r="K44" s="166">
        <f>L44-SUM(H44:J44)</f>
        <v>63983</v>
      </c>
      <c r="L44" s="166">
        <v>237458</v>
      </c>
      <c r="M44" s="166">
        <v>67476</v>
      </c>
      <c r="N44" s="167">
        <v>68670</v>
      </c>
      <c r="O44" s="167">
        <v>67674</v>
      </c>
      <c r="P44" s="166">
        <f>Q44-SUM(M44:O44)</f>
        <v>64406</v>
      </c>
      <c r="Q44" s="167">
        <v>268226</v>
      </c>
      <c r="R44" s="166">
        <v>67890</v>
      </c>
      <c r="S44" s="166">
        <v>71075</v>
      </c>
      <c r="T44" s="166">
        <v>78611</v>
      </c>
      <c r="U44" s="166">
        <f>V44-SUM(R44:T44)</f>
        <v>80954</v>
      </c>
      <c r="V44" s="166">
        <v>298530</v>
      </c>
      <c r="W44" s="163"/>
      <c r="Z44" s="163"/>
    </row>
    <row r="45" spans="1:26">
      <c r="B45" s="53" t="s">
        <v>139</v>
      </c>
      <c r="C45" s="81">
        <f t="shared" ref="C45:H45" si="46">C44/C41</f>
        <v>0.36970543969038916</v>
      </c>
      <c r="D45" s="81">
        <f t="shared" si="46"/>
        <v>0.35989408015798213</v>
      </c>
      <c r="E45" s="81">
        <f t="shared" si="46"/>
        <v>0.3729526908677353</v>
      </c>
      <c r="F45" s="81">
        <f t="shared" si="46"/>
        <v>0.37882070175993421</v>
      </c>
      <c r="G45" s="81">
        <f t="shared" si="46"/>
        <v>0.37068456515698806</v>
      </c>
      <c r="H45" s="81">
        <f t="shared" si="46"/>
        <v>0.35875844577593785</v>
      </c>
      <c r="I45" s="81">
        <f t="shared" ref="I45" si="47">I44/I41</f>
        <v>0.36978692010588898</v>
      </c>
      <c r="J45" s="81">
        <f>J44/J41</f>
        <v>0.36295686057559323</v>
      </c>
      <c r="K45" s="81">
        <f t="shared" ref="K45:Q45" si="48">K44/K41</f>
        <v>0.37479863865083501</v>
      </c>
      <c r="L45" s="81">
        <f t="shared" si="48"/>
        <v>0.36681491184844078</v>
      </c>
      <c r="M45" s="81">
        <f t="shared" si="48"/>
        <v>0.37106938990992178</v>
      </c>
      <c r="N45" s="81">
        <f t="shared" si="48"/>
        <v>0.37692869257834155</v>
      </c>
      <c r="O45" s="81">
        <f t="shared" ref="O45" si="49">O44/O41</f>
        <v>0.3695831444658646</v>
      </c>
      <c r="P45" s="81">
        <f t="shared" si="48"/>
        <v>0.35389273213804928</v>
      </c>
      <c r="Q45" s="81">
        <f t="shared" si="48"/>
        <v>0.36787281228098806</v>
      </c>
      <c r="R45" s="81">
        <f t="shared" ref="R45:S45" si="50">R44/R41</f>
        <v>0.3559556641464719</v>
      </c>
      <c r="S45" s="81">
        <f t="shared" si="50"/>
        <v>0.36677056134086056</v>
      </c>
      <c r="T45" s="81">
        <f t="shared" ref="T45:U45" si="51">T44/T41</f>
        <v>0.38534426133077126</v>
      </c>
      <c r="U45" s="81">
        <f t="shared" si="51"/>
        <v>0.38979411028292982</v>
      </c>
      <c r="V45" s="81">
        <f t="shared" ref="V45" si="52">V44/V41</f>
        <v>0.37494442337207579</v>
      </c>
      <c r="W45" s="163"/>
      <c r="Z45" s="163"/>
    </row>
    <row r="46" spans="1:26">
      <c r="B46" s="53"/>
      <c r="W46" s="168"/>
      <c r="Z46" s="163"/>
    </row>
    <row r="47" spans="1:26">
      <c r="A47" s="161"/>
      <c r="B47" s="140" t="s">
        <v>144</v>
      </c>
      <c r="C47" s="177">
        <f t="shared" ref="C47:V47" si="53">+C41+C17</f>
        <v>261415</v>
      </c>
      <c r="D47" s="177">
        <f t="shared" si="53"/>
        <v>275064</v>
      </c>
      <c r="E47" s="177">
        <f t="shared" si="53"/>
        <v>290325</v>
      </c>
      <c r="F47" s="177">
        <f t="shared" si="53"/>
        <v>295489</v>
      </c>
      <c r="G47" s="177">
        <f t="shared" si="53"/>
        <v>1122293</v>
      </c>
      <c r="H47" s="177">
        <f t="shared" si="53"/>
        <v>329208</v>
      </c>
      <c r="I47" s="177">
        <f t="shared" si="53"/>
        <v>346782</v>
      </c>
      <c r="J47" s="177">
        <f t="shared" si="53"/>
        <v>361351</v>
      </c>
      <c r="K47" s="177">
        <f t="shared" si="53"/>
        <v>374703</v>
      </c>
      <c r="L47" s="177">
        <f t="shared" si="53"/>
        <v>1412044</v>
      </c>
      <c r="M47" s="177">
        <f t="shared" si="53"/>
        <v>400643</v>
      </c>
      <c r="N47" s="177">
        <f t="shared" si="53"/>
        <v>404996</v>
      </c>
      <c r="O47" s="177">
        <f t="shared" si="53"/>
        <v>410971</v>
      </c>
      <c r="P47" s="177">
        <f t="shared" si="53"/>
        <v>414058</v>
      </c>
      <c r="Q47" s="177">
        <f t="shared" si="53"/>
        <v>1630668</v>
      </c>
      <c r="R47" s="177">
        <f t="shared" si="53"/>
        <v>436507</v>
      </c>
      <c r="S47" s="177">
        <f t="shared" si="53"/>
        <v>448366</v>
      </c>
      <c r="T47" s="177">
        <f t="shared" si="53"/>
        <v>472073</v>
      </c>
      <c r="U47" s="177">
        <f t="shared" si="53"/>
        <v>481426</v>
      </c>
      <c r="V47" s="177">
        <f t="shared" si="53"/>
        <v>1838372</v>
      </c>
      <c r="W47" s="163"/>
      <c r="Z47" s="163"/>
    </row>
    <row r="48" spans="1:26">
      <c r="B48" s="53"/>
      <c r="W48" s="168"/>
      <c r="Z48" s="163"/>
    </row>
    <row r="49" spans="1:27">
      <c r="B49" s="53" t="s">
        <v>145</v>
      </c>
      <c r="W49" s="168"/>
      <c r="Z49" s="163"/>
    </row>
    <row r="50" spans="1:27">
      <c r="B50" s="53" t="s">
        <v>146</v>
      </c>
      <c r="W50" s="168"/>
      <c r="Z50" s="163"/>
    </row>
    <row r="51" spans="1:27">
      <c r="B51" s="53" t="s">
        <v>147</v>
      </c>
      <c r="W51" s="168"/>
      <c r="Z51" s="163"/>
    </row>
    <row r="52" spans="1:27">
      <c r="B52" s="53"/>
      <c r="W52" s="168"/>
      <c r="Z52" s="163"/>
    </row>
    <row r="53" spans="1:27" ht="14.25">
      <c r="B53" s="199" t="s">
        <v>148</v>
      </c>
      <c r="C53" s="6"/>
      <c r="D53" s="6"/>
      <c r="E53" s="6"/>
      <c r="F53" s="6"/>
      <c r="G53" s="6"/>
      <c r="H53" s="6"/>
      <c r="I53" s="6"/>
      <c r="J53" s="6"/>
      <c r="K53" s="6"/>
      <c r="L53" s="6"/>
      <c r="M53" s="6"/>
      <c r="N53" s="6"/>
      <c r="O53" s="6"/>
      <c r="P53" s="6"/>
      <c r="Q53" s="6"/>
      <c r="R53" s="6"/>
      <c r="S53" s="6"/>
      <c r="T53" s="6"/>
      <c r="U53" s="6"/>
      <c r="V53" s="6"/>
      <c r="W53" s="168"/>
      <c r="Z53" s="163"/>
    </row>
    <row r="54" spans="1:27">
      <c r="A54" s="175"/>
      <c r="B54" s="200" t="s">
        <v>140</v>
      </c>
      <c r="C54" s="201">
        <v>118368.74818935194</v>
      </c>
      <c r="D54" s="201">
        <v>122992.8981440388</v>
      </c>
      <c r="E54" s="201">
        <v>128642.32559993613</v>
      </c>
      <c r="F54" s="201">
        <v>127736.86740445091</v>
      </c>
      <c r="G54" s="198">
        <v>497740.83933777775</v>
      </c>
      <c r="H54" s="198">
        <v>135664.43661664976</v>
      </c>
      <c r="I54" s="198">
        <v>141898.90936728878</v>
      </c>
      <c r="J54" s="198">
        <v>149334.60774529996</v>
      </c>
      <c r="K54" s="198">
        <v>155864.80542770005</v>
      </c>
      <c r="L54" s="198">
        <v>582762.75915693864</v>
      </c>
      <c r="M54" s="198">
        <v>163576.43557199984</v>
      </c>
      <c r="N54" s="198">
        <v>164400.45304820029</v>
      </c>
      <c r="O54" s="198">
        <v>170789.64382329999</v>
      </c>
      <c r="P54" s="198">
        <v>174131.52984049957</v>
      </c>
      <c r="Q54" s="198">
        <v>672898.06228399975</v>
      </c>
      <c r="R54" s="198">
        <v>183059.98170439992</v>
      </c>
      <c r="S54" s="198">
        <v>185661.29559750002</v>
      </c>
      <c r="T54" s="198">
        <v>197045.9451325</v>
      </c>
      <c r="U54" s="198">
        <v>201548.44737689948</v>
      </c>
      <c r="V54" s="209">
        <v>767315.66981129942</v>
      </c>
      <c r="W54" s="163"/>
      <c r="X54" s="114"/>
      <c r="Y54" s="178"/>
      <c r="Z54" s="163"/>
      <c r="AA54" s="168"/>
    </row>
    <row r="55" spans="1:27">
      <c r="A55" s="180"/>
      <c r="B55" s="33" t="s">
        <v>24</v>
      </c>
      <c r="C55" s="181">
        <f>C54/$C$47</f>
        <v>0.45280013843640166</v>
      </c>
      <c r="D55" s="181">
        <f>D54/$D$47</f>
        <v>0.44714284000828464</v>
      </c>
      <c r="E55" s="181">
        <f>E54/$E$47</f>
        <v>0.44309765125268624</v>
      </c>
      <c r="F55" s="181">
        <f>F54/$F$47</f>
        <v>0.43228975496363964</v>
      </c>
      <c r="G55" s="181">
        <f>G54/$G$47</f>
        <v>0.44350346953761427</v>
      </c>
      <c r="H55" s="181">
        <f>H54/H$47</f>
        <v>0.4120933774897626</v>
      </c>
      <c r="I55" s="181">
        <f>I54/I$47</f>
        <v>0.40918764343965019</v>
      </c>
      <c r="J55" s="181">
        <f>J54/J$47</f>
        <v>0.41326745393066566</v>
      </c>
      <c r="K55" s="181">
        <f>K54/$K$47</f>
        <v>0.41596892853193074</v>
      </c>
      <c r="L55" s="181">
        <f t="shared" ref="L55:Q55" si="54">L54/L$47</f>
        <v>0.41270864021017661</v>
      </c>
      <c r="M55" s="181">
        <f t="shared" si="54"/>
        <v>0.40828477116035933</v>
      </c>
      <c r="N55" s="181">
        <f t="shared" si="54"/>
        <v>0.4059310537590502</v>
      </c>
      <c r="O55" s="181">
        <f t="shared" si="54"/>
        <v>0.41557590151932861</v>
      </c>
      <c r="P55" s="181">
        <f t="shared" si="54"/>
        <v>0.42054864255852942</v>
      </c>
      <c r="Q55" s="181">
        <f t="shared" si="54"/>
        <v>0.41265178582274242</v>
      </c>
      <c r="R55" s="181">
        <f t="shared" ref="R55:S55" si="55">R54/R$47</f>
        <v>0.41937467601756656</v>
      </c>
      <c r="S55" s="181">
        <f t="shared" si="55"/>
        <v>0.41408424277822142</v>
      </c>
      <c r="T55" s="181">
        <f t="shared" ref="T55:U55" si="56">T54/T$47</f>
        <v>0.4174056663535089</v>
      </c>
      <c r="U55" s="181">
        <f t="shared" si="56"/>
        <v>0.41864886270558604</v>
      </c>
      <c r="V55" s="181">
        <f t="shared" ref="V55" si="57">V54/V$47</f>
        <v>0.41738868401569401</v>
      </c>
      <c r="W55" s="163"/>
      <c r="X55" s="178"/>
      <c r="Y55" s="168"/>
      <c r="Z55" s="163"/>
    </row>
    <row r="56" spans="1:27">
      <c r="A56" s="180"/>
      <c r="B56" s="33" t="s">
        <v>149</v>
      </c>
      <c r="C56" s="181">
        <v>6.4607087272161134E-2</v>
      </c>
      <c r="D56" s="181">
        <f>D54/C54-1</f>
        <v>3.9065631979901427E-2</v>
      </c>
      <c r="E56" s="181">
        <f>E54/D54-1</f>
        <v>4.5932956627147581E-2</v>
      </c>
      <c r="F56" s="181">
        <f t="shared" ref="F56" si="58">F54/E54-1</f>
        <v>-7.038571413121808E-3</v>
      </c>
      <c r="G56" s="182" t="s">
        <v>16</v>
      </c>
      <c r="H56" s="182">
        <f>H54/F54-1</f>
        <v>6.2061716192694183E-2</v>
      </c>
      <c r="I56" s="182">
        <f>I54/H54-1</f>
        <v>4.5955099996146442E-2</v>
      </c>
      <c r="J56" s="182">
        <f>J54/I54-1</f>
        <v>5.2401377932826287E-2</v>
      </c>
      <c r="K56" s="182">
        <f t="shared" ref="K56" si="59">K54/J54-1</f>
        <v>4.3728629156998711E-2</v>
      </c>
      <c r="L56" s="182" t="s">
        <v>16</v>
      </c>
      <c r="M56" s="182">
        <f>M54/K54-1</f>
        <v>4.9476404395069951E-2</v>
      </c>
      <c r="N56" s="182">
        <f>N54/M54-1</f>
        <v>5.0375072260193665E-3</v>
      </c>
      <c r="O56" s="182">
        <f>O54/N54-1</f>
        <v>3.8863583747098751E-2</v>
      </c>
      <c r="P56" s="182">
        <f>P54/O54-1</f>
        <v>1.9567263812887425E-2</v>
      </c>
      <c r="Q56" s="182" t="s">
        <v>16</v>
      </c>
      <c r="R56" s="182">
        <f>R54/P54-1</f>
        <v>5.1274182636990684E-2</v>
      </c>
      <c r="S56" s="182">
        <f>S54/R54-1</f>
        <v>1.421017236470945E-2</v>
      </c>
      <c r="T56" s="182">
        <f>T54/S54-1</f>
        <v>6.1319455400554057E-2</v>
      </c>
      <c r="U56" s="182">
        <f>U54/T54-1</f>
        <v>2.2850012170368972E-2</v>
      </c>
      <c r="V56" s="182" t="s">
        <v>16</v>
      </c>
      <c r="W56" s="163"/>
      <c r="Y56" s="168"/>
      <c r="Z56" s="163"/>
    </row>
    <row r="57" spans="1:27">
      <c r="A57" s="180"/>
      <c r="B57" s="33" t="s">
        <v>150</v>
      </c>
      <c r="C57" s="181">
        <v>9.7758684483390201E-2</v>
      </c>
      <c r="D57" s="181">
        <v>0.22129997545118085</v>
      </c>
      <c r="E57" s="181">
        <v>0.17290641684358499</v>
      </c>
      <c r="F57" s="181">
        <v>0.1488638380054772</v>
      </c>
      <c r="G57" s="181">
        <v>0.15916009844795109</v>
      </c>
      <c r="H57" s="181">
        <f t="shared" ref="H57:J57" si="60">H54/C54-1</f>
        <v>0.14611701730282967</v>
      </c>
      <c r="I57" s="181">
        <f t="shared" si="60"/>
        <v>0.15371628369232249</v>
      </c>
      <c r="J57" s="181">
        <f t="shared" si="60"/>
        <v>0.1608512754170397</v>
      </c>
      <c r="K57" s="181">
        <f t="shared" ref="K57" si="61">K54/F54-1</f>
        <v>0.22020219060318857</v>
      </c>
      <c r="L57" s="181">
        <f t="shared" ref="L57" si="62">L54/G54-1</f>
        <v>0.17081563958520829</v>
      </c>
      <c r="M57" s="181">
        <f>M54/H54-1</f>
        <v>0.20574293198313787</v>
      </c>
      <c r="N57" s="181">
        <f t="shared" ref="N57:P57" si="63">N54/I54-1</f>
        <v>0.15857446530944697</v>
      </c>
      <c r="O57" s="181">
        <f t="shared" si="63"/>
        <v>0.14367089050512005</v>
      </c>
      <c r="P57" s="181">
        <f t="shared" si="63"/>
        <v>0.1171959530098845</v>
      </c>
      <c r="Q57" s="181">
        <f t="shared" ref="Q57" si="64">Q54/L54-1</f>
        <v>0.15466894840270262</v>
      </c>
      <c r="R57" s="181">
        <f>R54/M54-1</f>
        <v>0.11910973646215806</v>
      </c>
      <c r="S57" s="181">
        <f>S54/N54-1</f>
        <v>0.12932350340340193</v>
      </c>
      <c r="T57" s="181">
        <f>T54/O54-1</f>
        <v>0.15373473895387324</v>
      </c>
      <c r="U57" s="181">
        <f>U54/P54-1</f>
        <v>0.15744947259989717</v>
      </c>
      <c r="V57" s="181">
        <f>V54/Q54-1</f>
        <v>0.14031487504484774</v>
      </c>
      <c r="W57" s="163"/>
      <c r="Z57" s="163"/>
    </row>
    <row r="58" spans="1:27">
      <c r="A58" s="175"/>
      <c r="B58" s="200" t="s">
        <v>141</v>
      </c>
      <c r="C58" s="201">
        <v>62256.95429999999</v>
      </c>
      <c r="D58" s="201">
        <v>64548.337290000018</v>
      </c>
      <c r="E58" s="201">
        <v>65676.51857</v>
      </c>
      <c r="F58" s="201">
        <v>67653.553387259613</v>
      </c>
      <c r="G58" s="198">
        <v>260135.36354725959</v>
      </c>
      <c r="H58" s="198">
        <v>69547.860097327924</v>
      </c>
      <c r="I58" s="198">
        <v>71490.34009854187</v>
      </c>
      <c r="J58" s="198">
        <v>71740.345549999998</v>
      </c>
      <c r="K58" s="198">
        <v>76797.260920000001</v>
      </c>
      <c r="L58" s="198">
        <v>289575.80666586978</v>
      </c>
      <c r="M58" s="198">
        <v>82849.84683000001</v>
      </c>
      <c r="N58" s="198">
        <v>88182.248660000012</v>
      </c>
      <c r="O58" s="198">
        <v>92270.661389999994</v>
      </c>
      <c r="P58" s="198">
        <v>93838.342999999979</v>
      </c>
      <c r="Q58" s="198">
        <v>357141.09987999994</v>
      </c>
      <c r="R58" s="198">
        <v>97809.712980000011</v>
      </c>
      <c r="S58" s="198">
        <v>102955.02627000002</v>
      </c>
      <c r="T58" s="198">
        <v>108133.44466000002</v>
      </c>
      <c r="U58" s="198">
        <v>109749.13604</v>
      </c>
      <c r="V58" s="209">
        <v>418647.31995000003</v>
      </c>
      <c r="W58" s="163"/>
      <c r="X58" s="178"/>
      <c r="Y58" s="178"/>
      <c r="Z58" s="163"/>
      <c r="AA58" s="168"/>
    </row>
    <row r="59" spans="1:27">
      <c r="A59" s="180"/>
      <c r="B59" s="33" t="s">
        <v>24</v>
      </c>
      <c r="C59" s="181">
        <f>+C58/$C$47</f>
        <v>0.23815371841707625</v>
      </c>
      <c r="D59" s="181">
        <f>+D58/$D$47</f>
        <v>0.23466661318820353</v>
      </c>
      <c r="E59" s="181">
        <f>+E58/E$47</f>
        <v>0.22621723437526908</v>
      </c>
      <c r="F59" s="181">
        <f>+F58/F$47</f>
        <v>0.22895455799457717</v>
      </c>
      <c r="G59" s="181">
        <f>+G58/G$47</f>
        <v>0.23178917051719969</v>
      </c>
      <c r="H59" s="181">
        <f>+H58/H$47</f>
        <v>0.21125811066963113</v>
      </c>
      <c r="I59" s="181">
        <f>I58/I$47</f>
        <v>0.20615354919961784</v>
      </c>
      <c r="J59" s="181">
        <f>J58/J$47</f>
        <v>0.19853368483828743</v>
      </c>
      <c r="K59" s="181">
        <f t="shared" ref="K59:Q59" si="65">+K58/K$47</f>
        <v>0.20495502016263548</v>
      </c>
      <c r="L59" s="181">
        <f t="shared" si="65"/>
        <v>0.2050756255937278</v>
      </c>
      <c r="M59" s="181">
        <f t="shared" si="65"/>
        <v>0.20679219861572526</v>
      </c>
      <c r="N59" s="181">
        <f t="shared" si="65"/>
        <v>0.21773609778862016</v>
      </c>
      <c r="O59" s="181">
        <f t="shared" si="65"/>
        <v>0.22451866771621354</v>
      </c>
      <c r="P59" s="181">
        <f t="shared" si="65"/>
        <v>0.22663091402653729</v>
      </c>
      <c r="Q59" s="181">
        <f t="shared" si="65"/>
        <v>0.21901521332361948</v>
      </c>
      <c r="R59" s="181">
        <f t="shared" ref="R59:S59" si="66">+R58/R$47</f>
        <v>0.22407364138490335</v>
      </c>
      <c r="S59" s="181">
        <f t="shared" si="66"/>
        <v>0.22962273292354909</v>
      </c>
      <c r="T59" s="181">
        <f t="shared" ref="T59:U59" si="67">+T58/T$47</f>
        <v>0.22906085427465672</v>
      </c>
      <c r="U59" s="181">
        <f t="shared" si="67"/>
        <v>0.22796678210150678</v>
      </c>
      <c r="V59" s="181">
        <f t="shared" ref="V59" si="68">+V58/V$47</f>
        <v>0.22772720643591179</v>
      </c>
      <c r="W59" s="163"/>
      <c r="Z59" s="163"/>
    </row>
    <row r="60" spans="1:27">
      <c r="A60" s="180"/>
      <c r="B60" s="33" t="s">
        <v>149</v>
      </c>
      <c r="C60" s="181">
        <v>6.8810841346303553E-2</v>
      </c>
      <c r="D60" s="181">
        <f>D58/C58-1</f>
        <v>3.6805253577912866E-2</v>
      </c>
      <c r="E60" s="181">
        <f>E58/D58-1</f>
        <v>1.7478084291022711E-2</v>
      </c>
      <c r="F60" s="181">
        <f>F58/E58-1</f>
        <v>3.0102612932389583E-2</v>
      </c>
      <c r="G60" s="182" t="s">
        <v>16</v>
      </c>
      <c r="H60" s="182">
        <f>H58/F58-1</f>
        <v>2.8000106649609391E-2</v>
      </c>
      <c r="I60" s="182">
        <f>I58/H58-1</f>
        <v>2.7930118892163902E-2</v>
      </c>
      <c r="J60" s="182">
        <f>J58/I58-1</f>
        <v>3.4970522047248487E-3</v>
      </c>
      <c r="K60" s="182">
        <f>K58/J58-1</f>
        <v>7.0489141517663167E-2</v>
      </c>
      <c r="L60" s="182" t="s">
        <v>16</v>
      </c>
      <c r="M60" s="182">
        <f>M58/K58-1</f>
        <v>7.8812523226642339E-2</v>
      </c>
      <c r="N60" s="182">
        <f>N58/M58-1</f>
        <v>6.4362241259680042E-2</v>
      </c>
      <c r="O60" s="182">
        <f>O58/N58-1</f>
        <v>4.6363216998054568E-2</v>
      </c>
      <c r="P60" s="182">
        <f>P58/O58-1</f>
        <v>1.6990033304019381E-2</v>
      </c>
      <c r="Q60" s="182" t="s">
        <v>16</v>
      </c>
      <c r="R60" s="182">
        <f>R58/P58-1</f>
        <v>4.2321399260002224E-2</v>
      </c>
      <c r="S60" s="182">
        <f>S58/R58-1</f>
        <v>5.2605340852519555E-2</v>
      </c>
      <c r="T60" s="182">
        <f>T58/S58-1</f>
        <v>5.0297868667621648E-2</v>
      </c>
      <c r="U60" s="182">
        <f>U58/T58-1</f>
        <v>1.4941643495036461E-2</v>
      </c>
      <c r="V60" s="182" t="s">
        <v>16</v>
      </c>
      <c r="W60" s="163"/>
      <c r="Z60" s="163"/>
    </row>
    <row r="61" spans="1:27">
      <c r="A61" s="180"/>
      <c r="B61" s="33" t="s">
        <v>150</v>
      </c>
      <c r="C61" s="181">
        <v>8.7226576633477437E-2</v>
      </c>
      <c r="D61" s="181">
        <v>0.20621593786661863</v>
      </c>
      <c r="E61" s="181">
        <v>0.12871029220884123</v>
      </c>
      <c r="F61" s="181">
        <v>0.16145821987157549</v>
      </c>
      <c r="G61" s="181">
        <v>0.1449051141312041</v>
      </c>
      <c r="H61" s="181">
        <f t="shared" ref="H61:J61" si="69">H58/C58-1</f>
        <v>0.1171099016857613</v>
      </c>
      <c r="I61" s="181">
        <f t="shared" si="69"/>
        <v>0.10754735288305128</v>
      </c>
      <c r="J61" s="181">
        <f t="shared" si="69"/>
        <v>9.23286908628842E-2</v>
      </c>
      <c r="K61" s="181">
        <f t="shared" ref="K61" si="70">K58/F58-1</f>
        <v>0.13515487472476662</v>
      </c>
      <c r="L61" s="181">
        <f t="shared" ref="L61" si="71">L58/G58-1</f>
        <v>0.11317355209670166</v>
      </c>
      <c r="M61" s="181">
        <f>M58/H58-1</f>
        <v>0.19126378171890224</v>
      </c>
      <c r="N61" s="181">
        <f t="shared" ref="N61:O61" si="72">N58/I58-1</f>
        <v>0.23348481121295706</v>
      </c>
      <c r="O61" s="181">
        <f t="shared" si="72"/>
        <v>0.2861753129651603</v>
      </c>
      <c r="P61" s="181">
        <f t="shared" ref="P61" si="73">P58/K58-1</f>
        <v>0.2218970035630794</v>
      </c>
      <c r="Q61" s="181">
        <f t="shared" ref="Q61" si="74">Q58/L58-1</f>
        <v>0.23332506258746655</v>
      </c>
      <c r="R61" s="181">
        <f>R58/M58-1</f>
        <v>0.18056600853706128</v>
      </c>
      <c r="S61" s="181">
        <f>S58/N58-1</f>
        <v>0.16752552621966665</v>
      </c>
      <c r="T61" s="181">
        <f>T58/O58-1</f>
        <v>0.17191578591761547</v>
      </c>
      <c r="U61" s="181">
        <f>U58/P58-1</f>
        <v>0.16955534945880313</v>
      </c>
      <c r="V61" s="181">
        <f>V58/Q58-1</f>
        <v>0.1722182635677223</v>
      </c>
      <c r="W61" s="163"/>
      <c r="Z61" s="163"/>
    </row>
    <row r="62" spans="1:27">
      <c r="A62" s="175"/>
      <c r="B62" s="200" t="s">
        <v>151</v>
      </c>
      <c r="C62" s="201">
        <v>80788.873072383198</v>
      </c>
      <c r="D62" s="201">
        <v>87522.885930257893</v>
      </c>
      <c r="E62" s="201">
        <v>96006.384880064012</v>
      </c>
      <c r="F62" s="201">
        <v>100098.85978899083</v>
      </c>
      <c r="G62" s="198">
        <v>364417.00367169589</v>
      </c>
      <c r="H62" s="198">
        <v>123995.45277107442</v>
      </c>
      <c r="I62" s="198">
        <v>133393.1215039602</v>
      </c>
      <c r="J62" s="198">
        <v>140276.30279210003</v>
      </c>
      <c r="K62" s="198">
        <v>142040.53426130002</v>
      </c>
      <c r="L62" s="198">
        <v>539705.41132843459</v>
      </c>
      <c r="M62" s="198">
        <v>154216.77565230004</v>
      </c>
      <c r="N62" s="198">
        <v>152413.46229310002</v>
      </c>
      <c r="O62" s="198">
        <v>147910.47379330007</v>
      </c>
      <c r="P62" s="198">
        <v>146088.11682519998</v>
      </c>
      <c r="Q62" s="198">
        <v>600628.82856390008</v>
      </c>
      <c r="R62" s="198">
        <v>155637.76303360003</v>
      </c>
      <c r="S62" s="198">
        <v>159749.21223940016</v>
      </c>
      <c r="T62" s="198">
        <v>166894.03760399998</v>
      </c>
      <c r="U62" s="198">
        <v>170127.54717239991</v>
      </c>
      <c r="V62" s="209">
        <v>652408.56004940008</v>
      </c>
      <c r="W62" s="163"/>
      <c r="Y62" s="178"/>
      <c r="Z62" s="163"/>
      <c r="AA62" s="168"/>
    </row>
    <row r="63" spans="1:27">
      <c r="A63" s="180"/>
      <c r="B63" s="33" t="s">
        <v>24</v>
      </c>
      <c r="C63" s="181">
        <f>+C62/$C$47</f>
        <v>0.30904451952788936</v>
      </c>
      <c r="D63" s="181">
        <f>+D62/$D$47</f>
        <v>0.31819098802554274</v>
      </c>
      <c r="E63" s="181">
        <f>+E62/E$47</f>
        <v>0.33068590331547065</v>
      </c>
      <c r="F63" s="181">
        <f t="shared" ref="F63:G63" si="75">+F62/F$47</f>
        <v>0.33875663658880983</v>
      </c>
      <c r="G63" s="181">
        <f t="shared" si="75"/>
        <v>0.32470754399403357</v>
      </c>
      <c r="H63" s="181">
        <f>+H62/H$47</f>
        <v>0.37664775087809049</v>
      </c>
      <c r="I63" s="181">
        <f>I62/I$47</f>
        <v>0.38465987711000049</v>
      </c>
      <c r="J63" s="181">
        <f>J62/J$47</f>
        <v>0.38819956992536353</v>
      </c>
      <c r="K63" s="181">
        <f t="shared" ref="K63:N63" si="76">+K62/K$47</f>
        <v>0.37907498541858492</v>
      </c>
      <c r="L63" s="181">
        <f t="shared" si="76"/>
        <v>0.38221571801476056</v>
      </c>
      <c r="M63" s="181">
        <f t="shared" si="76"/>
        <v>0.38492317512673391</v>
      </c>
      <c r="N63" s="181">
        <f t="shared" si="76"/>
        <v>0.37633325339781137</v>
      </c>
      <c r="O63" s="181">
        <f t="shared" ref="O63:R63" si="77">+O62/O$47</f>
        <v>0.35990489302967865</v>
      </c>
      <c r="P63" s="181">
        <f t="shared" si="77"/>
        <v>0.35282041845635148</v>
      </c>
      <c r="Q63" s="181">
        <f t="shared" si="77"/>
        <v>0.36833299516756329</v>
      </c>
      <c r="R63" s="181">
        <f t="shared" si="77"/>
        <v>0.356552731190107</v>
      </c>
      <c r="S63" s="181">
        <f t="shared" ref="S63:T63" si="78">+S62/S$47</f>
        <v>0.35629198520717487</v>
      </c>
      <c r="T63" s="181">
        <f t="shared" si="78"/>
        <v>0.35353438473286969</v>
      </c>
      <c r="U63" s="181">
        <f t="shared" ref="U63:V63" si="79">+U62/U$47</f>
        <v>0.35338254928566365</v>
      </c>
      <c r="V63" s="181">
        <f t="shared" si="79"/>
        <v>0.35488386466362631</v>
      </c>
      <c r="W63" s="163"/>
      <c r="Z63" s="163"/>
    </row>
    <row r="64" spans="1:27">
      <c r="A64" s="180"/>
      <c r="B64" s="33" t="s">
        <v>149</v>
      </c>
      <c r="C64" s="181">
        <v>1.5974237090754295E-2</v>
      </c>
      <c r="D64" s="181">
        <f>D62/C62-1</f>
        <v>8.3353221821046208E-2</v>
      </c>
      <c r="E64" s="181">
        <f>E62/D62-1</f>
        <v>9.6928921614469532E-2</v>
      </c>
      <c r="F64" s="181">
        <f>F62/E62-1</f>
        <v>4.2627111874271151E-2</v>
      </c>
      <c r="G64" s="88" t="s">
        <v>16</v>
      </c>
      <c r="H64" s="181">
        <f>H62/F62-1</f>
        <v>0.23872992192376419</v>
      </c>
      <c r="I64" s="181">
        <f>I62/H62-1</f>
        <v>7.579043039776745E-2</v>
      </c>
      <c r="J64" s="181">
        <f>J62/I62-1</f>
        <v>5.1600721315570031E-2</v>
      </c>
      <c r="K64" s="181">
        <f>K62/J62-1</f>
        <v>1.2576831824650414E-2</v>
      </c>
      <c r="L64" s="182" t="s">
        <v>16</v>
      </c>
      <c r="M64" s="182">
        <f>M62/K62-1</f>
        <v>8.5723708759081418E-2</v>
      </c>
      <c r="N64" s="182">
        <f>N62/M62-1</f>
        <v>-1.1693367025555013E-2</v>
      </c>
      <c r="O64" s="182">
        <f>O62/N62-1</f>
        <v>-2.9544558807675592E-2</v>
      </c>
      <c r="P64" s="181">
        <f>P62/O62-1</f>
        <v>-1.2320675617919941E-2</v>
      </c>
      <c r="Q64" s="182" t="s">
        <v>16</v>
      </c>
      <c r="R64" s="182">
        <f>R62/P62-1</f>
        <v>6.536908282435161E-2</v>
      </c>
      <c r="S64" s="182">
        <f>S62/R62-1</f>
        <v>2.6416784240933522E-2</v>
      </c>
      <c r="T64" s="182">
        <f>T62/S62-1</f>
        <v>4.4725261955549378E-2</v>
      </c>
      <c r="U64" s="182">
        <f>U62/T62-1</f>
        <v>1.9374626049087906E-2</v>
      </c>
      <c r="V64" s="182" t="s">
        <v>16</v>
      </c>
      <c r="W64" s="163"/>
      <c r="Z64" s="163"/>
    </row>
    <row r="65" spans="1:26">
      <c r="A65" s="180"/>
      <c r="B65" s="33" t="s">
        <v>150</v>
      </c>
      <c r="C65" s="181">
        <v>-1.3781676265588461E-3</v>
      </c>
      <c r="D65" s="181">
        <v>0.28232326634962934</v>
      </c>
      <c r="E65" s="181">
        <v>0.31240918590783462</v>
      </c>
      <c r="F65" s="181">
        <v>0.25881026483260405</v>
      </c>
      <c r="G65" s="181">
        <v>0.20737787723209</v>
      </c>
      <c r="H65" s="181">
        <f t="shared" ref="H65:J65" si="80">H62/C62-1</f>
        <v>0.53480854547853474</v>
      </c>
      <c r="I65" s="181">
        <f t="shared" si="80"/>
        <v>0.52409418503697114</v>
      </c>
      <c r="J65" s="181">
        <f t="shared" si="80"/>
        <v>0.46111430992157687</v>
      </c>
      <c r="K65" s="181">
        <f t="shared" ref="K65" si="81">K62/F62-1</f>
        <v>0.41900251971623437</v>
      </c>
      <c r="L65" s="181">
        <f>L62/G62-1</f>
        <v>0.48101050689351599</v>
      </c>
      <c r="M65" s="181">
        <f>M62/H62-1</f>
        <v>0.24372928366188962</v>
      </c>
      <c r="N65" s="181">
        <f t="shared" ref="N65:O65" si="82">N62/I62-1</f>
        <v>0.14258861757407137</v>
      </c>
      <c r="O65" s="181">
        <f t="shared" si="82"/>
        <v>5.4422385315604282E-2</v>
      </c>
      <c r="P65" s="181">
        <f t="shared" ref="P65" si="83">P62/K62-1</f>
        <v>2.8495968316015752E-2</v>
      </c>
      <c r="Q65" s="181">
        <f>Q62/L62-1</f>
        <v>0.11288272445797443</v>
      </c>
      <c r="R65" s="181">
        <f t="shared" ref="R65:V65" si="84">R62/M62-1</f>
        <v>9.2142205365761676E-3</v>
      </c>
      <c r="S65" s="181">
        <f t="shared" si="84"/>
        <v>4.8130590539259943E-2</v>
      </c>
      <c r="T65" s="181">
        <f t="shared" si="84"/>
        <v>0.12834495978444904</v>
      </c>
      <c r="U65" s="181">
        <f t="shared" si="84"/>
        <v>0.16455431741901383</v>
      </c>
      <c r="V65" s="181">
        <f t="shared" si="84"/>
        <v>8.6209201128931934E-2</v>
      </c>
      <c r="W65" s="163"/>
      <c r="Z65" s="163"/>
    </row>
    <row r="66" spans="1:26">
      <c r="A66" s="180"/>
      <c r="B66" s="33"/>
      <c r="C66" s="181"/>
      <c r="D66" s="181"/>
      <c r="E66" s="181"/>
      <c r="F66" s="181"/>
      <c r="G66" s="181"/>
      <c r="H66" s="181"/>
      <c r="I66" s="181"/>
      <c r="J66" s="181"/>
      <c r="K66" s="181"/>
      <c r="L66" s="181"/>
      <c r="M66" s="181"/>
      <c r="N66" s="181"/>
      <c r="O66" s="181"/>
      <c r="P66" s="181"/>
      <c r="Q66" s="181"/>
      <c r="R66" s="181"/>
      <c r="S66" s="181"/>
      <c r="T66" s="181"/>
      <c r="U66" s="181"/>
      <c r="V66" s="181"/>
      <c r="W66" s="163"/>
      <c r="Z66" s="163"/>
    </row>
    <row r="67" spans="1:26">
      <c r="B67" s="53"/>
      <c r="W67" s="168"/>
      <c r="Z67" s="163"/>
    </row>
    <row r="68" spans="1:26">
      <c r="A68" s="161"/>
      <c r="B68" s="140" t="s">
        <v>152</v>
      </c>
      <c r="C68" s="138"/>
      <c r="D68" s="138"/>
      <c r="E68" s="138"/>
      <c r="F68" s="138"/>
      <c r="G68" s="138"/>
      <c r="H68" s="138"/>
      <c r="I68" s="138"/>
      <c r="J68" s="138"/>
      <c r="K68" s="138"/>
      <c r="L68" s="138"/>
      <c r="M68" s="138"/>
      <c r="N68" s="138"/>
      <c r="O68" s="138"/>
      <c r="P68" s="138"/>
      <c r="Q68" s="138"/>
      <c r="R68" s="138"/>
      <c r="S68" s="138"/>
      <c r="T68" s="138"/>
      <c r="U68" s="138"/>
      <c r="V68" s="138"/>
      <c r="W68" s="168"/>
      <c r="Z68" s="163"/>
    </row>
    <row r="69" spans="1:26">
      <c r="B69" s="53" t="s">
        <v>153</v>
      </c>
      <c r="C69" s="183">
        <v>0.85828202509147322</v>
      </c>
      <c r="D69" s="183">
        <v>0.85539427073740448</v>
      </c>
      <c r="E69" s="183">
        <v>0.86016039054776272</v>
      </c>
      <c r="F69" s="183">
        <v>0.86123715176185733</v>
      </c>
      <c r="G69" s="183">
        <v>0.85900829818951019</v>
      </c>
      <c r="H69" s="183">
        <v>0.85775195649255742</v>
      </c>
      <c r="I69" s="183">
        <v>0.86082951267316399</v>
      </c>
      <c r="J69" s="183">
        <v>0.85969496377656596</v>
      </c>
      <c r="K69" s="183">
        <v>0.85915004044672627</v>
      </c>
      <c r="L69" s="183">
        <v>0.8593761950760741</v>
      </c>
      <c r="M69" s="183">
        <v>0.84632203732500011</v>
      </c>
      <c r="N69" s="183">
        <v>0.84118114746812311</v>
      </c>
      <c r="O69" s="183">
        <v>0.83493725834669597</v>
      </c>
      <c r="P69" s="183">
        <v>0.84003506026047547</v>
      </c>
      <c r="Q69" s="183">
        <v>0.84057982258878183</v>
      </c>
      <c r="R69" s="183">
        <v>0.83001082194935982</v>
      </c>
      <c r="S69" s="183">
        <v>0.82689024038328585</v>
      </c>
      <c r="T69" s="183">
        <v>0.82204887103347113</v>
      </c>
      <c r="U69" s="183">
        <v>0.82623647087036223</v>
      </c>
      <c r="V69" s="183">
        <v>0.82621678252343755</v>
      </c>
      <c r="W69" s="163"/>
      <c r="Z69" s="163"/>
    </row>
    <row r="70" spans="1:26">
      <c r="B70" s="53" t="s">
        <v>154</v>
      </c>
      <c r="C70" s="183">
        <v>9.4679987238737287E-2</v>
      </c>
      <c r="D70" s="183">
        <v>9.5157845905182364E-2</v>
      </c>
      <c r="E70" s="183">
        <v>9.4491814778412342E-2</v>
      </c>
      <c r="F70" s="183">
        <v>9.3090449127121971E-2</v>
      </c>
      <c r="G70" s="183">
        <v>9.4212473926149412E-2</v>
      </c>
      <c r="H70" s="183">
        <v>9.9550595682622325E-2</v>
      </c>
      <c r="I70" s="183">
        <v>9.2536940797546763E-2</v>
      </c>
      <c r="J70" s="183">
        <v>9.4454488940220349E-2</v>
      </c>
      <c r="K70" s="183">
        <v>9.5104275923194911E-2</v>
      </c>
      <c r="L70" s="183">
        <v>9.5344054434564368E-2</v>
      </c>
      <c r="M70" s="183">
        <v>0.10376819263034671</v>
      </c>
      <c r="N70" s="183">
        <v>0.107773903939792</v>
      </c>
      <c r="O70" s="183">
        <v>0.11272571543977555</v>
      </c>
      <c r="P70" s="183">
        <v>0.11092595693754125</v>
      </c>
      <c r="Q70" s="183">
        <v>0.10883835725674143</v>
      </c>
      <c r="R70" s="183">
        <v>0.11546664829273695</v>
      </c>
      <c r="S70" s="183">
        <v>0.11813254007000418</v>
      </c>
      <c r="T70" s="183">
        <v>0.12000201498229983</v>
      </c>
      <c r="U70" s="183">
        <v>0.11619650753071704</v>
      </c>
      <c r="V70" s="183">
        <v>0.11747260441598109</v>
      </c>
      <c r="W70" s="163"/>
      <c r="Z70" s="163"/>
    </row>
    <row r="71" spans="1:26">
      <c r="B71" s="53" t="s">
        <v>155</v>
      </c>
      <c r="C71" s="183">
        <v>4.7037987669789338E-2</v>
      </c>
      <c r="D71" s="183">
        <v>5.0447883357413167E-2</v>
      </c>
      <c r="E71" s="183">
        <v>4.5347794673824958E-2</v>
      </c>
      <c r="F71" s="183">
        <v>4.5672399111020612E-2</v>
      </c>
      <c r="G71" s="183">
        <v>4.6779227884340364E-2</v>
      </c>
      <c r="H71" s="183">
        <v>4.2697447824820427E-2</v>
      </c>
      <c r="I71" s="183">
        <v>4.6633546529289263E-2</v>
      </c>
      <c r="J71" s="183">
        <v>4.5850547283213784E-2</v>
      </c>
      <c r="K71" s="183">
        <v>4.5745683630078825E-2</v>
      </c>
      <c r="L71" s="183">
        <v>4.5279750489361524E-2</v>
      </c>
      <c r="M71" s="183">
        <v>4.9909770044653218E-2</v>
      </c>
      <c r="N71" s="183">
        <v>5.104494859208486E-2</v>
      </c>
      <c r="O71" s="183">
        <v>5.2337026213528447E-2</v>
      </c>
      <c r="P71" s="183">
        <v>4.903898280198337E-2</v>
      </c>
      <c r="Q71" s="183">
        <v>5.058182015447673E-2</v>
      </c>
      <c r="R71" s="183">
        <v>5.4522529757903282E-2</v>
      </c>
      <c r="S71" s="183">
        <v>5.4977219546710046E-2</v>
      </c>
      <c r="T71" s="183">
        <v>5.7949113984229091E-2</v>
      </c>
      <c r="U71" s="183">
        <v>5.7567021598920708E-2</v>
      </c>
      <c r="V71" s="183">
        <v>5.6310613060581251E-2</v>
      </c>
      <c r="W71" s="163"/>
      <c r="Z71" s="163"/>
    </row>
    <row r="72" spans="1:26">
      <c r="B72" s="2"/>
    </row>
    <row r="74" spans="1:26">
      <c r="B74" s="2" t="s">
        <v>156</v>
      </c>
    </row>
    <row r="75" spans="1:26">
      <c r="B75" s="2" t="s">
        <v>157</v>
      </c>
    </row>
    <row r="77" spans="1:26">
      <c r="C77" s="184"/>
      <c r="D77" s="184"/>
      <c r="E77" s="184"/>
      <c r="F77" s="184"/>
      <c r="G77" s="184"/>
      <c r="H77" s="184"/>
      <c r="I77" s="184"/>
      <c r="J77" s="184"/>
      <c r="K77" s="184"/>
      <c r="L77" s="184"/>
      <c r="M77" s="184"/>
      <c r="N77" s="184"/>
      <c r="O77" s="184"/>
      <c r="P77" s="184"/>
      <c r="Q77" s="184"/>
      <c r="R77" s="184"/>
      <c r="S77" s="184"/>
      <c r="T77" s="184"/>
      <c r="U77" s="184"/>
      <c r="V77" s="184"/>
    </row>
    <row r="78" spans="1:26">
      <c r="C78" s="179"/>
      <c r="D78" s="179"/>
      <c r="E78" s="179"/>
      <c r="F78" s="179"/>
      <c r="G78" s="179"/>
      <c r="H78" s="179"/>
      <c r="I78" s="179"/>
      <c r="J78" s="179"/>
      <c r="K78" s="179"/>
      <c r="L78" s="179"/>
      <c r="M78" s="179"/>
      <c r="N78" s="179"/>
      <c r="O78" s="179"/>
      <c r="P78" s="179"/>
      <c r="Q78" s="179"/>
      <c r="R78" s="179"/>
      <c r="S78" s="179"/>
      <c r="T78" s="179"/>
      <c r="U78" s="179"/>
      <c r="V78" s="179"/>
    </row>
    <row r="79" spans="1:26">
      <c r="C79" s="173"/>
      <c r="D79" s="173"/>
      <c r="E79" s="173"/>
      <c r="F79" s="173"/>
      <c r="G79" s="173"/>
      <c r="H79" s="173"/>
      <c r="I79" s="173"/>
      <c r="J79" s="173"/>
      <c r="K79" s="173"/>
      <c r="L79" s="173"/>
      <c r="M79" s="173"/>
      <c r="N79" s="173"/>
      <c r="O79" s="173"/>
      <c r="P79" s="181"/>
      <c r="Q79" s="181"/>
      <c r="R79" s="181"/>
      <c r="S79" s="181"/>
      <c r="T79" s="181"/>
      <c r="U79" s="181"/>
      <c r="V79" s="181"/>
    </row>
  </sheetData>
  <mergeCells count="6">
    <mergeCell ref="R2:V2"/>
    <mergeCell ref="M2:Q2"/>
    <mergeCell ref="A5:B5"/>
    <mergeCell ref="A6:B6"/>
    <mergeCell ref="H2:L2"/>
    <mergeCell ref="C2:G2"/>
  </mergeCells>
  <hyperlinks>
    <hyperlink ref="V1" location="Contents!B7" display="Back" xr:uid="{CB2A44B7-AC07-460C-B20C-F87807C89B16}"/>
  </hyperlinks>
  <pageMargins left="0.7" right="0.7" top="0.35" bottom="1.25" header="0.55000000000000004" footer="0.3"/>
  <pageSetup paperSize="9" scale="54"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998DB-3937-45D4-A4CC-53089E86B908}">
  <sheetPr>
    <pageSetUpPr fitToPage="1"/>
  </sheetPr>
  <dimension ref="A1:AA99"/>
  <sheetViews>
    <sheetView showGridLines="0" view="pageBreakPreview" zoomScale="80" zoomScaleNormal="50" zoomScaleSheetLayoutView="85" workbookViewId="0">
      <pane xSplit="2" ySplit="8" topLeftCell="L9" activePane="bottomRight" state="frozen"/>
      <selection pane="bottomRight" activeCell="B1" sqref="B1"/>
      <selection pane="bottomLeft" activeCell="W25" sqref="W25"/>
      <selection pane="topRight" activeCell="W25" sqref="W25"/>
    </sheetView>
  </sheetViews>
  <sheetFormatPr defaultColWidth="9.140625" defaultRowHeight="12.75" outlineLevelCol="1"/>
  <cols>
    <col min="1" max="1" width="2.42578125" style="6" customWidth="1"/>
    <col min="2" max="2" width="48.28515625" style="153" bestFit="1" customWidth="1"/>
    <col min="3" max="6" width="10.7109375" style="153" hidden="1" customWidth="1" outlineLevel="1"/>
    <col min="7" max="7" width="12.28515625" style="153" hidden="1" customWidth="1" outlineLevel="1"/>
    <col min="8" max="8" width="10.7109375" style="153" hidden="1" customWidth="1" outlineLevel="1" collapsed="1"/>
    <col min="9" max="11" width="10.7109375" style="153" hidden="1" customWidth="1" outlineLevel="1"/>
    <col min="12" max="12" width="12.28515625" style="153" bestFit="1" customWidth="1" collapsed="1"/>
    <col min="13" max="16" width="10.7109375" style="153" bestFit="1" customWidth="1"/>
    <col min="17" max="17" width="12.28515625" style="153" bestFit="1" customWidth="1"/>
    <col min="18" max="18" width="10.7109375" style="153" bestFit="1" customWidth="1"/>
    <col min="19" max="19" width="11.28515625" style="153" customWidth="1"/>
    <col min="20" max="20" width="11" style="153" customWidth="1"/>
    <col min="21" max="22" width="19" style="153" hidden="1" customWidth="1" outlineLevel="1"/>
    <col min="23" max="23" width="16.140625" style="153" customWidth="1" collapsed="1"/>
    <col min="24" max="24" width="17" style="153" customWidth="1"/>
    <col min="25" max="25" width="9.140625" style="153" customWidth="1"/>
    <col min="26" max="26" width="20.140625" style="153" customWidth="1"/>
    <col min="27" max="27" width="9.140625" style="153" customWidth="1"/>
    <col min="28" max="16384" width="9.140625" style="153"/>
  </cols>
  <sheetData>
    <row r="1" spans="1:25" ht="15.75" thickBot="1">
      <c r="A1" s="6" t="s">
        <v>129</v>
      </c>
      <c r="B1" s="2"/>
      <c r="F1" s="105"/>
      <c r="G1" s="105"/>
      <c r="H1" s="105"/>
      <c r="I1" s="105"/>
      <c r="J1" s="105"/>
      <c r="K1" s="105"/>
      <c r="L1" s="105"/>
      <c r="M1" s="105"/>
      <c r="N1" s="105"/>
      <c r="O1" s="105"/>
      <c r="P1" s="105"/>
      <c r="Q1" s="105"/>
      <c r="T1" s="189" t="s">
        <v>7</v>
      </c>
      <c r="U1" s="105"/>
      <c r="V1" s="105"/>
      <c r="Y1" s="105"/>
    </row>
    <row r="2" spans="1:25" ht="13.5" thickBot="1">
      <c r="B2" s="2"/>
      <c r="C2" s="247">
        <v>2022</v>
      </c>
      <c r="D2" s="248"/>
      <c r="E2" s="248"/>
      <c r="F2" s="248"/>
      <c r="G2" s="249"/>
      <c r="H2" s="247">
        <v>2023</v>
      </c>
      <c r="I2" s="248"/>
      <c r="J2" s="248"/>
      <c r="K2" s="248"/>
      <c r="L2" s="249"/>
      <c r="M2" s="247">
        <v>2024</v>
      </c>
      <c r="N2" s="248"/>
      <c r="O2" s="248"/>
      <c r="P2" s="248"/>
      <c r="Q2" s="249"/>
      <c r="R2" s="247">
        <v>2025</v>
      </c>
      <c r="S2" s="248"/>
      <c r="T2" s="248"/>
      <c r="U2" s="248"/>
      <c r="V2" s="249"/>
    </row>
    <row r="3" spans="1:25" s="158" customFormat="1" ht="15.75" customHeight="1" thickBot="1">
      <c r="A3" s="154"/>
      <c r="B3" s="155"/>
      <c r="C3" s="157">
        <v>2022</v>
      </c>
      <c r="D3" s="157">
        <v>2022</v>
      </c>
      <c r="E3" s="157">
        <v>2022</v>
      </c>
      <c r="F3" s="157">
        <v>2022</v>
      </c>
      <c r="G3" s="157">
        <v>2022</v>
      </c>
      <c r="H3" s="156">
        <v>2023</v>
      </c>
      <c r="I3" s="156">
        <v>2023</v>
      </c>
      <c r="J3" s="156">
        <v>2023</v>
      </c>
      <c r="K3" s="156">
        <v>2023</v>
      </c>
      <c r="L3" s="156">
        <v>2023</v>
      </c>
      <c r="M3" s="157">
        <v>2024</v>
      </c>
      <c r="N3" s="157">
        <v>2024</v>
      </c>
      <c r="O3" s="157">
        <v>2024</v>
      </c>
      <c r="P3" s="157">
        <v>2024</v>
      </c>
      <c r="Q3" s="157">
        <v>2024</v>
      </c>
      <c r="R3" s="157">
        <v>2025</v>
      </c>
      <c r="S3" s="157">
        <v>2025</v>
      </c>
      <c r="T3" s="157">
        <v>2025</v>
      </c>
      <c r="U3" s="157">
        <v>2025</v>
      </c>
      <c r="V3" s="157">
        <v>2025</v>
      </c>
      <c r="W3" s="246"/>
      <c r="X3" s="246"/>
    </row>
    <row r="4" spans="1:25">
      <c r="B4" s="2"/>
      <c r="C4" s="4" t="s">
        <v>9</v>
      </c>
      <c r="D4" s="4" t="s">
        <v>10</v>
      </c>
      <c r="E4" s="4" t="s">
        <v>11</v>
      </c>
      <c r="F4" s="4" t="s">
        <v>12</v>
      </c>
      <c r="G4" s="4" t="s">
        <v>131</v>
      </c>
      <c r="H4" s="4" t="s">
        <v>9</v>
      </c>
      <c r="I4" s="4" t="s">
        <v>10</v>
      </c>
      <c r="J4" s="4" t="s">
        <v>11</v>
      </c>
      <c r="K4" s="4" t="s">
        <v>12</v>
      </c>
      <c r="L4" s="4" t="s">
        <v>132</v>
      </c>
      <c r="M4" s="4" t="s">
        <v>9</v>
      </c>
      <c r="N4" s="4" t="s">
        <v>10</v>
      </c>
      <c r="O4" s="4" t="s">
        <v>11</v>
      </c>
      <c r="P4" s="4" t="s">
        <v>12</v>
      </c>
      <c r="Q4" s="4" t="s">
        <v>133</v>
      </c>
      <c r="R4" s="4" t="s">
        <v>9</v>
      </c>
      <c r="S4" s="4" t="s">
        <v>10</v>
      </c>
      <c r="T4" s="4" t="s">
        <v>11</v>
      </c>
      <c r="U4" s="4" t="s">
        <v>12</v>
      </c>
      <c r="V4" s="4" t="s">
        <v>158</v>
      </c>
      <c r="W4" s="246"/>
      <c r="X4" s="246"/>
    </row>
    <row r="5" spans="1:25">
      <c r="A5" s="250" t="s">
        <v>134</v>
      </c>
      <c r="B5" s="250"/>
      <c r="W5" s="246"/>
      <c r="X5" s="246"/>
    </row>
    <row r="6" spans="1:25" ht="21" customHeight="1">
      <c r="A6" s="250" t="s">
        <v>42</v>
      </c>
      <c r="B6" s="250"/>
    </row>
    <row r="7" spans="1:25" ht="14.25">
      <c r="A7" s="1"/>
      <c r="B7" s="185" t="s">
        <v>159</v>
      </c>
      <c r="H7" s="4"/>
      <c r="I7" s="4"/>
      <c r="J7" s="4"/>
      <c r="K7" s="4"/>
      <c r="L7" s="4"/>
      <c r="M7" s="4"/>
      <c r="N7" s="4"/>
      <c r="O7" s="4"/>
      <c r="P7" s="4"/>
      <c r="Q7" s="4"/>
      <c r="R7" s="4"/>
    </row>
    <row r="8" spans="1:25">
      <c r="A8" s="161"/>
      <c r="B8" s="140" t="s">
        <v>160</v>
      </c>
      <c r="C8" s="162">
        <v>157633.05680478795</v>
      </c>
      <c r="D8" s="162">
        <v>171421.17388030799</v>
      </c>
      <c r="E8" s="162">
        <v>176896.72631425431</v>
      </c>
      <c r="F8" s="162">
        <v>185016.02479686443</v>
      </c>
      <c r="G8" s="162">
        <f>SUM(C8:F8)</f>
        <v>690966.98179621459</v>
      </c>
      <c r="H8" s="162">
        <v>198819.97685615014</v>
      </c>
      <c r="I8" s="162">
        <v>203113.60649862819</v>
      </c>
      <c r="J8" s="162">
        <v>214786</v>
      </c>
      <c r="K8" s="162">
        <v>218017.07152222822</v>
      </c>
      <c r="L8" s="162">
        <f>SUM(H8:K8)</f>
        <v>834736.65487700654</v>
      </c>
      <c r="M8" s="162">
        <v>231723.83244359991</v>
      </c>
      <c r="N8" s="162">
        <v>237403.33902169965</v>
      </c>
      <c r="O8" s="162">
        <v>253616</v>
      </c>
      <c r="P8" s="162">
        <v>256988</v>
      </c>
      <c r="Q8" s="162">
        <f>ROUNDDOWN(SUM(M8:P8),0)</f>
        <v>979731</v>
      </c>
      <c r="R8" s="162">
        <v>267928.81199999998</v>
      </c>
      <c r="S8" s="162">
        <v>278770</v>
      </c>
      <c r="T8" s="162">
        <v>298470</v>
      </c>
      <c r="U8" s="162"/>
      <c r="V8" s="162"/>
      <c r="W8" s="179"/>
      <c r="X8" s="25"/>
    </row>
    <row r="9" spans="1:25">
      <c r="B9" s="53" t="s">
        <v>161</v>
      </c>
      <c r="C9" s="164"/>
      <c r="D9" s="164"/>
      <c r="E9" s="164"/>
      <c r="F9" s="164"/>
      <c r="G9" s="164"/>
      <c r="H9" s="165">
        <f t="shared" ref="H9" si="0">IFERROR(H8/C8-1,"")</f>
        <v>0.26128352064102822</v>
      </c>
      <c r="I9" s="165">
        <f t="shared" ref="I9" si="1">IFERROR(I8/D8-1,"")</f>
        <v>0.18488050163773173</v>
      </c>
      <c r="J9" s="165">
        <f t="shared" ref="J9" si="2">IFERROR(J8/E8-1,"")</f>
        <v>0.21418866519008373</v>
      </c>
      <c r="K9" s="165">
        <f t="shared" ref="K9" si="3">IFERROR(K8/F8-1,"")</f>
        <v>0.17836858597300864</v>
      </c>
      <c r="L9" s="165">
        <f t="shared" ref="L9" si="4">IFERROR(L8/G8-1,"")</f>
        <v>0.20807025063202467</v>
      </c>
      <c r="M9" s="165">
        <f t="shared" ref="M9:T9" si="5">IFERROR(M8/H8-1,"")</f>
        <v>0.16549572184718797</v>
      </c>
      <c r="N9" s="165">
        <f t="shared" si="5"/>
        <v>0.16882046020537311</v>
      </c>
      <c r="O9" s="165">
        <f t="shared" si="5"/>
        <v>0.18078459489910892</v>
      </c>
      <c r="P9" s="165">
        <f t="shared" si="5"/>
        <v>0.17875172896173153</v>
      </c>
      <c r="Q9" s="165">
        <f t="shared" si="5"/>
        <v>0.17370070461846132</v>
      </c>
      <c r="R9" s="165">
        <f t="shared" si="5"/>
        <v>0.15624193322977309</v>
      </c>
      <c r="S9" s="165">
        <f t="shared" si="5"/>
        <v>0.1742463317860885</v>
      </c>
      <c r="T9" s="165">
        <f t="shared" si="5"/>
        <v>0.17685792694467217</v>
      </c>
      <c r="U9" s="165"/>
      <c r="V9" s="165"/>
      <c r="W9" s="179"/>
      <c r="X9" s="20"/>
      <c r="Y9" s="10"/>
    </row>
    <row r="10" spans="1:25">
      <c r="B10" s="53" t="s">
        <v>137</v>
      </c>
      <c r="C10" s="165"/>
      <c r="D10" s="165"/>
      <c r="E10" s="165"/>
      <c r="F10" s="165"/>
      <c r="G10" s="165"/>
      <c r="H10" s="165">
        <v>0.27106690082394436</v>
      </c>
      <c r="I10" s="165">
        <v>0.18329519423398533</v>
      </c>
      <c r="J10" s="165">
        <v>0.20233818861809461</v>
      </c>
      <c r="K10" s="165">
        <v>0.17132137803638048</v>
      </c>
      <c r="L10" s="165">
        <v>0.20498800777917636</v>
      </c>
      <c r="M10" s="165">
        <v>0.16206470038301535</v>
      </c>
      <c r="N10" s="165">
        <v>0.16919095053784039</v>
      </c>
      <c r="O10" s="165">
        <v>0.17779871884979515</v>
      </c>
      <c r="P10" s="165">
        <v>0.17872240075291046</v>
      </c>
      <c r="Q10" s="165">
        <v>0.17219788644568346</v>
      </c>
      <c r="R10" s="165">
        <v>0.15948242281896152</v>
      </c>
      <c r="S10" s="165">
        <v>0.173190080139761</v>
      </c>
      <c r="T10" s="165">
        <v>0.1790024373294874</v>
      </c>
      <c r="U10" s="165"/>
      <c r="V10" s="165"/>
      <c r="W10" s="179"/>
      <c r="X10" s="58"/>
      <c r="Y10" s="10"/>
    </row>
    <row r="11" spans="1:25">
      <c r="B11" s="53" t="s">
        <v>162</v>
      </c>
      <c r="C11" s="165"/>
      <c r="D11" s="165"/>
      <c r="E11" s="165"/>
      <c r="F11" s="165"/>
      <c r="G11" s="165"/>
      <c r="H11" s="165">
        <v>7.13630205935607E-2</v>
      </c>
      <c r="I11" s="165">
        <v>1.8693544382302196E-2</v>
      </c>
      <c r="J11" s="165">
        <v>5.7208437385223965E-2</v>
      </c>
      <c r="K11" s="165">
        <v>1.5928234823692211E-2</v>
      </c>
      <c r="L11" s="204" t="s">
        <v>16</v>
      </c>
      <c r="M11" s="165">
        <v>6.1613622824497005E-2</v>
      </c>
      <c r="N11" s="165">
        <v>2.574920838646233E-2</v>
      </c>
      <c r="O11" s="165">
        <v>6.486734286535345E-2</v>
      </c>
      <c r="P11" s="165">
        <v>1.6624699138549248E-2</v>
      </c>
      <c r="Q11" s="204" t="s">
        <v>16</v>
      </c>
      <c r="R11" s="165">
        <v>4.410642742076254E-2</v>
      </c>
      <c r="S11" s="165">
        <v>3.703368813817276E-2</v>
      </c>
      <c r="T11" s="165">
        <v>7.2350484820474792E-2</v>
      </c>
      <c r="U11" s="165"/>
      <c r="V11" s="165"/>
      <c r="W11" s="179"/>
      <c r="X11" s="58"/>
      <c r="Y11" s="10"/>
    </row>
    <row r="12" spans="1:25">
      <c r="B12" s="53"/>
      <c r="C12" s="171"/>
      <c r="D12" s="171"/>
      <c r="E12" s="171"/>
      <c r="F12" s="171"/>
      <c r="G12" s="171"/>
      <c r="H12" s="171"/>
      <c r="I12" s="171"/>
      <c r="J12" s="171"/>
      <c r="K12" s="171"/>
      <c r="L12" s="171"/>
      <c r="M12" s="171"/>
      <c r="N12" s="171"/>
      <c r="O12" s="171"/>
      <c r="P12" s="171"/>
      <c r="Q12" s="171"/>
      <c r="R12" s="171"/>
      <c r="S12" s="171"/>
      <c r="T12" s="171"/>
      <c r="U12" s="171"/>
      <c r="V12" s="171"/>
      <c r="W12" s="187"/>
      <c r="X12" s="86"/>
    </row>
    <row r="13" spans="1:25">
      <c r="A13" s="161"/>
      <c r="B13" s="140" t="s">
        <v>163</v>
      </c>
      <c r="C13" s="162">
        <v>171574.692435212</v>
      </c>
      <c r="D13" s="162">
        <v>175361.19709979204</v>
      </c>
      <c r="E13" s="162">
        <v>184454.52976104568</v>
      </c>
      <c r="F13" s="162">
        <v>189686.5758121355</v>
      </c>
      <c r="G13" s="162">
        <f>SUM(C13:F13)</f>
        <v>721076.99510818522</v>
      </c>
      <c r="H13" s="162">
        <v>201823.07814384988</v>
      </c>
      <c r="I13" s="162">
        <v>201882</v>
      </c>
      <c r="J13" s="162">
        <v>196185</v>
      </c>
      <c r="K13" s="162">
        <v>196040.8804777718</v>
      </c>
      <c r="L13" s="162">
        <f>SUM(H13:K13)</f>
        <v>795930.9586216216</v>
      </c>
      <c r="M13" s="162">
        <v>204783</v>
      </c>
      <c r="N13" s="162">
        <v>210963</v>
      </c>
      <c r="O13" s="162">
        <v>218456.9386970998</v>
      </c>
      <c r="P13" s="162">
        <v>224438</v>
      </c>
      <c r="Q13" s="162">
        <f>(SUM(M13:P13))</f>
        <v>858640.9386970998</v>
      </c>
      <c r="R13" s="162">
        <v>233090</v>
      </c>
      <c r="S13" s="162">
        <v>235690</v>
      </c>
      <c r="T13" s="162">
        <v>231115</v>
      </c>
      <c r="U13" s="162"/>
      <c r="V13" s="162"/>
      <c r="W13" s="179"/>
      <c r="X13" s="25"/>
    </row>
    <row r="14" spans="1:25">
      <c r="B14" s="53" t="s">
        <v>161</v>
      </c>
      <c r="C14" s="164"/>
      <c r="D14" s="164"/>
      <c r="E14" s="164"/>
      <c r="F14" s="164"/>
      <c r="G14" s="164"/>
      <c r="H14" s="165">
        <f t="shared" ref="H14" si="6">IFERROR(H13/C13-1,"")</f>
        <v>0.17629864451052368</v>
      </c>
      <c r="I14" s="165">
        <f t="shared" ref="I14" si="7">IFERROR(I13/D13-1,"")</f>
        <v>0.15123529799534774</v>
      </c>
      <c r="J14" s="165">
        <f t="shared" ref="J14" si="8">IFERROR(J13/E13-1,"")</f>
        <v>6.3595457667267485E-2</v>
      </c>
      <c r="K14" s="165">
        <f t="shared" ref="K14" si="9">IFERROR(K13/F13-1,"")</f>
        <v>3.3498968698394194E-2</v>
      </c>
      <c r="L14" s="165">
        <f t="shared" ref="L14" si="10">IFERROR(L13/G13-1,"")</f>
        <v>0.10380855861613747</v>
      </c>
      <c r="M14" s="165">
        <f t="shared" ref="M14" si="11">IFERROR(M13/H13-1,"")</f>
        <v>1.466592365636421E-2</v>
      </c>
      <c r="N14" s="165">
        <f t="shared" ref="N14" si="12">IFERROR(N13/I13-1,"")</f>
        <v>4.4981721996017576E-2</v>
      </c>
      <c r="O14" s="165">
        <f t="shared" ref="O14" si="13">IFERROR(O13/J13-1,"")</f>
        <v>0.11352518641639175</v>
      </c>
      <c r="P14" s="165">
        <f t="shared" ref="P14" si="14">IFERROR(P13/K13-1,"")</f>
        <v>0.14485305030778006</v>
      </c>
      <c r="Q14" s="165">
        <f t="shared" ref="Q14:T14" si="15">IFERROR(Q13/L13-1,"")</f>
        <v>7.8788215731774303E-2</v>
      </c>
      <c r="R14" s="165">
        <f t="shared" si="15"/>
        <v>0.13822924754496224</v>
      </c>
      <c r="S14" s="165">
        <f t="shared" si="15"/>
        <v>0.11721012689428956</v>
      </c>
      <c r="T14" s="165">
        <f t="shared" si="15"/>
        <v>5.7943049913608657E-2</v>
      </c>
      <c r="U14" s="165"/>
      <c r="V14" s="165"/>
      <c r="W14" s="179"/>
      <c r="X14" s="58"/>
      <c r="Y14" s="10"/>
    </row>
    <row r="15" spans="1:25">
      <c r="B15" s="53" t="s">
        <v>137</v>
      </c>
      <c r="C15" s="165"/>
      <c r="D15" s="165"/>
      <c r="E15" s="165"/>
      <c r="F15" s="165"/>
      <c r="G15" s="165"/>
      <c r="H15" s="165">
        <v>0.19234106799860862</v>
      </c>
      <c r="I15" s="165">
        <v>0.15912255458550484</v>
      </c>
      <c r="J15" s="165">
        <v>6.4610241696106963E-2</v>
      </c>
      <c r="K15" s="165">
        <v>3.3008087352418558E-2</v>
      </c>
      <c r="L15" s="165">
        <v>0.10967431299640662</v>
      </c>
      <c r="M15" s="165">
        <v>1.5657017986801858E-2</v>
      </c>
      <c r="N15" s="165">
        <v>4.582520913819188E-2</v>
      </c>
      <c r="O15" s="165">
        <v>0.10947139233886949</v>
      </c>
      <c r="P15" s="165">
        <v>0.14643092764105003</v>
      </c>
      <c r="Q15" s="165">
        <v>7.8642857876726646E-2</v>
      </c>
      <c r="R15" s="165">
        <v>0.14239500820040241</v>
      </c>
      <c r="S15" s="165">
        <v>0.11553222088433523</v>
      </c>
      <c r="T15" s="165">
        <v>5.8642511594285684E-2</v>
      </c>
      <c r="U15" s="165"/>
      <c r="V15" s="165"/>
      <c r="W15" s="179"/>
      <c r="X15" s="58"/>
      <c r="Y15" s="10"/>
    </row>
    <row r="16" spans="1:25">
      <c r="B16" s="53" t="s">
        <v>162</v>
      </c>
      <c r="C16" s="165"/>
      <c r="D16" s="165"/>
      <c r="E16" s="165"/>
      <c r="F16" s="165"/>
      <c r="G16" s="165"/>
      <c r="H16" s="165">
        <v>6.1184962370648854E-2</v>
      </c>
      <c r="I16" s="165">
        <v>8.421630475288211E-4</v>
      </c>
      <c r="J16" s="165">
        <v>-2.7429467584665357E-2</v>
      </c>
      <c r="K16" s="165">
        <v>-7.2095186976772752E-4</v>
      </c>
      <c r="L16" s="204" t="s">
        <v>16</v>
      </c>
      <c r="M16" s="165">
        <v>4.4712532889393586E-2</v>
      </c>
      <c r="N16" s="165">
        <v>3.0310822297619611E-2</v>
      </c>
      <c r="O16" s="165">
        <v>3.1534736543573194E-2</v>
      </c>
      <c r="P16" s="165">
        <v>3.2687024614043381E-2</v>
      </c>
      <c r="Q16" s="204" t="s">
        <v>16</v>
      </c>
      <c r="R16" s="165">
        <v>4.1031183634181012E-2</v>
      </c>
      <c r="S16" s="165">
        <v>5.6062813983583926E-3</v>
      </c>
      <c r="T16" s="165">
        <v>-1.8853692972998104E-2</v>
      </c>
      <c r="U16" s="165"/>
      <c r="V16" s="165"/>
      <c r="W16" s="179"/>
      <c r="X16" s="58"/>
      <c r="Y16" s="10"/>
    </row>
    <row r="17" spans="1:27">
      <c r="B17" s="53"/>
      <c r="C17" s="167"/>
      <c r="D17" s="167"/>
      <c r="E17" s="167"/>
      <c r="F17" s="167"/>
      <c r="G17" s="167"/>
      <c r="H17" s="167"/>
      <c r="I17" s="167"/>
      <c r="J17" s="167"/>
      <c r="K17" s="167"/>
      <c r="L17" s="167"/>
      <c r="M17" s="171"/>
      <c r="N17" s="171"/>
      <c r="O17" s="171"/>
      <c r="P17" s="171"/>
      <c r="Q17" s="171"/>
      <c r="R17" s="167"/>
      <c r="S17" s="167"/>
      <c r="T17" s="167"/>
      <c r="U17" s="167"/>
      <c r="V17" s="167"/>
      <c r="W17" s="187"/>
      <c r="X17" s="86"/>
    </row>
    <row r="18" spans="1:27">
      <c r="A18" s="161"/>
      <c r="B18" s="140" t="s">
        <v>144</v>
      </c>
      <c r="C18" s="177">
        <f t="shared" ref="C18:G18" si="16">C13+C8</f>
        <v>329207.74923999992</v>
      </c>
      <c r="D18" s="177">
        <f t="shared" si="16"/>
        <v>346782.37098010001</v>
      </c>
      <c r="E18" s="177">
        <f t="shared" si="16"/>
        <v>361351.25607529999</v>
      </c>
      <c r="F18" s="177">
        <f t="shared" si="16"/>
        <v>374702.60060899996</v>
      </c>
      <c r="G18" s="177">
        <f t="shared" si="16"/>
        <v>1412043.9769043997</v>
      </c>
      <c r="H18" s="177">
        <f t="shared" ref="H18:T18" si="17">H13+H8</f>
        <v>400643.05500000005</v>
      </c>
      <c r="I18" s="177">
        <f t="shared" si="17"/>
        <v>404995.60649862816</v>
      </c>
      <c r="J18" s="177">
        <f t="shared" si="17"/>
        <v>410971</v>
      </c>
      <c r="K18" s="177">
        <f t="shared" si="17"/>
        <v>414057.95200000005</v>
      </c>
      <c r="L18" s="177">
        <f t="shared" si="17"/>
        <v>1630667.6134986281</v>
      </c>
      <c r="M18" s="177">
        <f t="shared" si="17"/>
        <v>436506.83244359994</v>
      </c>
      <c r="N18" s="177">
        <f t="shared" si="17"/>
        <v>448366.33902169962</v>
      </c>
      <c r="O18" s="177">
        <f t="shared" si="17"/>
        <v>472072.9386970998</v>
      </c>
      <c r="P18" s="177">
        <f t="shared" si="17"/>
        <v>481426</v>
      </c>
      <c r="Q18" s="177">
        <f t="shared" si="17"/>
        <v>1838371.9386970997</v>
      </c>
      <c r="R18" s="177">
        <f t="shared" si="17"/>
        <v>501018.81199999998</v>
      </c>
      <c r="S18" s="177">
        <f t="shared" si="17"/>
        <v>514460</v>
      </c>
      <c r="T18" s="177">
        <f t="shared" si="17"/>
        <v>529585</v>
      </c>
      <c r="U18" s="177"/>
      <c r="V18" s="177"/>
      <c r="W18" s="179"/>
      <c r="X18" s="25"/>
    </row>
    <row r="19" spans="1:27">
      <c r="B19" s="53"/>
      <c r="C19" s="167"/>
      <c r="D19" s="167"/>
      <c r="E19" s="167"/>
      <c r="F19" s="167"/>
      <c r="G19" s="167"/>
      <c r="H19" s="167"/>
      <c r="I19" s="167"/>
      <c r="J19" s="167"/>
      <c r="K19" s="167"/>
      <c r="L19" s="167"/>
      <c r="M19" s="167"/>
      <c r="N19" s="167"/>
      <c r="O19" s="167"/>
      <c r="P19" s="167"/>
      <c r="Q19" s="167"/>
      <c r="R19" s="167"/>
      <c r="S19" s="167"/>
      <c r="T19" s="167"/>
      <c r="U19" s="167"/>
      <c r="V19" s="167"/>
      <c r="W19" s="187"/>
      <c r="X19" s="86"/>
    </row>
    <row r="20" spans="1:27" ht="14.25">
      <c r="B20" s="185" t="s">
        <v>164</v>
      </c>
      <c r="C20" s="171"/>
      <c r="D20" s="171"/>
      <c r="E20" s="171"/>
      <c r="F20" s="171"/>
      <c r="G20" s="171"/>
      <c r="H20" s="171"/>
      <c r="I20" s="171"/>
      <c r="J20" s="171"/>
      <c r="K20" s="171"/>
      <c r="L20" s="171"/>
      <c r="M20" s="171"/>
      <c r="N20" s="171"/>
      <c r="O20" s="171"/>
      <c r="P20" s="171"/>
      <c r="Q20" s="171"/>
      <c r="R20" s="171"/>
      <c r="S20" s="171"/>
      <c r="T20" s="171"/>
      <c r="U20" s="171"/>
      <c r="V20" s="171"/>
      <c r="W20" s="187"/>
      <c r="X20" s="86"/>
    </row>
    <row r="21" spans="1:27">
      <c r="A21" s="140"/>
      <c r="B21" s="140" t="s">
        <v>140</v>
      </c>
      <c r="C21" s="162">
        <v>120458.2503591</v>
      </c>
      <c r="D21" s="162">
        <v>126076.74826600001</v>
      </c>
      <c r="E21" s="162">
        <v>132173.79897259999</v>
      </c>
      <c r="F21" s="162">
        <v>137030.07796930001</v>
      </c>
      <c r="G21" s="162">
        <f>SUM(C21:F21)</f>
        <v>515738.87556700001</v>
      </c>
      <c r="H21" s="162">
        <v>142481.26321140002</v>
      </c>
      <c r="I21" s="162">
        <v>143640.07051289998</v>
      </c>
      <c r="J21" s="162">
        <v>149070</v>
      </c>
      <c r="K21" s="162">
        <v>151211.68653099998</v>
      </c>
      <c r="L21" s="162">
        <f>SUM(H21:K21)</f>
        <v>586403.02025529998</v>
      </c>
      <c r="M21" s="162">
        <v>158267.11298440001</v>
      </c>
      <c r="N21" s="162">
        <v>158459</v>
      </c>
      <c r="O21" s="162">
        <v>166416</v>
      </c>
      <c r="P21" s="162">
        <v>173277</v>
      </c>
      <c r="Q21" s="162">
        <f>ROUNDDOWN(SUM(M21:P21),0)</f>
        <v>656419</v>
      </c>
      <c r="R21" s="162">
        <v>172056</v>
      </c>
      <c r="S21" s="162">
        <v>172174</v>
      </c>
      <c r="T21" s="162">
        <v>180547</v>
      </c>
      <c r="U21" s="162"/>
      <c r="V21" s="162"/>
      <c r="W21" s="179"/>
      <c r="X21" s="23"/>
      <c r="AA21" s="186"/>
    </row>
    <row r="22" spans="1:27">
      <c r="B22" s="53" t="s">
        <v>161</v>
      </c>
      <c r="C22" s="164"/>
      <c r="D22" s="164"/>
      <c r="E22" s="164"/>
      <c r="F22" s="164"/>
      <c r="G22" s="164"/>
      <c r="H22" s="165">
        <f>IFERROR(H21/C21-1,"")</f>
        <v>0.18282693619280432</v>
      </c>
      <c r="I22" s="165">
        <f t="shared" ref="I22:T22" si="18">IFERROR(I21/D21-1,"")</f>
        <v>0.13930659291628</v>
      </c>
      <c r="J22" s="165">
        <f t="shared" si="18"/>
        <v>0.12783321020304972</v>
      </c>
      <c r="K22" s="165">
        <f t="shared" si="18"/>
        <v>0.10349266943332847</v>
      </c>
      <c r="L22" s="165">
        <f t="shared" si="18"/>
        <v>0.13701535415691191</v>
      </c>
      <c r="M22" s="165">
        <f t="shared" si="18"/>
        <v>0.11079246082748773</v>
      </c>
      <c r="N22" s="165">
        <f t="shared" si="18"/>
        <v>0.10316709978062266</v>
      </c>
      <c r="O22" s="165">
        <f t="shared" si="18"/>
        <v>0.11636144093378942</v>
      </c>
      <c r="P22" s="165">
        <f t="shared" si="18"/>
        <v>0.14592333420258763</v>
      </c>
      <c r="Q22" s="165">
        <f t="shared" si="18"/>
        <v>0.11939907764154656</v>
      </c>
      <c r="R22" s="165">
        <f t="shared" si="18"/>
        <v>8.7124145727982771E-2</v>
      </c>
      <c r="S22" s="165">
        <f t="shared" si="18"/>
        <v>8.6552357392132961E-2</v>
      </c>
      <c r="T22" s="165">
        <f t="shared" si="18"/>
        <v>8.4913710220171135E-2</v>
      </c>
      <c r="U22" s="165"/>
      <c r="V22" s="165"/>
      <c r="W22" s="179"/>
      <c r="X22" s="25"/>
      <c r="AA22" s="186"/>
    </row>
    <row r="23" spans="1:27">
      <c r="B23" s="53" t="s">
        <v>137</v>
      </c>
      <c r="C23" s="165"/>
      <c r="D23" s="165"/>
      <c r="E23" s="165"/>
      <c r="F23" s="165"/>
      <c r="G23" s="165"/>
      <c r="H23" s="165">
        <v>0.18363953962479229</v>
      </c>
      <c r="I23" s="165">
        <v>0.13927222886826107</v>
      </c>
      <c r="J23" s="165">
        <v>0.12724862389529124</v>
      </c>
      <c r="K23" s="165">
        <v>0.10309430049647728</v>
      </c>
      <c r="L23" s="165">
        <v>0.136941085489239</v>
      </c>
      <c r="M23" s="165">
        <v>0.11059057750414936</v>
      </c>
      <c r="N23" s="165">
        <v>0.10313859228931443</v>
      </c>
      <c r="O23" s="165">
        <v>0.11610686334134734</v>
      </c>
      <c r="P23" s="165">
        <v>0.14584562332437723</v>
      </c>
      <c r="Q23" s="165">
        <v>0.11925848443688047</v>
      </c>
      <c r="R23" s="165">
        <v>8.7239217784056855E-2</v>
      </c>
      <c r="S23" s="165">
        <v>8.6378445636306367E-2</v>
      </c>
      <c r="T23" s="165">
        <v>8.5042972704480357E-2</v>
      </c>
      <c r="U23" s="165"/>
      <c r="V23" s="165"/>
      <c r="W23" s="179"/>
      <c r="X23" s="58"/>
      <c r="Y23" s="10"/>
      <c r="AA23" s="186"/>
    </row>
    <row r="24" spans="1:27">
      <c r="B24" s="53" t="s">
        <v>162</v>
      </c>
      <c r="C24" s="165"/>
      <c r="D24" s="165"/>
      <c r="E24" s="165"/>
      <c r="F24" s="165"/>
      <c r="G24" s="165"/>
      <c r="H24" s="165">
        <v>3.9522593252668603E-2</v>
      </c>
      <c r="I24" s="165">
        <v>7.973659020510393E-3</v>
      </c>
      <c r="J24" s="165">
        <v>3.7769690851373827E-2</v>
      </c>
      <c r="K24" s="165">
        <v>1.4392626153163057E-2</v>
      </c>
      <c r="L24" s="204" t="s">
        <v>16</v>
      </c>
      <c r="M24" s="165">
        <v>4.6575171056554288E-2</v>
      </c>
      <c r="N24" s="165">
        <v>1.2371866701035295E-3</v>
      </c>
      <c r="O24" s="165">
        <v>4.9983761075186539E-2</v>
      </c>
      <c r="P24" s="165">
        <v>4.1412843342535366E-2</v>
      </c>
      <c r="Q24" s="204" t="s">
        <v>16</v>
      </c>
      <c r="R24" s="165">
        <v>-6.9832276625053646E-3</v>
      </c>
      <c r="S24" s="165">
        <v>3.4604714630992461E-4</v>
      </c>
      <c r="T24" s="165">
        <v>4.8761406229047344E-2</v>
      </c>
      <c r="U24" s="165"/>
      <c r="V24" s="165"/>
      <c r="W24" s="179"/>
      <c r="X24" s="58"/>
      <c r="Y24" s="10"/>
      <c r="AA24" s="186"/>
    </row>
    <row r="25" spans="1:27">
      <c r="B25" s="53" t="s">
        <v>139</v>
      </c>
      <c r="C25" s="81"/>
      <c r="D25" s="81"/>
      <c r="E25" s="81"/>
      <c r="F25" s="81"/>
      <c r="G25" s="81"/>
      <c r="H25" s="171">
        <v>0.33759543542811199</v>
      </c>
      <c r="I25" s="171">
        <v>0.33520346205118207</v>
      </c>
      <c r="J25" s="171">
        <v>0.35297986038469104</v>
      </c>
      <c r="K25" s="171">
        <v>0.34545694626777962</v>
      </c>
      <c r="L25" s="171">
        <v>0.34294758453841923</v>
      </c>
      <c r="M25" s="171">
        <v>0.33832535490287136</v>
      </c>
      <c r="N25" s="171">
        <v>0.34039279996658428</v>
      </c>
      <c r="O25" s="171">
        <v>0.35914584930165994</v>
      </c>
      <c r="P25" s="171">
        <v>0.37070929660193219</v>
      </c>
      <c r="Q25" s="171">
        <v>0.35265135950064702</v>
      </c>
      <c r="R25" s="171">
        <v>0.36551923650350054</v>
      </c>
      <c r="S25" s="171">
        <v>0.34770639004727777</v>
      </c>
      <c r="T25" s="171">
        <v>0.36630904972112527</v>
      </c>
      <c r="U25" s="171"/>
      <c r="V25" s="171"/>
      <c r="W25" s="179"/>
      <c r="X25" s="25"/>
      <c r="AA25" s="186"/>
    </row>
    <row r="26" spans="1:27">
      <c r="B26" s="53"/>
      <c r="W26" s="187"/>
      <c r="X26" s="58"/>
      <c r="AA26" s="186"/>
    </row>
    <row r="27" spans="1:27">
      <c r="A27" s="140"/>
      <c r="B27" s="140" t="s">
        <v>165</v>
      </c>
      <c r="C27" s="162">
        <v>71514.539588900006</v>
      </c>
      <c r="D27" s="162">
        <v>73524.283428499999</v>
      </c>
      <c r="E27" s="162">
        <v>75072.964449999999</v>
      </c>
      <c r="F27" s="162">
        <v>80180.399209999989</v>
      </c>
      <c r="G27" s="162">
        <f>SUM(C27:F27)</f>
        <v>300292.18667739996</v>
      </c>
      <c r="H27" s="162">
        <v>86502.39129</v>
      </c>
      <c r="I27" s="162">
        <v>89791.424150000006</v>
      </c>
      <c r="J27" s="162">
        <v>94185</v>
      </c>
      <c r="K27" s="162">
        <v>95913.623019999999</v>
      </c>
      <c r="L27" s="162">
        <f>SUM(H27:K27)</f>
        <v>366392.43846000003</v>
      </c>
      <c r="M27" s="162">
        <v>100655.56759000001</v>
      </c>
      <c r="N27" s="162">
        <v>106117.06878</v>
      </c>
      <c r="O27" s="162">
        <v>111197</v>
      </c>
      <c r="P27" s="162">
        <v>112709</v>
      </c>
      <c r="Q27" s="162">
        <f>ROUND(SUM(M27:P27),0)</f>
        <v>430679</v>
      </c>
      <c r="R27" s="162">
        <v>125592</v>
      </c>
      <c r="S27" s="162">
        <v>129489</v>
      </c>
      <c r="T27" s="162">
        <v>135271</v>
      </c>
      <c r="U27" s="162"/>
      <c r="V27" s="162"/>
      <c r="W27" s="179"/>
      <c r="X27" s="23"/>
      <c r="AA27" s="186"/>
    </row>
    <row r="28" spans="1:27">
      <c r="B28" s="53" t="s">
        <v>161</v>
      </c>
      <c r="C28" s="165"/>
      <c r="D28" s="165"/>
      <c r="E28" s="165"/>
      <c r="F28" s="165"/>
      <c r="G28" s="165"/>
      <c r="H28" s="165">
        <f>IFERROR(H27/C27-1,"")</f>
        <v>0.20957768570219959</v>
      </c>
      <c r="I28" s="165">
        <f t="shared" ref="I28" si="19">IFERROR(I27/D27-1,"")</f>
        <v>0.22124854487455536</v>
      </c>
      <c r="J28" s="165">
        <f t="shared" ref="J28" si="20">IFERROR(J27/E27-1,"")</f>
        <v>0.25457947065256725</v>
      </c>
      <c r="K28" s="165">
        <f t="shared" ref="K28" si="21">IFERROR(K27/F27-1,"")</f>
        <v>0.19622281711011724</v>
      </c>
      <c r="L28" s="165">
        <f t="shared" ref="L28" si="22">IFERROR(L27/G27-1,"")</f>
        <v>0.22011978571260893</v>
      </c>
      <c r="M28" s="165">
        <f t="shared" ref="M28" si="23">IFERROR(M27/H27-1,"")</f>
        <v>0.16361601210018994</v>
      </c>
      <c r="N28" s="165">
        <f t="shared" ref="N28" si="24">IFERROR(N27/I27-1,"")</f>
        <v>0.18181741502091975</v>
      </c>
      <c r="O28" s="165">
        <f t="shared" ref="O28" si="25">IFERROR(O27/J27-1,"")</f>
        <v>0.18062324149280662</v>
      </c>
      <c r="P28" s="165">
        <f t="shared" ref="P28" si="26">IFERROR(P27/K27-1,"")</f>
        <v>0.17510940001190245</v>
      </c>
      <c r="Q28" s="165">
        <f t="shared" ref="Q28:T28" si="27">IFERROR(Q27/L27-1,"")</f>
        <v>0.17545821035555642</v>
      </c>
      <c r="R28" s="165">
        <f t="shared" si="27"/>
        <v>0.2477402195134748</v>
      </c>
      <c r="S28" s="165">
        <f t="shared" si="27"/>
        <v>0.22024667180031399</v>
      </c>
      <c r="T28" s="165">
        <f t="shared" si="27"/>
        <v>0.21649864654621975</v>
      </c>
      <c r="U28" s="165"/>
      <c r="V28" s="165"/>
      <c r="W28" s="179"/>
      <c r="X28" s="25"/>
      <c r="AA28" s="186"/>
    </row>
    <row r="29" spans="1:27">
      <c r="B29" s="53" t="s">
        <v>137</v>
      </c>
      <c r="C29" s="165"/>
      <c r="D29" s="165"/>
      <c r="E29" s="165"/>
      <c r="F29" s="165"/>
      <c r="G29" s="165"/>
      <c r="H29" s="165">
        <v>0.20996231667222665</v>
      </c>
      <c r="I29" s="165">
        <v>0.22150445825841047</v>
      </c>
      <c r="J29" s="165">
        <v>0.2546412905105413</v>
      </c>
      <c r="K29" s="165">
        <v>0.19625669047601146</v>
      </c>
      <c r="L29" s="165">
        <v>0.22029854339348187</v>
      </c>
      <c r="M29" s="165">
        <v>0.16359272709236428</v>
      </c>
      <c r="N29" s="165">
        <v>0.18181367844869367</v>
      </c>
      <c r="O29" s="165">
        <v>0.18061668332411362</v>
      </c>
      <c r="P29" s="165">
        <v>0.17508880782856862</v>
      </c>
      <c r="Q29" s="165">
        <v>0.17544371568104444</v>
      </c>
      <c r="R29" s="165">
        <v>0.24774134752857302</v>
      </c>
      <c r="S29" s="165">
        <v>0.22024752953226101</v>
      </c>
      <c r="T29" s="165">
        <v>0.21649073132125629</v>
      </c>
      <c r="U29" s="165"/>
      <c r="V29" s="165"/>
      <c r="W29" s="179"/>
      <c r="X29" s="58"/>
      <c r="Y29" s="10"/>
      <c r="AA29" s="186"/>
    </row>
    <row r="30" spans="1:27">
      <c r="B30" s="53" t="s">
        <v>162</v>
      </c>
      <c r="C30" s="165"/>
      <c r="D30" s="165"/>
      <c r="E30" s="165"/>
      <c r="F30" s="165"/>
      <c r="G30" s="165"/>
      <c r="H30" s="165">
        <v>7.88444040225178E-2</v>
      </c>
      <c r="I30" s="165">
        <v>3.8013804728241674E-2</v>
      </c>
      <c r="J30" s="165">
        <v>4.8938837979239036E-2</v>
      </c>
      <c r="K30" s="165">
        <v>1.8405165661610212E-2</v>
      </c>
      <c r="L30" s="204" t="s">
        <v>16</v>
      </c>
      <c r="M30" s="165">
        <v>4.9430128732913303E-2</v>
      </c>
      <c r="N30" s="165">
        <v>5.4263299288599187E-2</v>
      </c>
      <c r="O30" s="165">
        <v>4.7858023412131523E-2</v>
      </c>
      <c r="P30" s="165">
        <v>1.360057787700053E-2</v>
      </c>
      <c r="Q30" s="204" t="s">
        <v>16</v>
      </c>
      <c r="R30" s="165">
        <v>0.1143103717762548</v>
      </c>
      <c r="S30" s="165">
        <v>3.1029233368964348E-2</v>
      </c>
      <c r="T30" s="165">
        <v>4.4650813936959244E-2</v>
      </c>
      <c r="U30" s="165"/>
      <c r="V30" s="165"/>
      <c r="W30" s="179"/>
      <c r="X30" s="58"/>
      <c r="Y30" s="10"/>
      <c r="AA30" s="186"/>
    </row>
    <row r="31" spans="1:27">
      <c r="B31" s="53" t="s">
        <v>139</v>
      </c>
      <c r="C31" s="81"/>
      <c r="D31" s="81"/>
      <c r="E31" s="81"/>
      <c r="F31" s="81"/>
      <c r="G31" s="81"/>
      <c r="H31" s="171">
        <v>0.40218011008814497</v>
      </c>
      <c r="I31" s="171">
        <v>0.43561119263303277</v>
      </c>
      <c r="J31" s="171">
        <v>0.4484278368163232</v>
      </c>
      <c r="K31" s="171">
        <v>0.42904651844315239</v>
      </c>
      <c r="L31" s="171">
        <v>0.42929449067114861</v>
      </c>
      <c r="M31" s="171">
        <v>0.45323439202018218</v>
      </c>
      <c r="N31" s="171">
        <v>0.43350305652873494</v>
      </c>
      <c r="O31" s="171">
        <v>0.42691521436434299</v>
      </c>
      <c r="P31" s="171">
        <v>0.430121747479012</v>
      </c>
      <c r="Q31" s="171">
        <v>0.43552873015696547</v>
      </c>
      <c r="R31" s="171">
        <v>0.43868687019255309</v>
      </c>
      <c r="S31" s="171">
        <v>0.43543467012642001</v>
      </c>
      <c r="T31" s="171">
        <v>0.43040267315241254</v>
      </c>
      <c r="U31" s="171"/>
      <c r="V31" s="171"/>
      <c r="W31" s="179"/>
      <c r="X31" s="25"/>
      <c r="AA31" s="186"/>
    </row>
    <row r="32" spans="1:27">
      <c r="B32" s="53"/>
      <c r="C32" s="81"/>
      <c r="D32" s="81"/>
      <c r="E32" s="81"/>
      <c r="F32" s="81"/>
      <c r="G32" s="81"/>
      <c r="H32" s="81"/>
      <c r="I32" s="81"/>
      <c r="J32" s="81"/>
      <c r="K32" s="81"/>
      <c r="L32" s="81"/>
      <c r="M32" s="81"/>
      <c r="N32" s="81"/>
      <c r="O32" s="81"/>
      <c r="P32" s="81"/>
      <c r="Q32" s="81"/>
      <c r="R32" s="81"/>
      <c r="S32" s="81"/>
      <c r="T32" s="81"/>
      <c r="U32" s="81"/>
      <c r="V32" s="81"/>
      <c r="W32" s="187"/>
      <c r="X32" s="58"/>
      <c r="AA32" s="186"/>
    </row>
    <row r="33" spans="1:27">
      <c r="A33" s="140"/>
      <c r="B33" s="140" t="s">
        <v>166</v>
      </c>
      <c r="C33" s="162">
        <v>90309.703503900004</v>
      </c>
      <c r="D33" s="162">
        <v>98131.621052100003</v>
      </c>
      <c r="E33" s="162">
        <v>101625.7207486</v>
      </c>
      <c r="F33" s="162">
        <v>102500.9259229</v>
      </c>
      <c r="G33" s="162">
        <f>SUM(C33:F33)</f>
        <v>392567.97122750001</v>
      </c>
      <c r="H33" s="162">
        <v>107749.3503889</v>
      </c>
      <c r="I33" s="162">
        <v>106022.9652722</v>
      </c>
      <c r="J33" s="162">
        <v>100016.209447</v>
      </c>
      <c r="K33" s="162">
        <v>98039.223322000005</v>
      </c>
      <c r="L33" s="162">
        <f>SUM(H33:K33)</f>
        <v>411827.74843010004</v>
      </c>
      <c r="M33" s="162">
        <v>103253.07462080001</v>
      </c>
      <c r="N33" s="162">
        <v>104572.6988212</v>
      </c>
      <c r="O33" s="162">
        <v>108299.7400092</v>
      </c>
      <c r="P33" s="162">
        <v>110590</v>
      </c>
      <c r="Q33" s="162">
        <f>ROUND(SUM(M33:P33),0)</f>
        <v>426716</v>
      </c>
      <c r="R33" s="162">
        <v>117702</v>
      </c>
      <c r="S33" s="162">
        <v>121089</v>
      </c>
      <c r="T33" s="162">
        <v>120996</v>
      </c>
      <c r="U33" s="162"/>
      <c r="V33" s="162"/>
      <c r="W33" s="179"/>
      <c r="X33" s="23"/>
      <c r="AA33" s="186"/>
    </row>
    <row r="34" spans="1:27">
      <c r="B34" s="53" t="s">
        <v>161</v>
      </c>
      <c r="C34" s="164"/>
      <c r="D34" s="164"/>
      <c r="E34" s="164"/>
      <c r="F34" s="164"/>
      <c r="G34" s="164"/>
      <c r="H34" s="165">
        <f>IFERROR(H33/C33-1,"")</f>
        <v>0.19310933607756642</v>
      </c>
      <c r="I34" s="165">
        <f t="shared" ref="I34" si="28">IFERROR(I33/D33-1,"")</f>
        <v>8.0415916250994535E-2</v>
      </c>
      <c r="J34" s="165">
        <f t="shared" ref="J34" si="29">IFERROR(J33/E33-1,"")</f>
        <v>-1.5837637260960546E-2</v>
      </c>
      <c r="K34" s="165">
        <f t="shared" ref="K34" si="30">IFERROR(K33/F33-1,"")</f>
        <v>-4.3528412653130899E-2</v>
      </c>
      <c r="L34" s="165">
        <f t="shared" ref="L34" si="31">IFERROR(L33/G33-1,"")</f>
        <v>4.9060999913919767E-2</v>
      </c>
      <c r="M34" s="165">
        <f t="shared" ref="M34" si="32">IFERROR(M33/H33-1,"")</f>
        <v>-4.1729029009191954E-2</v>
      </c>
      <c r="N34" s="165">
        <f t="shared" ref="N34" si="33">IFERROR(N33/I33-1,"")</f>
        <v>-1.3678795412641387E-2</v>
      </c>
      <c r="O34" s="165">
        <f t="shared" ref="O34" si="34">IFERROR(O33/J33-1,"")</f>
        <v>8.2821880653151103E-2</v>
      </c>
      <c r="P34" s="165">
        <f t="shared" ref="P34" si="35">IFERROR(P33/K33-1,"")</f>
        <v>0.12801791214500158</v>
      </c>
      <c r="Q34" s="165">
        <f t="shared" ref="Q34:T34" si="36">IFERROR(Q33/L33-1,"")</f>
        <v>3.6151647446424962E-2</v>
      </c>
      <c r="R34" s="165">
        <f t="shared" si="36"/>
        <v>0.13993699879896182</v>
      </c>
      <c r="S34" s="165">
        <f t="shared" si="36"/>
        <v>0.15794085229682975</v>
      </c>
      <c r="T34" s="165">
        <f t="shared" si="36"/>
        <v>0.11723259898612359</v>
      </c>
      <c r="U34" s="165"/>
      <c r="V34" s="165"/>
      <c r="W34" s="179"/>
      <c r="X34" s="25"/>
      <c r="AA34" s="186"/>
    </row>
    <row r="35" spans="1:27">
      <c r="B35" s="53" t="s">
        <v>137</v>
      </c>
      <c r="C35" s="165"/>
      <c r="D35" s="165"/>
      <c r="E35" s="165"/>
      <c r="F35" s="165"/>
      <c r="G35" s="165"/>
      <c r="H35" s="165">
        <v>0.19658647744787783</v>
      </c>
      <c r="I35" s="165">
        <v>8.1878235156195966E-2</v>
      </c>
      <c r="J35" s="165">
        <v>-1.6752872525961804E-2</v>
      </c>
      <c r="K35" s="165">
        <v>-4.4755390114886828E-2</v>
      </c>
      <c r="L35" s="165">
        <v>4.9669153353643525E-2</v>
      </c>
      <c r="M35" s="165">
        <v>-4.1982631502488044E-2</v>
      </c>
      <c r="N35" s="165">
        <v>-1.3017502182050777E-2</v>
      </c>
      <c r="O35" s="165">
        <v>8.3350368313296119E-2</v>
      </c>
      <c r="P35" s="165">
        <v>0.12942717248659585</v>
      </c>
      <c r="Q35" s="165">
        <v>3.6718196568523709E-2</v>
      </c>
      <c r="R35" s="165">
        <v>0.14273214910862464</v>
      </c>
      <c r="S35" s="165">
        <v>0.15849500055236132</v>
      </c>
      <c r="T35" s="165">
        <v>0.11805002491221073</v>
      </c>
      <c r="U35" s="165"/>
      <c r="V35" s="165"/>
      <c r="W35" s="179"/>
      <c r="X35" s="58"/>
      <c r="Y35" s="10"/>
      <c r="AA35" s="186"/>
    </row>
    <row r="36" spans="1:27">
      <c r="B36" s="53" t="s">
        <v>162</v>
      </c>
      <c r="C36" s="165"/>
      <c r="D36" s="165"/>
      <c r="E36" s="165"/>
      <c r="F36" s="165"/>
      <c r="G36" s="165"/>
      <c r="H36" s="165">
        <v>4.9454480797667788E-2</v>
      </c>
      <c r="I36" s="165">
        <v>-1.6123568412464317E-2</v>
      </c>
      <c r="J36" s="165">
        <v>-5.6534290595142145E-2</v>
      </c>
      <c r="K36" s="165">
        <v>-1.9419062170022316E-2</v>
      </c>
      <c r="L36" s="204" t="s">
        <v>16</v>
      </c>
      <c r="M36" s="165">
        <v>5.298265567667082E-2</v>
      </c>
      <c r="N36" s="165">
        <v>1.345448511825853E-2</v>
      </c>
      <c r="O36" s="165">
        <v>3.5485530503948981E-2</v>
      </c>
      <c r="P36" s="165">
        <v>2.2192737408195606E-2</v>
      </c>
      <c r="Q36" s="204" t="s">
        <v>16</v>
      </c>
      <c r="R36" s="165">
        <v>6.5059320380133068E-2</v>
      </c>
      <c r="S36" s="165">
        <v>2.7324099564889792E-2</v>
      </c>
      <c r="T36" s="165">
        <v>-1.9560962144449245E-4</v>
      </c>
      <c r="U36" s="165"/>
      <c r="V36" s="165"/>
      <c r="W36" s="179"/>
      <c r="X36" s="58"/>
      <c r="Y36" s="10"/>
      <c r="AA36" s="186"/>
    </row>
    <row r="37" spans="1:27">
      <c r="B37" s="53" t="s">
        <v>139</v>
      </c>
      <c r="C37" s="81"/>
      <c r="D37" s="81"/>
      <c r="E37" s="81"/>
      <c r="F37" s="81"/>
      <c r="G37" s="81"/>
      <c r="H37" s="171">
        <v>0.39298843637633818</v>
      </c>
      <c r="I37" s="171">
        <v>0.39422694470477626</v>
      </c>
      <c r="J37" s="171">
        <v>0.36420986454103849</v>
      </c>
      <c r="K37" s="171">
        <v>0.36124523899765132</v>
      </c>
      <c r="L37" s="171">
        <v>0.37876139173967155</v>
      </c>
      <c r="M37" s="171">
        <v>0.3608829580731307</v>
      </c>
      <c r="N37" s="171">
        <v>0.37618044598199635</v>
      </c>
      <c r="O37" s="171">
        <v>0.37246385515489999</v>
      </c>
      <c r="P37" s="171">
        <v>0.37220264468450009</v>
      </c>
      <c r="Q37" s="171">
        <v>0.37050471023888515</v>
      </c>
      <c r="R37" s="171">
        <v>0.3734162775029235</v>
      </c>
      <c r="S37" s="171">
        <v>0.37756526191478995</v>
      </c>
      <c r="T37" s="171">
        <v>0.38311183840788127</v>
      </c>
      <c r="U37" s="171"/>
      <c r="V37" s="171"/>
      <c r="W37" s="179"/>
      <c r="X37" s="25"/>
      <c r="AA37" s="186"/>
    </row>
    <row r="38" spans="1:27">
      <c r="B38" s="2"/>
      <c r="C38" s="174"/>
      <c r="D38" s="174"/>
      <c r="E38" s="174"/>
      <c r="F38" s="174"/>
      <c r="G38" s="174"/>
      <c r="H38" s="174"/>
      <c r="I38" s="174"/>
      <c r="J38" s="174"/>
      <c r="K38" s="174"/>
      <c r="L38" s="174"/>
      <c r="M38" s="174"/>
      <c r="N38" s="174"/>
      <c r="O38" s="174"/>
      <c r="P38" s="174"/>
      <c r="Q38" s="174"/>
      <c r="R38" s="174"/>
      <c r="S38" s="174"/>
      <c r="T38" s="174"/>
      <c r="U38" s="174"/>
      <c r="V38" s="174"/>
      <c r="W38" s="187"/>
      <c r="X38" s="58"/>
      <c r="AA38" s="186"/>
    </row>
    <row r="39" spans="1:27">
      <c r="A39" s="140"/>
      <c r="B39" s="140" t="s">
        <v>167</v>
      </c>
      <c r="C39" s="162">
        <v>46925.2557848</v>
      </c>
      <c r="D39" s="162">
        <v>49049.718228500002</v>
      </c>
      <c r="E39" s="162">
        <v>52478.7719182</v>
      </c>
      <c r="F39" s="162">
        <v>54991.197507500001</v>
      </c>
      <c r="G39" s="162">
        <f>SUM(C39:F39)</f>
        <v>203444.943439</v>
      </c>
      <c r="H39" s="162">
        <v>63910.053161399999</v>
      </c>
      <c r="I39" s="162">
        <v>65541.704063800003</v>
      </c>
      <c r="J39" s="162">
        <v>67699.705008300007</v>
      </c>
      <c r="K39" s="162">
        <v>68893.416792999997</v>
      </c>
      <c r="L39" s="162">
        <f>SUM(H39:K39)</f>
        <v>266044.87902650004</v>
      </c>
      <c r="M39" s="162">
        <v>74331</v>
      </c>
      <c r="N39" s="162">
        <v>79217.38673530001</v>
      </c>
      <c r="O39" s="162">
        <v>86160</v>
      </c>
      <c r="P39" s="162">
        <v>84850</v>
      </c>
      <c r="Q39" s="162">
        <f>ROUNDDOWN(SUM(M39:P39),0)</f>
        <v>324558</v>
      </c>
      <c r="R39" s="162">
        <v>85669</v>
      </c>
      <c r="S39" s="162">
        <v>91708</v>
      </c>
      <c r="T39" s="162">
        <v>92771</v>
      </c>
      <c r="U39" s="162"/>
      <c r="V39" s="162"/>
      <c r="W39" s="179"/>
      <c r="X39" s="23"/>
      <c r="AA39" s="186"/>
    </row>
    <row r="40" spans="1:27">
      <c r="B40" s="53" t="s">
        <v>161</v>
      </c>
      <c r="C40" s="164"/>
      <c r="D40" s="164"/>
      <c r="E40" s="164"/>
      <c r="F40" s="164"/>
      <c r="G40" s="164"/>
      <c r="H40" s="165">
        <f>IFERROR(H39/C39-1,"")</f>
        <v>0.36195428437284516</v>
      </c>
      <c r="I40" s="165">
        <f t="shared" ref="I40" si="37">IFERROR(I39/D39-1,"")</f>
        <v>0.33622998114834113</v>
      </c>
      <c r="J40" s="165">
        <f t="shared" ref="J40" si="38">IFERROR(J39/E39-1,"")</f>
        <v>0.29003981102730947</v>
      </c>
      <c r="K40" s="165">
        <f t="shared" ref="K40" si="39">IFERROR(K39/F39-1,"")</f>
        <v>0.25280808412298961</v>
      </c>
      <c r="L40" s="165">
        <f t="shared" ref="L40" si="40">IFERROR(L39/G39-1,"")</f>
        <v>0.30769963868022954</v>
      </c>
      <c r="M40" s="165">
        <f t="shared" ref="M40" si="41">IFERROR(M39/H39-1,"")</f>
        <v>0.16305645705352001</v>
      </c>
      <c r="N40" s="165">
        <f t="shared" ref="N40" si="42">IFERROR(N39/I39-1,"")</f>
        <v>0.20865619633855936</v>
      </c>
      <c r="O40" s="165">
        <f t="shared" ref="O40" si="43">IFERROR(O39/J39-1,"")</f>
        <v>0.2726791053142219</v>
      </c>
      <c r="P40" s="165">
        <f t="shared" ref="P40" si="44">IFERROR(P39/K39-1,"")</f>
        <v>0.23161259739727824</v>
      </c>
      <c r="Q40" s="165">
        <f t="shared" ref="Q40:T40" si="45">IFERROR(Q39/L39-1,"")</f>
        <v>0.21993703163018452</v>
      </c>
      <c r="R40" s="165">
        <f t="shared" si="45"/>
        <v>0.15253393604283549</v>
      </c>
      <c r="S40" s="165">
        <f t="shared" si="45"/>
        <v>0.1576751490987276</v>
      </c>
      <c r="T40" s="165">
        <f t="shared" si="45"/>
        <v>7.6729340761374276E-2</v>
      </c>
      <c r="U40" s="165"/>
      <c r="V40" s="165"/>
      <c r="W40" s="179"/>
      <c r="X40" s="25"/>
    </row>
    <row r="41" spans="1:27">
      <c r="B41" s="53" t="s">
        <v>137</v>
      </c>
      <c r="C41" s="165"/>
      <c r="D41" s="165"/>
      <c r="E41" s="165"/>
      <c r="F41" s="165"/>
      <c r="G41" s="165"/>
      <c r="H41" s="165">
        <v>0.44411140382446623</v>
      </c>
      <c r="I41" s="165">
        <v>0.3556556366524295</v>
      </c>
      <c r="J41" s="165">
        <v>0.25681864484820216</v>
      </c>
      <c r="K41" s="165">
        <v>0.23063510285681033</v>
      </c>
      <c r="L41" s="165">
        <v>0.31677011223230589</v>
      </c>
      <c r="M41" s="165">
        <v>0.1564229913234465</v>
      </c>
      <c r="N41" s="165">
        <v>0.2114120265728201</v>
      </c>
      <c r="O41" s="165">
        <v>0.2512489779098892</v>
      </c>
      <c r="P41" s="165">
        <v>0.23420347730305724</v>
      </c>
      <c r="Q41" s="165">
        <v>0.21424154432061471</v>
      </c>
      <c r="R41" s="165">
        <v>0.16997951015625445</v>
      </c>
      <c r="S41" s="165">
        <v>0.14965368058595496</v>
      </c>
      <c r="T41" s="165">
        <v>8.3545414827455255E-2</v>
      </c>
      <c r="U41" s="165"/>
      <c r="V41" s="165"/>
      <c r="W41" s="179"/>
      <c r="X41" s="58"/>
      <c r="Y41" s="10"/>
    </row>
    <row r="42" spans="1:27">
      <c r="B42" s="53" t="s">
        <v>162</v>
      </c>
      <c r="C42" s="165"/>
      <c r="D42" s="165"/>
      <c r="E42" s="165"/>
      <c r="F42" s="165"/>
      <c r="G42" s="165"/>
      <c r="H42" s="165">
        <v>0.14552471770069064</v>
      </c>
      <c r="I42" s="165">
        <v>1.8769191131792873E-2</v>
      </c>
      <c r="J42" s="165">
        <v>3.4431282579064915E-2</v>
      </c>
      <c r="K42" s="165">
        <v>1.9836939912264651E-2</v>
      </c>
      <c r="L42" s="204" t="s">
        <v>16</v>
      </c>
      <c r="M42" s="165">
        <v>7.5772035387413839E-2</v>
      </c>
      <c r="N42" s="165">
        <v>6.8973789692918563E-2</v>
      </c>
      <c r="O42" s="165">
        <v>6.7442825392007855E-2</v>
      </c>
      <c r="P42" s="165">
        <v>6.376513582765142E-3</v>
      </c>
      <c r="Q42" s="204" t="s">
        <v>16</v>
      </c>
      <c r="R42" s="165">
        <v>1.9742376752316826E-2</v>
      </c>
      <c r="S42" s="165">
        <v>4.7350509438401911E-2</v>
      </c>
      <c r="T42" s="165">
        <v>1.714038201393997E-2</v>
      </c>
      <c r="U42" s="165"/>
      <c r="V42" s="165"/>
      <c r="W42" s="179"/>
      <c r="X42" s="58"/>
      <c r="Y42" s="10"/>
    </row>
    <row r="43" spans="1:27">
      <c r="B43" s="53" t="s">
        <v>139</v>
      </c>
      <c r="C43" s="81"/>
      <c r="D43" s="81"/>
      <c r="E43" s="81"/>
      <c r="F43" s="81"/>
      <c r="G43" s="81"/>
      <c r="H43" s="171">
        <v>0.37470458768235854</v>
      </c>
      <c r="I43" s="171">
        <v>0.34668550793219338</v>
      </c>
      <c r="J43" s="171">
        <v>0.34991467745384885</v>
      </c>
      <c r="K43" s="171">
        <v>0.33448641945192947</v>
      </c>
      <c r="L43" s="171">
        <v>0.3510790441562921</v>
      </c>
      <c r="M43" s="171">
        <v>0.35859707673410901</v>
      </c>
      <c r="N43" s="171">
        <v>0.34058630309471327</v>
      </c>
      <c r="O43" s="171">
        <v>0.35619174693185279</v>
      </c>
      <c r="P43" s="171">
        <v>0.34799891820055195</v>
      </c>
      <c r="Q43" s="171">
        <v>0.3507921679781606</v>
      </c>
      <c r="R43" s="171">
        <v>0.36626253031160388</v>
      </c>
      <c r="S43" s="171">
        <v>0.35132158590308371</v>
      </c>
      <c r="T43" s="171">
        <v>0.35812915674079182</v>
      </c>
      <c r="U43" s="171"/>
      <c r="V43" s="171"/>
      <c r="W43" s="179"/>
      <c r="X43" s="25"/>
    </row>
    <row r="44" spans="1:27">
      <c r="B44" s="53"/>
      <c r="W44" s="187"/>
      <c r="X44" s="20"/>
    </row>
    <row r="45" spans="1:27">
      <c r="A45" s="161"/>
      <c r="B45" s="140" t="s">
        <v>144</v>
      </c>
      <c r="C45" s="177">
        <f t="shared" ref="C45:T45" si="46">C21+C27+C33+C39</f>
        <v>329207.74923669995</v>
      </c>
      <c r="D45" s="177">
        <f t="shared" si="46"/>
        <v>346782.37097509997</v>
      </c>
      <c r="E45" s="177">
        <f t="shared" si="46"/>
        <v>361351.25608939998</v>
      </c>
      <c r="F45" s="177">
        <f t="shared" si="46"/>
        <v>374702.60060970002</v>
      </c>
      <c r="G45" s="177">
        <f t="shared" si="46"/>
        <v>1412043.9769109001</v>
      </c>
      <c r="H45" s="177">
        <f t="shared" si="46"/>
        <v>400643.05805170001</v>
      </c>
      <c r="I45" s="177">
        <f t="shared" si="46"/>
        <v>404996.16399889998</v>
      </c>
      <c r="J45" s="177">
        <f t="shared" si="46"/>
        <v>410970.91445530002</v>
      </c>
      <c r="K45" s="177">
        <f t="shared" si="46"/>
        <v>414057.94966600003</v>
      </c>
      <c r="L45" s="177">
        <f t="shared" si="46"/>
        <v>1630668.0861719002</v>
      </c>
      <c r="M45" s="177">
        <f t="shared" si="46"/>
        <v>436506.75519519998</v>
      </c>
      <c r="N45" s="177">
        <f t="shared" si="46"/>
        <v>448366.15433649998</v>
      </c>
      <c r="O45" s="177">
        <f t="shared" si="46"/>
        <v>472072.7400092</v>
      </c>
      <c r="P45" s="177">
        <f t="shared" si="46"/>
        <v>481426</v>
      </c>
      <c r="Q45" s="177">
        <f>(Q21+Q27+Q33+Q39)</f>
        <v>1838372</v>
      </c>
      <c r="R45" s="177">
        <f t="shared" si="46"/>
        <v>501019</v>
      </c>
      <c r="S45" s="177">
        <f t="shared" si="46"/>
        <v>514460</v>
      </c>
      <c r="T45" s="177">
        <f t="shared" si="46"/>
        <v>529585</v>
      </c>
      <c r="U45" s="177"/>
      <c r="V45" s="177"/>
      <c r="W45" s="179"/>
      <c r="X45" s="23"/>
    </row>
    <row r="46" spans="1:27">
      <c r="B46" s="53"/>
      <c r="W46" s="168"/>
      <c r="X46" s="25"/>
    </row>
    <row r="47" spans="1:27" ht="40.5" customHeight="1">
      <c r="B47" s="251" t="s">
        <v>168</v>
      </c>
      <c r="C47" s="251"/>
      <c r="D47" s="251"/>
      <c r="E47" s="251"/>
      <c r="F47" s="251"/>
      <c r="G47" s="251"/>
      <c r="H47" s="251"/>
      <c r="I47" s="251"/>
      <c r="J47" s="251"/>
      <c r="K47" s="251"/>
      <c r="L47" s="251"/>
      <c r="M47" s="251"/>
      <c r="N47" s="251"/>
      <c r="O47" s="251"/>
      <c r="P47" s="251"/>
      <c r="Q47" s="251"/>
      <c r="R47" s="251"/>
      <c r="S47" s="252"/>
      <c r="W47" s="168"/>
      <c r="X47" s="20"/>
    </row>
    <row r="48" spans="1:27" ht="27.75" customHeight="1">
      <c r="B48" s="251" t="s">
        <v>169</v>
      </c>
      <c r="C48" s="251"/>
      <c r="D48" s="251"/>
      <c r="E48" s="251"/>
      <c r="F48" s="251"/>
      <c r="G48" s="251"/>
      <c r="H48" s="251"/>
      <c r="I48" s="251"/>
      <c r="J48" s="251"/>
      <c r="K48" s="251"/>
      <c r="L48" s="251"/>
      <c r="M48" s="251"/>
      <c r="N48" s="251"/>
      <c r="O48" s="251"/>
      <c r="P48" s="251"/>
      <c r="Q48" s="251"/>
      <c r="R48" s="251"/>
      <c r="S48" s="252"/>
      <c r="W48" s="168"/>
      <c r="X48" s="20"/>
    </row>
    <row r="49" spans="1:27" ht="13.5" customHeight="1">
      <c r="B49" s="53"/>
      <c r="W49" s="168"/>
      <c r="X49" s="20"/>
    </row>
    <row r="50" spans="1:27" ht="14.25">
      <c r="B50" s="185" t="s">
        <v>170</v>
      </c>
      <c r="C50" s="132"/>
      <c r="D50" s="132"/>
      <c r="E50" s="132"/>
      <c r="F50" s="132"/>
      <c r="G50" s="132"/>
      <c r="H50" s="132"/>
      <c r="I50" s="132"/>
      <c r="J50" s="132"/>
      <c r="K50" s="132"/>
      <c r="L50" s="132"/>
      <c r="M50" s="132"/>
      <c r="N50" s="132"/>
      <c r="O50" s="132"/>
      <c r="P50" s="132"/>
      <c r="Q50" s="132"/>
      <c r="R50" s="132"/>
      <c r="S50" s="132"/>
      <c r="T50" s="132"/>
      <c r="U50" s="132"/>
      <c r="V50" s="132"/>
      <c r="W50" s="168"/>
      <c r="X50" s="20"/>
    </row>
    <row r="51" spans="1:27">
      <c r="A51" s="140"/>
      <c r="B51" s="140" t="s">
        <v>140</v>
      </c>
      <c r="C51" s="201">
        <v>135663.65103739986</v>
      </c>
      <c r="D51" s="201">
        <v>141866.47826600005</v>
      </c>
      <c r="E51" s="201">
        <v>149333.29016689997</v>
      </c>
      <c r="F51" s="201">
        <v>155956.04112889993</v>
      </c>
      <c r="G51" s="201">
        <f>SUM(C51:F51)</f>
        <v>582819.46059919987</v>
      </c>
      <c r="H51" s="162">
        <v>163534.86315989954</v>
      </c>
      <c r="I51" s="162">
        <v>164376.86029549976</v>
      </c>
      <c r="J51" s="162">
        <v>170787</v>
      </c>
      <c r="K51" s="162">
        <v>174170.6501427998</v>
      </c>
      <c r="L51" s="162">
        <f>SUM(H51:K51)</f>
        <v>672869.3735981991</v>
      </c>
      <c r="M51" s="162">
        <v>183058.7630741001</v>
      </c>
      <c r="N51" s="162">
        <v>185660.16249630033</v>
      </c>
      <c r="O51" s="162">
        <v>197044.79557270018</v>
      </c>
      <c r="P51" s="162">
        <v>201547</v>
      </c>
      <c r="Q51" s="162">
        <f>ROUND(SUM(M51:P51),0)</f>
        <v>767311</v>
      </c>
      <c r="R51" s="162">
        <v>200361.25199999998</v>
      </c>
      <c r="S51" s="162">
        <v>203222</v>
      </c>
      <c r="T51" s="162">
        <v>211147</v>
      </c>
      <c r="U51" s="162"/>
      <c r="V51" s="162"/>
      <c r="W51" s="179"/>
      <c r="X51" s="23"/>
      <c r="Y51" s="178"/>
      <c r="AA51" s="168"/>
    </row>
    <row r="52" spans="1:27">
      <c r="A52" s="180"/>
      <c r="B52" s="33" t="s">
        <v>24</v>
      </c>
      <c r="C52" s="181"/>
      <c r="D52" s="181"/>
      <c r="E52" s="181"/>
      <c r="F52" s="181"/>
      <c r="G52" s="181"/>
      <c r="H52" s="181">
        <f t="shared" ref="H52:T52" si="47">H51/H$72</f>
        <v>0.40818094778718678</v>
      </c>
      <c r="I52" s="181">
        <f t="shared" si="47"/>
        <v>0.40587313620213555</v>
      </c>
      <c r="J52" s="181">
        <f t="shared" si="47"/>
        <v>0.41556946840531328</v>
      </c>
      <c r="K52" s="181">
        <f t="shared" si="47"/>
        <v>0.42064313330433412</v>
      </c>
      <c r="L52" s="181">
        <f t="shared" si="47"/>
        <v>0.41263426556099003</v>
      </c>
      <c r="M52" s="181">
        <f t="shared" si="47"/>
        <v>0.4193719774476104</v>
      </c>
      <c r="N52" s="181">
        <f t="shared" si="47"/>
        <v>0.41408191590922583</v>
      </c>
      <c r="O52" s="181">
        <f t="shared" si="47"/>
        <v>0.41740329541770815</v>
      </c>
      <c r="P52" s="181">
        <f t="shared" si="47"/>
        <v>0.41864585626866851</v>
      </c>
      <c r="Q52" s="181">
        <f t="shared" si="47"/>
        <v>0.4173861682698975</v>
      </c>
      <c r="R52" s="181">
        <f t="shared" si="47"/>
        <v>0.39990720757721143</v>
      </c>
      <c r="S52" s="181">
        <f t="shared" si="47"/>
        <v>0.39502002099288575</v>
      </c>
      <c r="T52" s="181">
        <f t="shared" si="47"/>
        <v>0.3987027578198023</v>
      </c>
      <c r="U52" s="181"/>
      <c r="V52" s="181"/>
      <c r="W52" s="179"/>
      <c r="X52" s="238"/>
      <c r="Y52" s="168"/>
    </row>
    <row r="53" spans="1:27">
      <c r="A53" s="180"/>
      <c r="B53" s="53" t="s">
        <v>161</v>
      </c>
      <c r="C53" s="181"/>
      <c r="D53" s="181"/>
      <c r="E53" s="181"/>
      <c r="F53" s="181"/>
      <c r="G53" s="181"/>
      <c r="H53" s="181">
        <f t="shared" ref="H53:T53" si="48">H51/C51-1</f>
        <v>0.20544347663779239</v>
      </c>
      <c r="I53" s="181">
        <f t="shared" si="48"/>
        <v>0.15867301637877196</v>
      </c>
      <c r="J53" s="181">
        <f t="shared" si="48"/>
        <v>0.14366327701695081</v>
      </c>
      <c r="K53" s="181">
        <f t="shared" si="48"/>
        <v>0.11679322507837475</v>
      </c>
      <c r="L53" s="181">
        <f t="shared" si="48"/>
        <v>0.15450738879998682</v>
      </c>
      <c r="M53" s="181">
        <f t="shared" si="48"/>
        <v>0.11938677500901251</v>
      </c>
      <c r="N53" s="181">
        <f t="shared" si="48"/>
        <v>0.12947870011958895</v>
      </c>
      <c r="O53" s="181">
        <f t="shared" si="48"/>
        <v>0.15374586808539403</v>
      </c>
      <c r="P53" s="181">
        <f t="shared" si="48"/>
        <v>0.15718118887857835</v>
      </c>
      <c r="Q53" s="181">
        <f t="shared" si="48"/>
        <v>0.14035655374945977</v>
      </c>
      <c r="R53" s="181">
        <f t="shared" si="48"/>
        <v>9.4518768920644369E-2</v>
      </c>
      <c r="S53" s="181">
        <f t="shared" si="48"/>
        <v>9.4591307405807346E-2</v>
      </c>
      <c r="T53" s="181">
        <f t="shared" si="48"/>
        <v>7.1568520174879691E-2</v>
      </c>
      <c r="U53" s="181"/>
      <c r="V53" s="181"/>
      <c r="W53" s="179"/>
      <c r="X53" s="238"/>
      <c r="Y53" s="168"/>
    </row>
    <row r="54" spans="1:27">
      <c r="A54" s="180"/>
      <c r="B54" s="53" t="s">
        <v>137</v>
      </c>
      <c r="C54" s="181"/>
      <c r="D54" s="181"/>
      <c r="E54" s="181"/>
      <c r="F54" s="181"/>
      <c r="G54" s="181"/>
      <c r="H54" s="165">
        <v>0.21720939045991128</v>
      </c>
      <c r="I54" s="165">
        <v>0.16554260414617072</v>
      </c>
      <c r="J54" s="165">
        <v>0.14429181134640223</v>
      </c>
      <c r="K54" s="165">
        <v>0.11680166961050409</v>
      </c>
      <c r="L54" s="165">
        <v>0.15908161685177369</v>
      </c>
      <c r="M54" s="165">
        <v>0.12146784724538007</v>
      </c>
      <c r="N54" s="165">
        <v>0.12940893868735803</v>
      </c>
      <c r="O54" s="165">
        <v>0.14895201656770074</v>
      </c>
      <c r="P54" s="165">
        <v>0.15807118447699264</v>
      </c>
      <c r="Q54" s="165">
        <v>0.13985847635201321</v>
      </c>
      <c r="R54" s="165">
        <v>9.7095769849078861E-2</v>
      </c>
      <c r="S54" s="165">
        <v>9.4758734462452532E-2</v>
      </c>
      <c r="T54" s="165">
        <v>7.3448999767420808E-2</v>
      </c>
      <c r="U54" s="165"/>
      <c r="V54" s="165"/>
      <c r="W54" s="179"/>
      <c r="X54" s="238"/>
      <c r="Y54" s="168"/>
    </row>
    <row r="55" spans="1:27">
      <c r="A55" s="180"/>
      <c r="B55" s="33" t="s">
        <v>171</v>
      </c>
      <c r="C55" s="182"/>
      <c r="D55" s="182"/>
      <c r="E55" s="182"/>
      <c r="F55" s="182"/>
      <c r="G55" s="182"/>
      <c r="H55" s="182">
        <f>H51/F51-1</f>
        <v>4.8595886226270757E-2</v>
      </c>
      <c r="I55" s="182">
        <f>I51/H51-1</f>
        <v>5.148731709745169E-3</v>
      </c>
      <c r="J55" s="182">
        <f>J51/I51-1</f>
        <v>3.8996606292252656E-2</v>
      </c>
      <c r="K55" s="182">
        <f>K51/J51-1</f>
        <v>1.9812105972935923E-2</v>
      </c>
      <c r="L55" s="182" t="s">
        <v>16</v>
      </c>
      <c r="M55" s="182">
        <f>M51/K51-1</f>
        <v>5.1031060193052591E-2</v>
      </c>
      <c r="N55" s="182">
        <f>N51/M51-1</f>
        <v>1.4210734184559204E-2</v>
      </c>
      <c r="O55" s="182">
        <f>O51/N51-1</f>
        <v>6.1319740989813631E-2</v>
      </c>
      <c r="P55" s="182">
        <f>P51/O51-1</f>
        <v>2.2848634059145834E-2</v>
      </c>
      <c r="Q55" s="182" t="s">
        <v>16</v>
      </c>
      <c r="R55" s="182">
        <f>R51/P51-1</f>
        <v>-5.8832331912657132E-3</v>
      </c>
      <c r="S55" s="182">
        <f>S51/R51-1</f>
        <v>1.4277950309474097E-2</v>
      </c>
      <c r="T55" s="182">
        <f>T51/S51-1</f>
        <v>3.8996762161576992E-2</v>
      </c>
      <c r="U55" s="182"/>
      <c r="V55" s="182"/>
      <c r="W55" s="179"/>
      <c r="X55" s="20"/>
      <c r="Y55" s="168"/>
    </row>
    <row r="56" spans="1:27">
      <c r="A56" s="180"/>
      <c r="B56" s="53" t="s">
        <v>162</v>
      </c>
      <c r="C56" s="181"/>
      <c r="D56" s="181"/>
      <c r="E56" s="181"/>
      <c r="F56" s="181"/>
      <c r="G56" s="181"/>
      <c r="H56" s="165">
        <v>4.704405813645729E-2</v>
      </c>
      <c r="I56" s="165">
        <v>6.6028988971280622E-3</v>
      </c>
      <c r="J56" s="165">
        <v>3.9686566997159334E-2</v>
      </c>
      <c r="K56" s="165">
        <v>1.9387352313619877E-2</v>
      </c>
      <c r="L56" s="204" t="s">
        <v>16</v>
      </c>
      <c r="M56" s="165">
        <v>5.1627817145587063E-2</v>
      </c>
      <c r="N56" s="165">
        <v>1.3641153052527333E-2</v>
      </c>
      <c r="O56" s="165">
        <v>5.7670542492460841E-2</v>
      </c>
      <c r="P56" s="165">
        <v>2.6904297722208481E-2</v>
      </c>
      <c r="Q56" s="204" t="s">
        <v>16</v>
      </c>
      <c r="R56" s="165">
        <v>-4.1697425497299045E-3</v>
      </c>
      <c r="S56" s="165">
        <v>1.1210951790070478E-2</v>
      </c>
      <c r="T56" s="165">
        <v>3.9414742771834099E-2</v>
      </c>
      <c r="U56" s="165"/>
      <c r="V56" s="165"/>
      <c r="W56" s="179"/>
      <c r="X56" s="20"/>
      <c r="Y56" s="10"/>
    </row>
    <row r="57" spans="1:27">
      <c r="A57" s="180"/>
      <c r="B57" s="53"/>
      <c r="C57" s="181"/>
      <c r="D57" s="181"/>
      <c r="E57" s="181"/>
      <c r="F57" s="181"/>
      <c r="G57" s="181"/>
      <c r="H57" s="165"/>
      <c r="I57" s="165"/>
      <c r="J57" s="165"/>
      <c r="K57" s="165"/>
      <c r="L57" s="204"/>
      <c r="M57" s="165"/>
      <c r="N57" s="165"/>
      <c r="O57" s="165"/>
      <c r="P57" s="165"/>
      <c r="Q57" s="204"/>
      <c r="R57" s="165"/>
      <c r="S57" s="165"/>
      <c r="T57" s="165"/>
      <c r="U57" s="165"/>
      <c r="V57" s="165"/>
      <c r="W57" s="179"/>
      <c r="X57" s="20"/>
      <c r="Y57" s="10"/>
    </row>
    <row r="58" spans="1:27">
      <c r="A58" s="140"/>
      <c r="B58" s="140" t="s">
        <v>165</v>
      </c>
      <c r="C58" s="201">
        <v>71907.491080599997</v>
      </c>
      <c r="D58" s="201">
        <v>73920.660845699982</v>
      </c>
      <c r="E58" s="201">
        <v>75509.196349399979</v>
      </c>
      <c r="F58" s="201">
        <v>80453.716388599962</v>
      </c>
      <c r="G58" s="201">
        <f>SUM(C58:F58)</f>
        <v>301791.06466429989</v>
      </c>
      <c r="H58" s="162">
        <v>86730.815244399942</v>
      </c>
      <c r="I58" s="162">
        <v>90033.684872300058</v>
      </c>
      <c r="J58" s="162">
        <v>94427</v>
      </c>
      <c r="K58" s="162">
        <v>96148.07743110013</v>
      </c>
      <c r="L58" s="162">
        <f>SUM(H58:K58)</f>
        <v>367339.57754780015</v>
      </c>
      <c r="M58" s="162">
        <v>100900.13991030001</v>
      </c>
      <c r="N58" s="162">
        <v>106438</v>
      </c>
      <c r="O58" s="162">
        <v>111496.05263810002</v>
      </c>
      <c r="P58" s="162">
        <v>112956</v>
      </c>
      <c r="Q58" s="162">
        <f>SUM(M58:P58)</f>
        <v>431790.19254840002</v>
      </c>
      <c r="R58" s="162">
        <v>125826.29300000001</v>
      </c>
      <c r="S58" s="162">
        <v>129737</v>
      </c>
      <c r="T58" s="162">
        <v>135503</v>
      </c>
      <c r="U58" s="162"/>
      <c r="V58" s="162"/>
      <c r="W58" s="179"/>
      <c r="X58" s="25"/>
      <c r="Y58" s="178"/>
      <c r="AA58" s="168"/>
    </row>
    <row r="59" spans="1:27">
      <c r="A59" s="180"/>
      <c r="B59" s="33" t="s">
        <v>24</v>
      </c>
      <c r="C59" s="181"/>
      <c r="D59" s="181"/>
      <c r="E59" s="181"/>
      <c r="F59" s="181"/>
      <c r="G59" s="181"/>
      <c r="H59" s="181">
        <f t="shared" ref="H59:T59" si="49">+H58/H$72</f>
        <v>0.21647901667425901</v>
      </c>
      <c r="I59" s="181">
        <f t="shared" si="49"/>
        <v>0.22230777481248454</v>
      </c>
      <c r="J59" s="181">
        <f t="shared" si="49"/>
        <v>0.22976560389905856</v>
      </c>
      <c r="K59" s="181">
        <f t="shared" si="49"/>
        <v>0.23220920699696684</v>
      </c>
      <c r="L59" s="181">
        <f t="shared" si="49"/>
        <v>0.2252694248548669</v>
      </c>
      <c r="M59" s="181">
        <f t="shared" si="49"/>
        <v>0.23115359509882938</v>
      </c>
      <c r="N59" s="181">
        <f t="shared" si="49"/>
        <v>0.23739099639334016</v>
      </c>
      <c r="O59" s="181">
        <f t="shared" si="49"/>
        <v>0.2361839583834052</v>
      </c>
      <c r="P59" s="181">
        <f t="shared" si="49"/>
        <v>0.23462795943717207</v>
      </c>
      <c r="Q59" s="181">
        <f t="shared" si="49"/>
        <v>0.23487641121305172</v>
      </c>
      <c r="R59" s="181">
        <f t="shared" si="49"/>
        <v>0.25114058217914326</v>
      </c>
      <c r="S59" s="181">
        <f t="shared" si="49"/>
        <v>0.25218092757454419</v>
      </c>
      <c r="T59" s="181">
        <f t="shared" si="49"/>
        <v>0.25586638594371064</v>
      </c>
      <c r="U59" s="181"/>
      <c r="V59" s="181"/>
      <c r="W59" s="179"/>
      <c r="X59" s="20"/>
    </row>
    <row r="60" spans="1:27">
      <c r="A60" s="180"/>
      <c r="B60" s="53" t="s">
        <v>161</v>
      </c>
      <c r="C60" s="181"/>
      <c r="D60" s="181"/>
      <c r="E60" s="181"/>
      <c r="F60" s="181"/>
      <c r="G60" s="181"/>
      <c r="H60" s="181">
        <f t="shared" ref="H60:T60" si="50">H58/C58-1</f>
        <v>0.20614436606034148</v>
      </c>
      <c r="I60" s="181">
        <f t="shared" si="50"/>
        <v>0.21797727241960096</v>
      </c>
      <c r="J60" s="181">
        <f t="shared" si="50"/>
        <v>0.25053641894243728</v>
      </c>
      <c r="K60" s="181">
        <f t="shared" si="50"/>
        <v>0.19507316438552991</v>
      </c>
      <c r="L60" s="181">
        <f t="shared" si="50"/>
        <v>0.21719832214520252</v>
      </c>
      <c r="M60" s="181">
        <f t="shared" si="50"/>
        <v>0.16337128419665081</v>
      </c>
      <c r="N60" s="181">
        <f t="shared" si="50"/>
        <v>0.18220197419407103</v>
      </c>
      <c r="O60" s="181">
        <f t="shared" si="50"/>
        <v>0.18076453385260605</v>
      </c>
      <c r="P60" s="181">
        <f t="shared" si="50"/>
        <v>0.174812882565899</v>
      </c>
      <c r="Q60" s="181">
        <f t="shared" si="50"/>
        <v>0.17545241226345465</v>
      </c>
      <c r="R60" s="181">
        <f t="shared" si="50"/>
        <v>0.24703784466363765</v>
      </c>
      <c r="S60" s="181">
        <f t="shared" si="50"/>
        <v>0.2188973862718202</v>
      </c>
      <c r="T60" s="181">
        <f t="shared" si="50"/>
        <v>0.21531656766202323</v>
      </c>
      <c r="U60" s="181"/>
      <c r="V60" s="181"/>
      <c r="W60" s="179"/>
      <c r="X60" s="20"/>
    </row>
    <row r="61" spans="1:27">
      <c r="A61" s="180"/>
      <c r="B61" s="53" t="s">
        <v>137</v>
      </c>
      <c r="C61" s="181"/>
      <c r="D61" s="181"/>
      <c r="E61" s="181"/>
      <c r="F61" s="181"/>
      <c r="G61" s="181"/>
      <c r="H61" s="165">
        <v>0.20658735262017469</v>
      </c>
      <c r="I61" s="165">
        <v>0.2182176000884386</v>
      </c>
      <c r="J61" s="165">
        <v>0.25051620086869497</v>
      </c>
      <c r="K61" s="165">
        <v>0.19505341763955841</v>
      </c>
      <c r="L61" s="165">
        <v>0.21735241511893477</v>
      </c>
      <c r="M61" s="165">
        <v>0.16333089321116168</v>
      </c>
      <c r="N61" s="165">
        <v>0.1821890676702338</v>
      </c>
      <c r="O61" s="165">
        <v>0.1807178141482122</v>
      </c>
      <c r="P61" s="165">
        <v>0.17479741808403126</v>
      </c>
      <c r="Q61" s="165">
        <v>0.17542364757566076</v>
      </c>
      <c r="R61" s="165">
        <v>0.24705007285877256</v>
      </c>
      <c r="S61" s="165">
        <v>0.21885583205827364</v>
      </c>
      <c r="T61" s="165">
        <v>0.21529351474856107</v>
      </c>
      <c r="U61" s="165"/>
      <c r="V61" s="165"/>
      <c r="W61" s="179"/>
      <c r="X61" s="20"/>
    </row>
    <row r="62" spans="1:27">
      <c r="A62" s="180"/>
      <c r="B62" s="33" t="s">
        <v>171</v>
      </c>
      <c r="C62" s="182"/>
      <c r="D62" s="182"/>
      <c r="E62" s="182"/>
      <c r="F62" s="182"/>
      <c r="G62" s="182"/>
      <c r="H62" s="182">
        <f>H58/F58-1</f>
        <v>7.8021241747005643E-2</v>
      </c>
      <c r="I62" s="182">
        <f>I58/H58-1</f>
        <v>3.8081846902890515E-2</v>
      </c>
      <c r="J62" s="182">
        <f>J58/I58-1</f>
        <v>4.8796349210089796E-2</v>
      </c>
      <c r="K62" s="182">
        <f>K58/J58-1</f>
        <v>1.8226539348916493E-2</v>
      </c>
      <c r="L62" s="182" t="s">
        <v>16</v>
      </c>
      <c r="M62" s="182">
        <f>M58/K58-1</f>
        <v>4.9424414987446985E-2</v>
      </c>
      <c r="N62" s="182">
        <f>N58/M58-1</f>
        <v>5.488456304047884E-2</v>
      </c>
      <c r="O62" s="182">
        <f>O58/N58-1</f>
        <v>4.7521116876491742E-2</v>
      </c>
      <c r="P62" s="182">
        <f>P58/O58-1</f>
        <v>1.3094161877091226E-2</v>
      </c>
      <c r="Q62" s="182" t="s">
        <v>16</v>
      </c>
      <c r="R62" s="182">
        <f>R58/P58-1</f>
        <v>0.11394076454548685</v>
      </c>
      <c r="S62" s="182">
        <f>S58/R58-1</f>
        <v>3.1080205152352436E-2</v>
      </c>
      <c r="T62" s="182">
        <f>T58/S58-1</f>
        <v>4.4443759297656094E-2</v>
      </c>
      <c r="U62" s="182"/>
      <c r="V62" s="182"/>
      <c r="W62" s="179"/>
      <c r="X62" s="20"/>
    </row>
    <row r="63" spans="1:27">
      <c r="A63" s="180"/>
      <c r="B63" s="53" t="s">
        <v>162</v>
      </c>
      <c r="C63" s="181"/>
      <c r="D63" s="181"/>
      <c r="E63" s="181"/>
      <c r="F63" s="181"/>
      <c r="G63" s="181"/>
      <c r="H63" s="165">
        <v>7.7978784563505599E-2</v>
      </c>
      <c r="I63" s="165">
        <v>3.8058578658560771E-2</v>
      </c>
      <c r="J63" s="165">
        <v>4.8807607818481369E-2</v>
      </c>
      <c r="K63" s="165">
        <v>1.8274538959614839E-2</v>
      </c>
      <c r="L63" s="204" t="s">
        <v>16</v>
      </c>
      <c r="M63" s="165">
        <v>4.9411913170124055E-2</v>
      </c>
      <c r="N63" s="165">
        <v>5.4888301159180752E-2</v>
      </c>
      <c r="O63" s="165">
        <v>4.747766753935112E-2</v>
      </c>
      <c r="P63" s="165">
        <v>1.3133108704330931E-2</v>
      </c>
      <c r="Q63" s="204" t="s">
        <v>16</v>
      </c>
      <c r="R63" s="165">
        <v>0.1139514742879475</v>
      </c>
      <c r="S63" s="165">
        <v>3.1036742522621896E-2</v>
      </c>
      <c r="T63" s="165">
        <v>4.4446285113549866E-2</v>
      </c>
      <c r="U63" s="165"/>
      <c r="V63" s="165"/>
      <c r="W63" s="179"/>
      <c r="X63" s="20"/>
      <c r="Y63" s="10"/>
    </row>
    <row r="64" spans="1:27">
      <c r="A64" s="180"/>
      <c r="B64" s="53"/>
      <c r="C64" s="181"/>
      <c r="D64" s="181"/>
      <c r="E64" s="181"/>
      <c r="F64" s="181"/>
      <c r="G64" s="181"/>
      <c r="H64" s="165"/>
      <c r="I64" s="165"/>
      <c r="J64" s="165"/>
      <c r="K64" s="165"/>
      <c r="L64" s="204"/>
      <c r="M64" s="165"/>
      <c r="N64" s="165"/>
      <c r="O64" s="165"/>
      <c r="P64" s="165"/>
      <c r="Q64" s="204"/>
      <c r="R64" s="165"/>
      <c r="S64" s="165"/>
      <c r="T64" s="165"/>
      <c r="U64" s="165"/>
      <c r="V64" s="165"/>
      <c r="W64" s="179"/>
      <c r="X64" s="20"/>
      <c r="Y64" s="10"/>
    </row>
    <row r="65" spans="1:27">
      <c r="A65" s="140"/>
      <c r="B65" s="140" t="s">
        <v>172</v>
      </c>
      <c r="C65" s="201">
        <v>121636.60711870003</v>
      </c>
      <c r="D65" s="201">
        <v>130995.23185800004</v>
      </c>
      <c r="E65" s="201">
        <v>136508.76957309985</v>
      </c>
      <c r="F65" s="201">
        <v>138292.84309219997</v>
      </c>
      <c r="G65" s="201">
        <f>SUM(C65:F65)</f>
        <v>527433.45164199988</v>
      </c>
      <c r="H65" s="162">
        <v>150377.37964739988</v>
      </c>
      <c r="I65" s="162">
        <v>150585.11883109994</v>
      </c>
      <c r="J65" s="162">
        <v>145757</v>
      </c>
      <c r="K65" s="162">
        <v>143739.26209210002</v>
      </c>
      <c r="L65" s="162">
        <f>SUM(H65:K65)</f>
        <v>590458.76057059981</v>
      </c>
      <c r="M65" s="162">
        <v>152548</v>
      </c>
      <c r="N65" s="162">
        <v>156267.62060879997</v>
      </c>
      <c r="O65" s="162">
        <v>163532.07918549998</v>
      </c>
      <c r="P65" s="162">
        <v>166923</v>
      </c>
      <c r="Q65" s="162">
        <f>SUM(M65:P65)</f>
        <v>639270.6997942999</v>
      </c>
      <c r="R65" s="162">
        <v>174831.81200000001</v>
      </c>
      <c r="S65" s="162">
        <v>181501</v>
      </c>
      <c r="T65" s="162">
        <v>182935</v>
      </c>
      <c r="U65" s="162"/>
      <c r="V65" s="162"/>
      <c r="W65" s="179"/>
      <c r="X65" s="25"/>
      <c r="Y65" s="178"/>
      <c r="AA65" s="168"/>
    </row>
    <row r="66" spans="1:27">
      <c r="A66" s="180"/>
      <c r="B66" s="33" t="s">
        <v>24</v>
      </c>
      <c r="C66" s="181"/>
      <c r="D66" s="181"/>
      <c r="E66" s="181"/>
      <c r="F66" s="181"/>
      <c r="G66" s="181"/>
      <c r="H66" s="181">
        <f t="shared" ref="H66:T66" si="51">+H65/H$72</f>
        <v>0.37534003553855422</v>
      </c>
      <c r="I66" s="181">
        <f t="shared" si="51"/>
        <v>0.37181908898537996</v>
      </c>
      <c r="J66" s="181">
        <f t="shared" si="51"/>
        <v>0.35466492769562818</v>
      </c>
      <c r="K66" s="181">
        <f t="shared" si="51"/>
        <v>0.34714765969869915</v>
      </c>
      <c r="L66" s="181">
        <f t="shared" si="51"/>
        <v>0.36209630958414307</v>
      </c>
      <c r="M66" s="181">
        <f t="shared" si="51"/>
        <v>0.34947442745356028</v>
      </c>
      <c r="N66" s="181">
        <f t="shared" si="51"/>
        <v>0.34852708769743407</v>
      </c>
      <c r="O66" s="181">
        <f t="shared" si="51"/>
        <v>0.34641274619888668</v>
      </c>
      <c r="P66" s="181">
        <f t="shared" si="51"/>
        <v>0.34672618429415941</v>
      </c>
      <c r="Q66" s="181">
        <f t="shared" si="51"/>
        <v>0.34773742051705081</v>
      </c>
      <c r="R66" s="181">
        <f t="shared" si="51"/>
        <v>0.34895221024364537</v>
      </c>
      <c r="S66" s="181">
        <f t="shared" si="51"/>
        <v>0.35279905143257007</v>
      </c>
      <c r="T66" s="181">
        <f t="shared" si="51"/>
        <v>0.34543085623648706</v>
      </c>
      <c r="U66" s="181"/>
      <c r="V66" s="181"/>
      <c r="W66" s="179"/>
      <c r="X66" s="20"/>
    </row>
    <row r="67" spans="1:27">
      <c r="A67" s="180"/>
      <c r="B67" s="53" t="s">
        <v>161</v>
      </c>
      <c r="C67" s="181"/>
      <c r="D67" s="181"/>
      <c r="E67" s="181"/>
      <c r="F67" s="181"/>
      <c r="G67" s="181"/>
      <c r="H67" s="181">
        <f t="shared" ref="H67:T67" si="52">H65/C65-1</f>
        <v>0.2362839050636536</v>
      </c>
      <c r="I67" s="181">
        <f t="shared" si="52"/>
        <v>0.14954656513250431</v>
      </c>
      <c r="J67" s="181">
        <f t="shared" si="52"/>
        <v>6.7748251308849206E-2</v>
      </c>
      <c r="K67" s="181">
        <f t="shared" si="52"/>
        <v>3.9383231106680849E-2</v>
      </c>
      <c r="L67" s="181">
        <f t="shared" si="52"/>
        <v>0.11949433380152552</v>
      </c>
      <c r="M67" s="181">
        <f t="shared" si="52"/>
        <v>1.4434487139553198E-2</v>
      </c>
      <c r="N67" s="181">
        <f t="shared" si="52"/>
        <v>3.7736144326941501E-2</v>
      </c>
      <c r="O67" s="181">
        <f t="shared" si="52"/>
        <v>0.12195008943309738</v>
      </c>
      <c r="P67" s="181">
        <f t="shared" si="52"/>
        <v>0.16129022488681732</v>
      </c>
      <c r="Q67" s="181">
        <f t="shared" si="52"/>
        <v>8.2667821164224664E-2</v>
      </c>
      <c r="R67" s="181">
        <f t="shared" si="52"/>
        <v>0.14607737892335537</v>
      </c>
      <c r="S67" s="181">
        <f t="shared" si="52"/>
        <v>0.16147541821455902</v>
      </c>
      <c r="T67" s="181">
        <f t="shared" si="52"/>
        <v>0.11864901926973381</v>
      </c>
      <c r="U67" s="181"/>
      <c r="V67" s="181"/>
      <c r="W67" s="179"/>
      <c r="X67" s="20"/>
    </row>
    <row r="68" spans="1:27">
      <c r="A68" s="180"/>
      <c r="B68" s="53" t="s">
        <v>137</v>
      </c>
      <c r="C68" s="181"/>
      <c r="D68" s="181"/>
      <c r="E68" s="181"/>
      <c r="F68" s="181"/>
      <c r="G68" s="181"/>
      <c r="H68" s="165">
        <v>0.25820656922673613</v>
      </c>
      <c r="I68" s="165">
        <v>0.1504548124764149</v>
      </c>
      <c r="J68" s="165">
        <v>5.3086436955389393E-2</v>
      </c>
      <c r="K68" s="165">
        <v>2.9283751279884696E-2</v>
      </c>
      <c r="L68" s="165">
        <v>0.11833290299922661</v>
      </c>
      <c r="M68" s="165">
        <v>8.9880219689244534E-3</v>
      </c>
      <c r="N68" s="165">
        <v>3.9454666584489706E-2</v>
      </c>
      <c r="O68" s="165">
        <v>0.11774121544286609</v>
      </c>
      <c r="P68" s="165">
        <v>0.16232967769550344</v>
      </c>
      <c r="Q68" s="165">
        <v>8.0932986586452982E-2</v>
      </c>
      <c r="R68" s="165">
        <v>0.15348834880517637</v>
      </c>
      <c r="S68" s="165">
        <v>0.15743113985905999</v>
      </c>
      <c r="T68" s="165">
        <v>0.12065921717580141</v>
      </c>
      <c r="U68" s="165"/>
      <c r="V68" s="165"/>
      <c r="W68" s="179"/>
      <c r="X68" s="20"/>
    </row>
    <row r="69" spans="1:27">
      <c r="A69" s="180"/>
      <c r="B69" s="33" t="s">
        <v>171</v>
      </c>
      <c r="C69" s="181"/>
      <c r="D69" s="181"/>
      <c r="E69" s="181"/>
      <c r="F69" s="181"/>
      <c r="G69" s="182"/>
      <c r="H69" s="182">
        <f>H65/F65-1</f>
        <v>8.7383672827834991E-2</v>
      </c>
      <c r="I69" s="182">
        <f>I65/H65-1</f>
        <v>1.3814523446755711E-3</v>
      </c>
      <c r="J69" s="182">
        <f>J65/I65-1</f>
        <v>-3.2062390152344911E-2</v>
      </c>
      <c r="K69" s="181">
        <f>K65/J65-1</f>
        <v>-1.3843162989770508E-2</v>
      </c>
      <c r="L69" s="182" t="s">
        <v>16</v>
      </c>
      <c r="M69" s="182">
        <f>M65/K65-1</f>
        <v>6.1282754479815349E-2</v>
      </c>
      <c r="N69" s="182">
        <f>N65/M65-1</f>
        <v>2.4383280074468106E-2</v>
      </c>
      <c r="O69" s="182">
        <f>O65/N65-1</f>
        <v>4.6487292430757776E-2</v>
      </c>
      <c r="P69" s="182">
        <f>P65/O65-1</f>
        <v>2.0735508478759046E-2</v>
      </c>
      <c r="Q69" s="182" t="s">
        <v>16</v>
      </c>
      <c r="R69" s="182">
        <f>R65/P65-1</f>
        <v>4.7380001557604468E-2</v>
      </c>
      <c r="S69" s="182">
        <f>S65/R65-1</f>
        <v>3.8146307149181657E-2</v>
      </c>
      <c r="T69" s="182">
        <f>T65/S65-1</f>
        <v>7.9007829157966558E-3</v>
      </c>
      <c r="U69" s="182"/>
      <c r="V69" s="182"/>
      <c r="W69" s="179"/>
      <c r="X69" s="20"/>
    </row>
    <row r="70" spans="1:27">
      <c r="A70" s="180"/>
      <c r="B70" s="53" t="s">
        <v>162</v>
      </c>
      <c r="C70" s="42"/>
      <c r="D70" s="42"/>
      <c r="E70" s="42"/>
      <c r="F70" s="42"/>
      <c r="G70" s="42"/>
      <c r="H70" s="165">
        <v>8.0978755329613961E-2</v>
      </c>
      <c r="I70" s="165">
        <v>-3.285339440402657E-3</v>
      </c>
      <c r="J70" s="165">
        <v>-3.2111995947791239E-2</v>
      </c>
      <c r="K70" s="165">
        <v>-1.2054008468692201E-2</v>
      </c>
      <c r="L70" s="204" t="s">
        <v>16</v>
      </c>
      <c r="M70" s="165">
        <v>5.8824271182652321E-2</v>
      </c>
      <c r="N70" s="165">
        <v>2.712903744631423E-2</v>
      </c>
      <c r="O70" s="165">
        <v>4.0263124003474537E-2</v>
      </c>
      <c r="P70" s="165">
        <v>2.8076139643048448E-2</v>
      </c>
      <c r="Q70" s="204" t="s">
        <v>16</v>
      </c>
      <c r="R70" s="165">
        <v>5.0997853159122863E-2</v>
      </c>
      <c r="S70" s="165">
        <v>2.9042947269303898E-2</v>
      </c>
      <c r="T70" s="165">
        <v>1.0739365228728426E-2</v>
      </c>
      <c r="U70" s="165"/>
      <c r="V70" s="165"/>
      <c r="W70" s="179"/>
      <c r="X70" s="20"/>
      <c r="Y70" s="10"/>
    </row>
    <row r="71" spans="1:27">
      <c r="A71" s="180"/>
      <c r="B71" s="53"/>
      <c r="C71" s="42"/>
      <c r="D71" s="42"/>
      <c r="E71" s="42"/>
      <c r="F71" s="42"/>
      <c r="G71" s="42"/>
      <c r="H71" s="165"/>
      <c r="I71" s="165"/>
      <c r="J71" s="165"/>
      <c r="K71" s="165"/>
      <c r="L71" s="204"/>
      <c r="M71" s="165"/>
      <c r="N71" s="165"/>
      <c r="O71" s="165"/>
      <c r="P71" s="165"/>
      <c r="Q71" s="204"/>
      <c r="R71" s="165"/>
      <c r="S71" s="165"/>
      <c r="T71" s="165"/>
      <c r="U71" s="165"/>
      <c r="V71" s="165"/>
      <c r="W71" s="179"/>
      <c r="X71" s="20"/>
      <c r="Y71" s="10"/>
    </row>
    <row r="72" spans="1:27">
      <c r="A72" s="161"/>
      <c r="B72" s="140" t="s">
        <v>144</v>
      </c>
      <c r="C72" s="177">
        <f t="shared" ref="C72:T72" si="53">C51+C58+C65</f>
        <v>329207.74923669989</v>
      </c>
      <c r="D72" s="177">
        <f t="shared" si="53"/>
        <v>346782.37096970004</v>
      </c>
      <c r="E72" s="177">
        <f t="shared" si="53"/>
        <v>361351.2560893998</v>
      </c>
      <c r="F72" s="177">
        <f t="shared" si="53"/>
        <v>374702.60060969985</v>
      </c>
      <c r="G72" s="177">
        <f t="shared" si="53"/>
        <v>1412043.9769054996</v>
      </c>
      <c r="H72" s="177">
        <f t="shared" si="53"/>
        <v>400643.05805169937</v>
      </c>
      <c r="I72" s="177">
        <f t="shared" si="53"/>
        <v>404995.66399889975</v>
      </c>
      <c r="J72" s="177">
        <f t="shared" si="53"/>
        <v>410971</v>
      </c>
      <c r="K72" s="177">
        <f t="shared" si="53"/>
        <v>414057.98966599989</v>
      </c>
      <c r="L72" s="177">
        <f t="shared" si="53"/>
        <v>1630667.7117165991</v>
      </c>
      <c r="M72" s="177">
        <f t="shared" si="53"/>
        <v>436506.90298440011</v>
      </c>
      <c r="N72" s="177">
        <f t="shared" si="53"/>
        <v>448365.78310510027</v>
      </c>
      <c r="O72" s="177">
        <f t="shared" si="53"/>
        <v>472072.92739630019</v>
      </c>
      <c r="P72" s="177">
        <f t="shared" si="53"/>
        <v>481426</v>
      </c>
      <c r="Q72" s="177">
        <f t="shared" si="53"/>
        <v>1838371.8923426999</v>
      </c>
      <c r="R72" s="177">
        <f t="shared" si="53"/>
        <v>501019.35699999996</v>
      </c>
      <c r="S72" s="177">
        <f t="shared" si="53"/>
        <v>514460</v>
      </c>
      <c r="T72" s="177">
        <f t="shared" si="53"/>
        <v>529585</v>
      </c>
      <c r="U72" s="177"/>
      <c r="V72" s="177"/>
      <c r="W72" s="179"/>
      <c r="X72" s="25"/>
    </row>
    <row r="73" spans="1:27">
      <c r="B73" s="53"/>
      <c r="C73" s="42"/>
      <c r="D73" s="42"/>
      <c r="E73" s="42"/>
      <c r="F73" s="42"/>
      <c r="G73" s="42"/>
      <c r="H73" s="42"/>
      <c r="I73" s="42"/>
      <c r="J73" s="42"/>
      <c r="K73" s="42"/>
      <c r="L73" s="42"/>
      <c r="M73" s="42"/>
      <c r="N73" s="42"/>
      <c r="O73" s="42"/>
      <c r="P73" s="42"/>
      <c r="Q73" s="42"/>
      <c r="R73" s="42"/>
      <c r="S73" s="42"/>
      <c r="T73" s="42"/>
      <c r="U73" s="42"/>
      <c r="V73" s="42"/>
      <c r="W73" s="168"/>
      <c r="X73" s="83"/>
    </row>
    <row r="74" spans="1:27">
      <c r="B74" s="53"/>
      <c r="W74" s="168"/>
      <c r="X74" s="83"/>
    </row>
    <row r="75" spans="1:27" ht="14.25">
      <c r="A75" s="161"/>
      <c r="B75" s="140" t="s">
        <v>173</v>
      </c>
      <c r="C75" s="138"/>
      <c r="D75" s="138"/>
      <c r="E75" s="138"/>
      <c r="F75" s="138"/>
      <c r="G75" s="138"/>
      <c r="H75" s="138"/>
      <c r="I75" s="138"/>
      <c r="J75" s="138"/>
      <c r="K75" s="138"/>
      <c r="L75" s="138"/>
      <c r="M75" s="138"/>
      <c r="N75" s="138"/>
      <c r="O75" s="138"/>
      <c r="P75" s="138"/>
      <c r="Q75" s="138"/>
      <c r="R75" s="138"/>
      <c r="S75" s="138"/>
      <c r="T75" s="138"/>
      <c r="U75" s="138"/>
      <c r="V75" s="138"/>
      <c r="W75" s="168"/>
      <c r="X75" s="83"/>
    </row>
    <row r="76" spans="1:27">
      <c r="B76" s="53" t="s">
        <v>174</v>
      </c>
      <c r="C76" s="183"/>
      <c r="D76" s="183"/>
      <c r="E76" s="183"/>
      <c r="F76" s="183"/>
      <c r="G76" s="183"/>
      <c r="H76" s="183">
        <v>0.84089333172664915</v>
      </c>
      <c r="I76" s="183">
        <v>0.83789221688477367</v>
      </c>
      <c r="J76" s="183">
        <v>0.83471257846594116</v>
      </c>
      <c r="K76" s="183">
        <v>0.83361045367255737</v>
      </c>
      <c r="L76" s="183">
        <v>0.83674100707084409</v>
      </c>
      <c r="M76" s="183">
        <v>0.82971264069776862</v>
      </c>
      <c r="N76" s="183">
        <v>0.82331844965943002</v>
      </c>
      <c r="O76" s="183">
        <v>0.8174874031641437</v>
      </c>
      <c r="P76" s="183">
        <v>0.82375068623962033</v>
      </c>
      <c r="Q76" s="183">
        <v>0.82345283529355118</v>
      </c>
      <c r="R76" s="183">
        <v>0.82900898822401525</v>
      </c>
      <c r="S76" s="183">
        <v>0.8218753644598219</v>
      </c>
      <c r="T76" s="183">
        <v>0.82491951244842665</v>
      </c>
      <c r="U76" s="183"/>
      <c r="V76" s="183"/>
      <c r="W76" s="186"/>
      <c r="X76" s="83"/>
      <c r="Y76" s="10"/>
    </row>
    <row r="77" spans="1:27">
      <c r="B77" s="53" t="s">
        <v>175</v>
      </c>
      <c r="C77" s="183"/>
      <c r="D77" s="183"/>
      <c r="E77" s="183"/>
      <c r="F77" s="183"/>
      <c r="G77" s="183"/>
      <c r="H77" s="183">
        <v>0.13526269676671193</v>
      </c>
      <c r="I77" s="183">
        <v>0.13699289846532761</v>
      </c>
      <c r="J77" s="183">
        <v>0.14127579715827007</v>
      </c>
      <c r="K77" s="183">
        <v>0.14255199069244104</v>
      </c>
      <c r="L77" s="183">
        <v>0.13905874942953014</v>
      </c>
      <c r="M77" s="183">
        <v>0.14505622665771137</v>
      </c>
      <c r="N77" s="183">
        <v>0.14830294893011514</v>
      </c>
      <c r="O77" s="183">
        <v>0.15136806150765708</v>
      </c>
      <c r="P77" s="183">
        <v>0.14802104391765472</v>
      </c>
      <c r="Q77" s="183">
        <v>0.1482450929506158</v>
      </c>
      <c r="R77" s="183">
        <v>0.14447351419551008</v>
      </c>
      <c r="S77" s="183">
        <v>0.15090580414415114</v>
      </c>
      <c r="T77" s="183">
        <v>0.14913564394761936</v>
      </c>
      <c r="U77" s="183"/>
      <c r="V77" s="183"/>
      <c r="W77" s="186"/>
      <c r="X77" s="83"/>
      <c r="Y77" s="10"/>
      <c r="Z77" s="225"/>
    </row>
    <row r="78" spans="1:27">
      <c r="B78" s="53" t="s">
        <v>155</v>
      </c>
      <c r="C78" s="183"/>
      <c r="D78" s="183"/>
      <c r="E78" s="183"/>
      <c r="F78" s="183"/>
      <c r="G78" s="183"/>
      <c r="H78" s="183">
        <v>2.3843971506638931E-2</v>
      </c>
      <c r="I78" s="183">
        <v>2.5114884649898778E-2</v>
      </c>
      <c r="J78" s="183">
        <v>2.4011624375788826E-2</v>
      </c>
      <c r="K78" s="183">
        <v>2.3837555635001537E-2</v>
      </c>
      <c r="L78" s="183">
        <v>2.420024349962583E-2</v>
      </c>
      <c r="M78" s="183">
        <v>2.5231132644519889E-2</v>
      </c>
      <c r="N78" s="183">
        <v>2.837860141045485E-2</v>
      </c>
      <c r="O78" s="183">
        <v>3.1144535328199233E-2</v>
      </c>
      <c r="P78" s="183">
        <v>2.8228269842724862E-2</v>
      </c>
      <c r="Q78" s="183">
        <v>2.8302071755832894E-2</v>
      </c>
      <c r="R78" s="183">
        <v>2.6517497580474586E-2</v>
      </c>
      <c r="S78" s="183">
        <v>2.7218831396026901E-2</v>
      </c>
      <c r="T78" s="183">
        <v>2.5944843603954038E-2</v>
      </c>
      <c r="U78" s="183"/>
      <c r="V78" s="183"/>
      <c r="W78" s="186"/>
      <c r="X78" s="83"/>
      <c r="Y78" s="10"/>
    </row>
    <row r="79" spans="1:27">
      <c r="B79" s="53"/>
    </row>
    <row r="81" spans="2:22">
      <c r="B81" s="202" t="s">
        <v>176</v>
      </c>
    </row>
    <row r="82" spans="2:22">
      <c r="B82" s="202" t="s">
        <v>177</v>
      </c>
    </row>
    <row r="83" spans="2:22">
      <c r="B83" s="202" t="s">
        <v>178</v>
      </c>
    </row>
    <row r="86" spans="2:22">
      <c r="C86" s="184"/>
      <c r="D86" s="184"/>
      <c r="E86" s="184"/>
      <c r="F86" s="184"/>
      <c r="G86" s="184"/>
      <c r="H86" s="184"/>
      <c r="I86" s="184"/>
      <c r="J86" s="184"/>
      <c r="K86" s="184"/>
      <c r="L86" s="184"/>
      <c r="M86" s="184"/>
      <c r="N86" s="184"/>
      <c r="O86" s="184"/>
      <c r="P86" s="184"/>
      <c r="Q86" s="184"/>
      <c r="R86" s="184"/>
      <c r="S86" s="184"/>
      <c r="T86" s="184"/>
      <c r="U86" s="184"/>
      <c r="V86" s="184"/>
    </row>
    <row r="87" spans="2:22">
      <c r="C87" s="184"/>
      <c r="D87" s="184"/>
      <c r="E87" s="184"/>
      <c r="F87" s="184"/>
      <c r="G87" s="184"/>
      <c r="H87" s="184"/>
      <c r="I87" s="184"/>
      <c r="J87" s="184"/>
      <c r="K87" s="184"/>
      <c r="L87" s="184"/>
      <c r="M87" s="184"/>
      <c r="N87" s="184"/>
      <c r="O87" s="184"/>
      <c r="P87" s="184"/>
      <c r="Q87" s="184"/>
      <c r="R87" s="184"/>
      <c r="S87" s="184"/>
      <c r="T87" s="184"/>
      <c r="U87" s="184"/>
      <c r="V87" s="184"/>
    </row>
    <row r="88" spans="2:22">
      <c r="C88" s="184"/>
      <c r="D88" s="184"/>
      <c r="E88" s="184"/>
      <c r="F88" s="184"/>
      <c r="G88" s="184"/>
      <c r="H88" s="184"/>
      <c r="I88" s="184"/>
      <c r="J88" s="184"/>
      <c r="K88" s="184"/>
      <c r="L88" s="184"/>
      <c r="M88" s="184"/>
      <c r="N88" s="184"/>
      <c r="O88" s="184"/>
      <c r="P88" s="184"/>
      <c r="Q88" s="184"/>
      <c r="R88" s="184"/>
      <c r="S88" s="184"/>
      <c r="T88" s="184"/>
      <c r="U88" s="184"/>
      <c r="V88" s="184"/>
    </row>
    <row r="89" spans="2:22">
      <c r="C89" s="179"/>
      <c r="D89" s="179"/>
      <c r="E89" s="179"/>
      <c r="F89" s="179"/>
      <c r="G89" s="179"/>
      <c r="H89" s="179"/>
      <c r="I89" s="179"/>
      <c r="J89" s="179"/>
      <c r="K89" s="179"/>
      <c r="L89" s="179"/>
      <c r="M89" s="179"/>
      <c r="N89" s="184"/>
      <c r="O89" s="179"/>
      <c r="P89" s="179"/>
      <c r="Q89" s="179"/>
      <c r="R89" s="179"/>
      <c r="S89" s="179"/>
      <c r="T89" s="179"/>
      <c r="U89" s="179"/>
      <c r="V89" s="179"/>
    </row>
    <row r="90" spans="2:22">
      <c r="C90" s="179"/>
      <c r="D90" s="179"/>
      <c r="E90" s="179"/>
      <c r="F90" s="179"/>
      <c r="G90" s="179"/>
      <c r="H90" s="179"/>
      <c r="I90" s="179"/>
      <c r="J90" s="179"/>
      <c r="K90" s="179"/>
      <c r="L90" s="179"/>
      <c r="M90" s="179"/>
      <c r="N90" s="184"/>
      <c r="O90" s="179"/>
      <c r="P90" s="179"/>
      <c r="Q90" s="179"/>
      <c r="R90" s="179"/>
      <c r="S90" s="179"/>
      <c r="T90" s="179"/>
      <c r="U90" s="181"/>
      <c r="V90" s="181"/>
    </row>
    <row r="91" spans="2:22">
      <c r="C91" s="179"/>
      <c r="D91" s="179"/>
      <c r="E91" s="179"/>
      <c r="F91" s="179"/>
      <c r="G91" s="179"/>
      <c r="H91" s="179"/>
      <c r="I91" s="179"/>
      <c r="J91" s="179"/>
      <c r="K91" s="179"/>
      <c r="L91" s="179"/>
      <c r="M91" s="179"/>
      <c r="N91" s="179"/>
      <c r="O91" s="179"/>
      <c r="P91" s="179"/>
      <c r="Q91" s="179"/>
      <c r="R91" s="179"/>
      <c r="S91" s="179"/>
      <c r="T91" s="179"/>
      <c r="U91" s="181"/>
      <c r="V91" s="181"/>
    </row>
    <row r="92" spans="2:22">
      <c r="C92" s="173"/>
      <c r="D92" s="173"/>
      <c r="E92" s="173"/>
      <c r="F92" s="173"/>
      <c r="G92" s="173"/>
      <c r="H92" s="186"/>
      <c r="I92" s="186"/>
      <c r="J92" s="186"/>
      <c r="K92" s="25"/>
      <c r="L92" s="25"/>
      <c r="M92" s="25"/>
      <c r="N92" s="25"/>
      <c r="O92" s="25"/>
      <c r="P92" s="25"/>
      <c r="Q92" s="25"/>
      <c r="R92" s="25"/>
      <c r="S92" s="25"/>
      <c r="T92" s="25"/>
    </row>
    <row r="93" spans="2:22">
      <c r="C93" s="187"/>
      <c r="D93" s="187"/>
      <c r="E93" s="187"/>
      <c r="F93" s="187"/>
      <c r="G93" s="187"/>
      <c r="H93" s="187"/>
      <c r="I93" s="187"/>
      <c r="J93" s="187"/>
      <c r="K93" s="187"/>
      <c r="L93" s="187"/>
      <c r="M93" s="187"/>
      <c r="N93" s="187"/>
      <c r="O93" s="187"/>
      <c r="P93" s="187"/>
      <c r="Q93" s="187"/>
      <c r="R93" s="187"/>
      <c r="S93" s="187"/>
      <c r="T93" s="187"/>
    </row>
    <row r="94" spans="2:22">
      <c r="C94" s="160"/>
      <c r="D94" s="160"/>
      <c r="E94" s="160"/>
      <c r="F94" s="160"/>
      <c r="G94" s="160"/>
      <c r="H94" s="186"/>
      <c r="I94" s="186"/>
      <c r="J94" s="186"/>
      <c r="K94" s="186"/>
      <c r="L94" s="186"/>
      <c r="M94" s="186"/>
      <c r="N94" s="186"/>
      <c r="O94" s="186"/>
      <c r="P94" s="186"/>
      <c r="Q94" s="186"/>
      <c r="R94" s="186"/>
      <c r="S94" s="186"/>
      <c r="T94" s="186"/>
    </row>
    <row r="97" spans="8:18">
      <c r="H97" s="186"/>
      <c r="I97" s="186"/>
      <c r="J97" s="186"/>
      <c r="K97" s="186"/>
      <c r="L97" s="186"/>
      <c r="M97" s="186"/>
      <c r="N97" s="186"/>
      <c r="O97" s="186"/>
      <c r="P97" s="186"/>
      <c r="Q97" s="186"/>
      <c r="R97" s="186"/>
    </row>
    <row r="98" spans="8:18">
      <c r="H98" s="186"/>
      <c r="I98" s="186"/>
      <c r="J98" s="186"/>
      <c r="K98" s="186"/>
      <c r="L98" s="186"/>
      <c r="M98" s="186"/>
      <c r="N98" s="186"/>
      <c r="O98" s="186"/>
      <c r="P98" s="186"/>
      <c r="Q98" s="186"/>
      <c r="R98" s="186"/>
    </row>
    <row r="99" spans="8:18">
      <c r="H99" s="186"/>
      <c r="I99" s="186"/>
      <c r="J99" s="186"/>
      <c r="K99" s="186"/>
      <c r="L99" s="186"/>
      <c r="M99" s="186"/>
      <c r="N99" s="186"/>
      <c r="O99" s="186"/>
      <c r="P99" s="186"/>
      <c r="Q99" s="186"/>
      <c r="R99" s="186"/>
    </row>
  </sheetData>
  <mergeCells count="11">
    <mergeCell ref="X3:X5"/>
    <mergeCell ref="B48:R48"/>
    <mergeCell ref="B47:R47"/>
    <mergeCell ref="R2:V2"/>
    <mergeCell ref="M2:Q2"/>
    <mergeCell ref="A5:B5"/>
    <mergeCell ref="A6:B6"/>
    <mergeCell ref="C2:G2"/>
    <mergeCell ref="H2:L2"/>
    <mergeCell ref="W3:W5"/>
    <mergeCell ref="S47:S48"/>
  </mergeCells>
  <hyperlinks>
    <hyperlink ref="T1" location="Contents!B8" display="Back" xr:uid="{E8BE9FB3-3298-49FC-B66D-42F4CC1DF758}"/>
  </hyperlinks>
  <pageMargins left="0.7" right="0.7" top="0.35" bottom="1.25" header="0.55000000000000004" footer="0.3"/>
  <pageSetup paperSize="9" scale="41" fitToWidth="0" orientation="landscape" r:id="rId1"/>
  <ignoredErrors>
    <ignoredError sqref="Q45"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07CC5-F0B4-4D0C-97B5-323607376023}">
  <sheetPr>
    <pageSetUpPr fitToPage="1"/>
  </sheetPr>
  <dimension ref="A1:AF67"/>
  <sheetViews>
    <sheetView showGridLines="0" view="pageBreakPreview" zoomScale="80" zoomScaleNormal="90" zoomScaleSheetLayoutView="80" workbookViewId="0">
      <pane xSplit="1" ySplit="5" topLeftCell="B6" activePane="bottomRight" state="frozen"/>
      <selection pane="bottomRight"/>
      <selection pane="bottomLeft" activeCell="W25" sqref="W25"/>
      <selection pane="topRight" activeCell="W25" sqref="W25"/>
    </sheetView>
  </sheetViews>
  <sheetFormatPr defaultColWidth="9.140625" defaultRowHeight="15" outlineLevelCol="1"/>
  <cols>
    <col min="1" max="1" width="79.5703125" style="20" customWidth="1"/>
    <col min="2" max="5" width="12.140625" style="20" hidden="1" customWidth="1" outlineLevel="1"/>
    <col min="6" max="6" width="12.140625" style="20" customWidth="1" collapsed="1"/>
    <col min="7" max="10" width="12.140625" style="20" hidden="1" customWidth="1" outlineLevel="1"/>
    <col min="11" max="11" width="12.140625" style="20" customWidth="1" collapsed="1"/>
    <col min="12" max="15" width="12.140625" style="20" hidden="1" customWidth="1" outlineLevel="1"/>
    <col min="16" max="16" width="12.140625" style="20" customWidth="1" collapsed="1"/>
    <col min="17" max="20" width="12.140625" style="20" hidden="1" customWidth="1" outlineLevel="1"/>
    <col min="21" max="21" width="12.140625" style="20" customWidth="1" collapsed="1"/>
    <col min="22" max="24" width="12.140625" style="20" customWidth="1"/>
    <col min="25" max="25" width="10.42578125" style="214" customWidth="1"/>
    <col min="26" max="26" width="9.140625" style="20" customWidth="1" collapsed="1"/>
    <col min="27" max="27" width="10.5703125" style="104" customWidth="1"/>
    <col min="28" max="28" width="12.140625" style="20" customWidth="1"/>
    <col min="29" max="31" width="9.140625" style="20"/>
    <col min="32" max="32" width="14.85546875" style="20" bestFit="1" customWidth="1"/>
    <col min="33" max="16384" width="9.140625" style="20"/>
  </cols>
  <sheetData>
    <row r="1" spans="1:32" ht="15.75">
      <c r="C1" s="98"/>
      <c r="D1" s="98"/>
      <c r="E1" s="98"/>
      <c r="J1" s="98"/>
      <c r="X1" s="189" t="s">
        <v>7</v>
      </c>
      <c r="Z1" s="105"/>
      <c r="AB1" s="105"/>
      <c r="AC1" s="105"/>
    </row>
    <row r="2" spans="1:32" ht="30.75" customHeight="1">
      <c r="A2" s="65"/>
      <c r="F2" s="97"/>
      <c r="G2" s="97"/>
      <c r="H2" s="97"/>
      <c r="I2" s="97"/>
      <c r="J2" s="97"/>
      <c r="K2" s="97"/>
      <c r="L2" s="97"/>
      <c r="M2" s="97"/>
      <c r="N2" s="97"/>
      <c r="O2" s="97"/>
      <c r="P2" s="97"/>
      <c r="Q2" s="97"/>
      <c r="R2" s="97"/>
      <c r="S2" s="97"/>
      <c r="T2" s="97"/>
      <c r="U2" s="97"/>
      <c r="V2" s="97"/>
      <c r="W2" s="97"/>
      <c r="X2" s="97"/>
    </row>
    <row r="3" spans="1:32" ht="15" customHeight="1">
      <c r="Y3" s="242"/>
      <c r="Z3" s="243"/>
    </row>
    <row r="4" spans="1:32" s="4" customFormat="1" ht="12.75">
      <c r="A4" s="21" t="s">
        <v>179</v>
      </c>
      <c r="B4" s="4">
        <v>2021</v>
      </c>
      <c r="C4" s="4">
        <v>2021</v>
      </c>
      <c r="D4" s="4">
        <v>2021</v>
      </c>
      <c r="E4" s="4">
        <v>2021</v>
      </c>
      <c r="F4" s="4">
        <v>2021</v>
      </c>
      <c r="G4" s="4">
        <v>2022</v>
      </c>
      <c r="H4" s="4">
        <v>2022</v>
      </c>
      <c r="I4" s="4">
        <v>2022</v>
      </c>
      <c r="J4" s="4">
        <v>2022</v>
      </c>
      <c r="K4" s="4">
        <v>2022</v>
      </c>
      <c r="L4" s="4">
        <v>2023</v>
      </c>
      <c r="M4" s="4">
        <v>2023</v>
      </c>
      <c r="N4" s="4">
        <v>2023</v>
      </c>
      <c r="O4" s="4">
        <v>2023</v>
      </c>
      <c r="P4" s="4">
        <v>2023</v>
      </c>
      <c r="Q4" s="4">
        <v>2024</v>
      </c>
      <c r="R4" s="4">
        <v>2024</v>
      </c>
      <c r="S4" s="4">
        <v>2024</v>
      </c>
      <c r="T4" s="4">
        <v>2024</v>
      </c>
      <c r="U4" s="4">
        <v>2024</v>
      </c>
      <c r="V4" s="4">
        <v>2025</v>
      </c>
      <c r="W4" s="4">
        <v>2025</v>
      </c>
      <c r="X4" s="4">
        <v>2025</v>
      </c>
      <c r="Y4" s="242"/>
      <c r="Z4" s="243"/>
    </row>
    <row r="5" spans="1:32" s="4" customFormat="1" ht="15" customHeight="1">
      <c r="A5" s="21" t="s">
        <v>8</v>
      </c>
      <c r="B5" s="4" t="s">
        <v>9</v>
      </c>
      <c r="C5" s="4" t="s">
        <v>10</v>
      </c>
      <c r="D5" s="4" t="s">
        <v>11</v>
      </c>
      <c r="E5" s="4" t="s">
        <v>12</v>
      </c>
      <c r="F5" s="4" t="s">
        <v>13</v>
      </c>
      <c r="G5" s="4" t="s">
        <v>9</v>
      </c>
      <c r="H5" s="4" t="s">
        <v>10</v>
      </c>
      <c r="I5" s="4" t="s">
        <v>11</v>
      </c>
      <c r="J5" s="4" t="s">
        <v>12</v>
      </c>
      <c r="K5" s="4" t="s">
        <v>13</v>
      </c>
      <c r="L5" s="4" t="s">
        <v>9</v>
      </c>
      <c r="M5" s="4" t="s">
        <v>10</v>
      </c>
      <c r="N5" s="4" t="s">
        <v>11</v>
      </c>
      <c r="O5" s="4" t="s">
        <v>12</v>
      </c>
      <c r="P5" s="4" t="s">
        <v>13</v>
      </c>
      <c r="Q5" s="4" t="s">
        <v>9</v>
      </c>
      <c r="R5" s="4" t="s">
        <v>10</v>
      </c>
      <c r="S5" s="4" t="s">
        <v>11</v>
      </c>
      <c r="T5" s="4" t="s">
        <v>12</v>
      </c>
      <c r="U5" s="4" t="s">
        <v>13</v>
      </c>
      <c r="V5" s="4" t="s">
        <v>9</v>
      </c>
      <c r="W5" s="4" t="s">
        <v>10</v>
      </c>
      <c r="X5" s="4" t="s">
        <v>11</v>
      </c>
      <c r="Y5" s="242"/>
      <c r="Z5" s="243"/>
      <c r="AB5" s="104"/>
    </row>
    <row r="6" spans="1:32" ht="6" customHeight="1">
      <c r="Y6" s="242"/>
      <c r="Z6" s="243"/>
      <c r="AB6" s="104"/>
    </row>
    <row r="7" spans="1:32" ht="6" customHeight="1">
      <c r="Y7" s="213"/>
      <c r="Z7"/>
      <c r="AB7" s="104"/>
    </row>
    <row r="8" spans="1:32" ht="6.75" customHeight="1">
      <c r="A8" s="39"/>
      <c r="Y8" s="123"/>
      <c r="Z8"/>
      <c r="AC8" s="10"/>
      <c r="AD8" s="10"/>
      <c r="AE8" s="10"/>
    </row>
    <row r="9" spans="1:32" s="10" customFormat="1" ht="12.75">
      <c r="A9" s="137" t="s">
        <v>180</v>
      </c>
      <c r="B9" s="138">
        <f>'Income Statement'!B29</f>
        <v>41555</v>
      </c>
      <c r="C9" s="138">
        <f>'Income Statement'!C29</f>
        <v>35830</v>
      </c>
      <c r="D9" s="138">
        <f>'Income Statement'!D29</f>
        <v>42438</v>
      </c>
      <c r="E9" s="138">
        <f>'Income Statement'!E29</f>
        <v>36058</v>
      </c>
      <c r="F9" s="138">
        <f>'Income Statement'!F29</f>
        <v>155881</v>
      </c>
      <c r="G9" s="138">
        <f>'Income Statement'!G29</f>
        <v>43975</v>
      </c>
      <c r="H9" s="138">
        <f>'Income Statement'!H29</f>
        <v>47081</v>
      </c>
      <c r="I9" s="138">
        <f>'Income Statement'!I29</f>
        <v>50111</v>
      </c>
      <c r="J9" s="138">
        <f>'Income Statement'!J29</f>
        <v>50995</v>
      </c>
      <c r="K9" s="138">
        <f>'Income Statement'!K29</f>
        <v>192162</v>
      </c>
      <c r="L9" s="138">
        <f>'Income Statement'!L29</f>
        <v>59448</v>
      </c>
      <c r="M9" s="138">
        <f>'Income Statement'!M29</f>
        <v>64811</v>
      </c>
      <c r="N9" s="138">
        <f>'Income Statement'!N29</f>
        <v>60230</v>
      </c>
      <c r="O9" s="138">
        <f>'Income Statement'!O29</f>
        <v>54266</v>
      </c>
      <c r="P9" s="138">
        <f>'Income Statement'!P29</f>
        <v>238755</v>
      </c>
      <c r="Q9" s="138">
        <f>'Income Statement'!Q29</f>
        <v>61524</v>
      </c>
      <c r="R9" s="138">
        <f>'Income Statement'!R29</f>
        <v>61449</v>
      </c>
      <c r="S9" s="138">
        <f>'Income Statement'!S29</f>
        <v>69405</v>
      </c>
      <c r="T9" s="138">
        <f>'Income Statement'!T29</f>
        <v>71242</v>
      </c>
      <c r="U9" s="138">
        <f>'Income Statement'!U29</f>
        <v>263620</v>
      </c>
      <c r="V9" s="138">
        <f>'Income Statement'!V29</f>
        <v>78415</v>
      </c>
      <c r="W9" s="138">
        <f>'Income Statement'!W29</f>
        <v>81138</v>
      </c>
      <c r="X9" s="138">
        <f>'Income Statement'!X29</f>
        <v>76174</v>
      </c>
      <c r="Y9" s="123"/>
      <c r="Z9" s="22"/>
      <c r="AB9" s="120"/>
      <c r="AF9" s="120"/>
    </row>
    <row r="10" spans="1:32" ht="12.75">
      <c r="A10" s="40" t="s">
        <v>181</v>
      </c>
      <c r="B10" s="36">
        <v>3361</v>
      </c>
      <c r="C10" s="93">
        <v>3397</v>
      </c>
      <c r="D10" s="93">
        <v>3022</v>
      </c>
      <c r="E10" s="93">
        <f t="shared" ref="E10:E14" si="0">+F10-SUM(B10:D10)</f>
        <v>2998</v>
      </c>
      <c r="F10" s="93">
        <v>12778</v>
      </c>
      <c r="G10" s="93">
        <v>4486</v>
      </c>
      <c r="H10" s="93">
        <v>4146</v>
      </c>
      <c r="I10" s="93">
        <v>4243</v>
      </c>
      <c r="J10" s="93">
        <f t="shared" ref="J10:J13" si="1">+K10-SUM(G10:I10)</f>
        <v>4234</v>
      </c>
      <c r="K10" s="93">
        <v>17109</v>
      </c>
      <c r="L10" s="93">
        <v>4149</v>
      </c>
      <c r="M10" s="93">
        <v>4204</v>
      </c>
      <c r="N10" s="93">
        <v>3157</v>
      </c>
      <c r="O10" s="93">
        <f t="shared" ref="O10:O14" si="2">+P10-SUM(L10:N10)</f>
        <v>3168</v>
      </c>
      <c r="P10" s="93">
        <v>14678</v>
      </c>
      <c r="Q10" s="24">
        <v>3080</v>
      </c>
      <c r="R10" s="24">
        <v>3077</v>
      </c>
      <c r="S10" s="82">
        <v>3449</v>
      </c>
      <c r="T10" s="93">
        <f t="shared" ref="T10:T15" si="3">+U10-SUM(Q10:S10)</f>
        <v>4024</v>
      </c>
      <c r="U10" s="82">
        <v>13630</v>
      </c>
      <c r="V10" s="82">
        <v>3246</v>
      </c>
      <c r="W10" s="82">
        <v>3277</v>
      </c>
      <c r="X10" s="82">
        <v>3310</v>
      </c>
      <c r="Y10" s="123"/>
      <c r="Z10" s="228"/>
      <c r="AB10" s="120"/>
      <c r="AC10" s="10"/>
      <c r="AD10" s="10"/>
      <c r="AE10" s="10"/>
      <c r="AF10" s="120"/>
    </row>
    <row r="11" spans="1:32" ht="12.75">
      <c r="A11" s="40" t="s">
        <v>182</v>
      </c>
      <c r="B11" s="36">
        <v>7832</v>
      </c>
      <c r="C11" s="93">
        <v>10070</v>
      </c>
      <c r="D11" s="93">
        <v>10894</v>
      </c>
      <c r="E11" s="93">
        <f t="shared" si="0"/>
        <v>9825</v>
      </c>
      <c r="F11" s="93">
        <v>38621</v>
      </c>
      <c r="G11" s="93">
        <v>11224</v>
      </c>
      <c r="H11" s="93">
        <v>13340</v>
      </c>
      <c r="I11" s="93">
        <v>12186</v>
      </c>
      <c r="J11" s="93">
        <f t="shared" si="1"/>
        <v>12616</v>
      </c>
      <c r="K11" s="93">
        <v>49366</v>
      </c>
      <c r="L11" s="93">
        <v>14407</v>
      </c>
      <c r="M11" s="93">
        <v>11511</v>
      </c>
      <c r="N11" s="93">
        <v>17067</v>
      </c>
      <c r="O11" s="93">
        <f t="shared" si="2"/>
        <v>15452</v>
      </c>
      <c r="P11" s="93">
        <v>58437</v>
      </c>
      <c r="Q11" s="24">
        <v>17852</v>
      </c>
      <c r="R11" s="24">
        <v>18095</v>
      </c>
      <c r="S11" s="82">
        <v>21232</v>
      </c>
      <c r="T11" s="93">
        <f t="shared" si="3"/>
        <v>15479</v>
      </c>
      <c r="U11" s="82">
        <v>72658</v>
      </c>
      <c r="V11" s="82">
        <v>19187</v>
      </c>
      <c r="W11" s="82">
        <v>16392</v>
      </c>
      <c r="X11" s="82">
        <v>23139</v>
      </c>
      <c r="Y11" s="123"/>
      <c r="Z11" s="228"/>
      <c r="AB11" s="120"/>
      <c r="AC11" s="10"/>
      <c r="AD11" s="10"/>
      <c r="AE11" s="10"/>
      <c r="AF11" s="120"/>
    </row>
    <row r="12" spans="1:32" ht="12.75">
      <c r="A12" s="40" t="s">
        <v>183</v>
      </c>
      <c r="B12" s="60">
        <v>0</v>
      </c>
      <c r="C12" s="82">
        <v>0</v>
      </c>
      <c r="D12" s="82">
        <v>0</v>
      </c>
      <c r="E12" s="82">
        <f t="shared" si="0"/>
        <v>0</v>
      </c>
      <c r="F12" s="82">
        <v>0</v>
      </c>
      <c r="G12" s="82">
        <v>0</v>
      </c>
      <c r="H12" s="82">
        <v>217</v>
      </c>
      <c r="I12" s="82">
        <v>169</v>
      </c>
      <c r="J12" s="82">
        <f t="shared" si="1"/>
        <v>0</v>
      </c>
      <c r="K12" s="82">
        <v>386</v>
      </c>
      <c r="L12" s="82">
        <v>0</v>
      </c>
      <c r="M12" s="82">
        <v>0</v>
      </c>
      <c r="N12" s="82">
        <v>0</v>
      </c>
      <c r="O12" s="82">
        <f t="shared" si="2"/>
        <v>895</v>
      </c>
      <c r="P12" s="82">
        <v>895</v>
      </c>
      <c r="Q12" s="102">
        <v>0</v>
      </c>
      <c r="R12" s="82">
        <v>1412</v>
      </c>
      <c r="S12" s="82">
        <v>0</v>
      </c>
      <c r="T12" s="93">
        <f t="shared" si="3"/>
        <v>0</v>
      </c>
      <c r="U12" s="82">
        <v>1412</v>
      </c>
      <c r="V12" s="82">
        <v>0</v>
      </c>
      <c r="W12" s="82">
        <v>0</v>
      </c>
      <c r="X12" s="82">
        <v>0</v>
      </c>
      <c r="Y12" s="123"/>
      <c r="Z12" s="229"/>
      <c r="AB12" s="120"/>
      <c r="AC12" s="10"/>
      <c r="AD12" s="10"/>
      <c r="AE12" s="10"/>
      <c r="AF12" s="120"/>
    </row>
    <row r="13" spans="1:32" ht="12.75">
      <c r="A13" s="40" t="s">
        <v>184</v>
      </c>
      <c r="B13" s="82">
        <v>0</v>
      </c>
      <c r="C13" s="82">
        <v>0</v>
      </c>
      <c r="D13" s="82">
        <v>0</v>
      </c>
      <c r="E13" s="82">
        <f t="shared" si="0"/>
        <v>761</v>
      </c>
      <c r="F13" s="82">
        <v>761</v>
      </c>
      <c r="G13" s="82">
        <v>134</v>
      </c>
      <c r="H13" s="82">
        <v>0</v>
      </c>
      <c r="I13" s="82">
        <v>0</v>
      </c>
      <c r="J13" s="109">
        <f t="shared" si="1"/>
        <v>0</v>
      </c>
      <c r="K13" s="82">
        <v>134</v>
      </c>
      <c r="L13" s="82">
        <v>0</v>
      </c>
      <c r="M13" s="82">
        <v>0</v>
      </c>
      <c r="N13" s="82">
        <v>0</v>
      </c>
      <c r="O13" s="109">
        <f t="shared" si="2"/>
        <v>0</v>
      </c>
      <c r="P13" s="82">
        <v>0</v>
      </c>
      <c r="Q13" s="82">
        <v>0</v>
      </c>
      <c r="R13" s="82">
        <v>0</v>
      </c>
      <c r="S13" s="82">
        <v>0</v>
      </c>
      <c r="T13" s="93">
        <f t="shared" si="3"/>
        <v>0</v>
      </c>
      <c r="U13" s="82">
        <v>0</v>
      </c>
      <c r="V13" s="82">
        <v>0</v>
      </c>
      <c r="W13" s="82">
        <v>0</v>
      </c>
      <c r="X13" s="82">
        <v>0</v>
      </c>
      <c r="Y13" s="123"/>
      <c r="Z13" s="229"/>
      <c r="AB13" s="120"/>
      <c r="AC13" s="10"/>
      <c r="AD13" s="10"/>
      <c r="AE13" s="10"/>
      <c r="AF13" s="120"/>
    </row>
    <row r="14" spans="1:32" ht="12.75">
      <c r="A14" s="40" t="s">
        <v>185</v>
      </c>
      <c r="B14" s="82">
        <v>0</v>
      </c>
      <c r="C14" s="82">
        <v>0</v>
      </c>
      <c r="D14" s="82">
        <v>0</v>
      </c>
      <c r="E14" s="82">
        <f t="shared" si="0"/>
        <v>551</v>
      </c>
      <c r="F14" s="82">
        <v>551</v>
      </c>
      <c r="G14" s="82">
        <v>0</v>
      </c>
      <c r="H14" s="82">
        <v>0</v>
      </c>
      <c r="I14" s="82">
        <v>0</v>
      </c>
      <c r="J14" s="82">
        <f>J37+J36</f>
        <v>-560</v>
      </c>
      <c r="K14" s="82">
        <f>K37+K36</f>
        <v>-560</v>
      </c>
      <c r="L14" s="82">
        <f>L37+L36</f>
        <v>-89</v>
      </c>
      <c r="M14" s="82">
        <f>M37+M36</f>
        <v>578</v>
      </c>
      <c r="N14" s="82">
        <f>N37+N36</f>
        <v>1700</v>
      </c>
      <c r="O14" s="42">
        <f t="shared" si="2"/>
        <v>-264</v>
      </c>
      <c r="P14" s="82">
        <f>P37+P36</f>
        <v>1925</v>
      </c>
      <c r="Q14" s="82">
        <f>Q37+Q36</f>
        <v>0</v>
      </c>
      <c r="R14" s="82">
        <f>R37+R36</f>
        <v>0</v>
      </c>
      <c r="S14" s="82">
        <f>S37+S36</f>
        <v>0</v>
      </c>
      <c r="T14" s="93">
        <f t="shared" si="3"/>
        <v>0</v>
      </c>
      <c r="U14" s="82">
        <f>U37+U36</f>
        <v>0</v>
      </c>
      <c r="V14" s="82">
        <v>0</v>
      </c>
      <c r="W14" s="82">
        <v>0</v>
      </c>
      <c r="X14" s="82">
        <v>0</v>
      </c>
      <c r="Y14" s="123"/>
      <c r="Z14" s="229"/>
      <c r="AB14" s="120"/>
      <c r="AC14" s="10"/>
      <c r="AD14" s="10"/>
      <c r="AE14" s="10"/>
      <c r="AF14" s="120"/>
    </row>
    <row r="15" spans="1:32" ht="12.75">
      <c r="A15" s="112" t="s">
        <v>186</v>
      </c>
      <c r="B15" s="87">
        <v>0</v>
      </c>
      <c r="C15" s="87">
        <v>0</v>
      </c>
      <c r="D15" s="87">
        <v>0</v>
      </c>
      <c r="E15" s="87">
        <v>0</v>
      </c>
      <c r="F15" s="87">
        <v>0</v>
      </c>
      <c r="G15" s="87">
        <v>0</v>
      </c>
      <c r="H15" s="87">
        <v>0</v>
      </c>
      <c r="I15" s="87">
        <v>0</v>
      </c>
      <c r="J15" s="87">
        <v>0</v>
      </c>
      <c r="K15" s="87">
        <v>0</v>
      </c>
      <c r="L15" s="87">
        <v>0</v>
      </c>
      <c r="M15" s="87">
        <v>0</v>
      </c>
      <c r="N15" s="87">
        <v>0</v>
      </c>
      <c r="O15" s="87">
        <v>0</v>
      </c>
      <c r="P15" s="87">
        <v>0</v>
      </c>
      <c r="Q15" s="87">
        <v>0</v>
      </c>
      <c r="R15" s="87">
        <v>4762</v>
      </c>
      <c r="S15" s="87">
        <v>0</v>
      </c>
      <c r="T15" s="93">
        <f t="shared" si="3"/>
        <v>0</v>
      </c>
      <c r="U15" s="87">
        <v>4762</v>
      </c>
      <c r="V15" s="87">
        <v>0</v>
      </c>
      <c r="W15" s="87">
        <v>0</v>
      </c>
      <c r="X15" s="87">
        <v>0</v>
      </c>
      <c r="Y15" s="123"/>
      <c r="Z15" s="87"/>
      <c r="AB15" s="120"/>
      <c r="AC15" s="10"/>
      <c r="AD15" s="10"/>
      <c r="AE15" s="10"/>
      <c r="AF15" s="120"/>
    </row>
    <row r="16" spans="1:32" s="10" customFormat="1" ht="12.75">
      <c r="A16" s="137" t="s">
        <v>187</v>
      </c>
      <c r="B16" s="138">
        <f t="shared" ref="B16:M16" si="4">SUM(B9:B15)</f>
        <v>52748</v>
      </c>
      <c r="C16" s="138">
        <f t="shared" si="4"/>
        <v>49297</v>
      </c>
      <c r="D16" s="138">
        <f t="shared" si="4"/>
        <v>56354</v>
      </c>
      <c r="E16" s="138">
        <f t="shared" si="4"/>
        <v>50193</v>
      </c>
      <c r="F16" s="138">
        <f t="shared" si="4"/>
        <v>208592</v>
      </c>
      <c r="G16" s="138">
        <f t="shared" si="4"/>
        <v>59819</v>
      </c>
      <c r="H16" s="138">
        <f t="shared" si="4"/>
        <v>64784</v>
      </c>
      <c r="I16" s="138">
        <f t="shared" si="4"/>
        <v>66709</v>
      </c>
      <c r="J16" s="138">
        <f t="shared" ref="J16" si="5">SUM(J9:J15)</f>
        <v>67285</v>
      </c>
      <c r="K16" s="138">
        <f>SUM(K9:K15)</f>
        <v>258597</v>
      </c>
      <c r="L16" s="138">
        <f t="shared" si="4"/>
        <v>77915</v>
      </c>
      <c r="M16" s="138">
        <f t="shared" si="4"/>
        <v>81104</v>
      </c>
      <c r="N16" s="138">
        <f t="shared" ref="N16:Q16" si="6">SUM(N9:N15)</f>
        <v>82154</v>
      </c>
      <c r="O16" s="138">
        <f t="shared" si="6"/>
        <v>73517</v>
      </c>
      <c r="P16" s="138">
        <f t="shared" si="6"/>
        <v>314690</v>
      </c>
      <c r="Q16" s="138">
        <f t="shared" si="6"/>
        <v>82456</v>
      </c>
      <c r="R16" s="138">
        <f t="shared" ref="R16:S16" si="7">SUM(R9:R15)</f>
        <v>88795</v>
      </c>
      <c r="S16" s="138">
        <f t="shared" si="7"/>
        <v>94086</v>
      </c>
      <c r="T16" s="138">
        <f t="shared" ref="T16:X16" si="8">SUM(T9:T15)</f>
        <v>90745</v>
      </c>
      <c r="U16" s="138">
        <f t="shared" si="8"/>
        <v>356082</v>
      </c>
      <c r="V16" s="138">
        <f t="shared" si="8"/>
        <v>100848</v>
      </c>
      <c r="W16" s="138">
        <f t="shared" si="8"/>
        <v>100807</v>
      </c>
      <c r="X16" s="138">
        <f t="shared" si="8"/>
        <v>102623</v>
      </c>
      <c r="Y16" s="123"/>
      <c r="Z16" s="230"/>
      <c r="AB16" s="120"/>
      <c r="AF16" s="120"/>
    </row>
    <row r="17" spans="1:32" ht="12.75">
      <c r="A17" s="62" t="s">
        <v>188</v>
      </c>
      <c r="B17" s="61">
        <f>IF(B16/'Income Statement'!B8&lt;0, "NM",B16/'Income Statement'!B8)</f>
        <v>0.20177878086567336</v>
      </c>
      <c r="C17" s="61">
        <f>IF(C16/'Income Statement'!C8&lt;0, "NM",C16/'Income Statement'!C8)</f>
        <v>0.17922010877468517</v>
      </c>
      <c r="D17" s="61">
        <f>IF(D16/'Income Statement'!D8&lt;0, "NM",D16/'Income Statement'!D8)</f>
        <v>0.19410660466718332</v>
      </c>
      <c r="E17" s="61">
        <f>IF(E16/'Income Statement'!E8&lt;0, "NM",E16/'Income Statement'!E8)</f>
        <v>0.16986419122200827</v>
      </c>
      <c r="F17" s="61">
        <f>IF(F16/'Income Statement'!F8&lt;0, "NM",F16/'Income Statement'!F8)</f>
        <v>0.18586233719714906</v>
      </c>
      <c r="G17" s="61">
        <f>IF(G16/'Income Statement'!G8&lt;0, "NM",G16/'Income Statement'!G8)</f>
        <v>0.18170579086777963</v>
      </c>
      <c r="H17" s="61">
        <f>IF(H16/'Income Statement'!H8&lt;0, "NM",H16/'Income Statement'!H8)</f>
        <v>0.18681477123956838</v>
      </c>
      <c r="I17" s="61">
        <f>IF(I16/'Income Statement'!I8&lt;0, "NM",I16/'Income Statement'!I8)</f>
        <v>0.1846099775564479</v>
      </c>
      <c r="J17" s="61">
        <f>IF(J16/'Income Statement'!J8&lt;0, "NM",J16/'Income Statement'!J8)</f>
        <v>0.17956888522376388</v>
      </c>
      <c r="K17" s="61">
        <f>IF(K16/'Income Statement'!K8&lt;0, "NM",K16/'Income Statement'!K8)</f>
        <v>0.18313664446716957</v>
      </c>
      <c r="L17" s="61">
        <f>IF(L16/'Income Statement'!L8&lt;0, "NM",L16/'Income Statement'!L8)</f>
        <v>0.19447488162778334</v>
      </c>
      <c r="M17" s="61">
        <f>IF(M16/'Income Statement'!M8&lt;0, "NM",M16/'Income Statement'!M8)</f>
        <v>0.20025876798783199</v>
      </c>
      <c r="N17" s="61">
        <f>IF(N16/'Income Statement'!N8&lt;0, "NM",N16/'Income Statement'!N8)</f>
        <v>0.19990218287908393</v>
      </c>
      <c r="O17" s="61">
        <f>IF(O16/'Income Statement'!O8&lt;0, "NM",O16/'Income Statement'!O8)</f>
        <v>0.17755242019234022</v>
      </c>
      <c r="P17" s="61">
        <f>IF(P16/'Income Statement'!P8&lt;0, "NM",P16/'Income Statement'!P8)</f>
        <v>0.19298226248384098</v>
      </c>
      <c r="Q17" s="61">
        <f>IF(Q16/'Income Statement'!Q8&lt;0, "NM",Q16/'Income Statement'!Q8)</f>
        <v>0.18889960527551677</v>
      </c>
      <c r="R17" s="61">
        <f>IF(R16/'Income Statement'!R8&lt;0, "NM",R16/'Income Statement'!R8)</f>
        <v>0.19804133230441201</v>
      </c>
      <c r="S17" s="61">
        <f>IF(S16/'Income Statement'!S8&lt;0, "NM",S16/'Income Statement'!S8)</f>
        <v>0.19930392121557472</v>
      </c>
      <c r="T17" s="61">
        <f>IF(T16/'Income Statement'!T8&lt;0, "NM",T16/'Income Statement'!T8)</f>
        <v>0.18849210470560376</v>
      </c>
      <c r="U17" s="61">
        <f>IF(U16/'Income Statement'!U8&lt;0, "NM",U16/'Income Statement'!U8)</f>
        <v>0.19369420334948531</v>
      </c>
      <c r="V17" s="61">
        <f>IF(V16/'Income Statement'!V8&lt;0, "NM",V16/'Income Statement'!V8)</f>
        <v>0.20128577958121349</v>
      </c>
      <c r="W17" s="61">
        <f>IF(W16/'Income Statement'!W8&lt;0, "NM",W16/'Income Statement'!W8)</f>
        <v>0.19594720677992458</v>
      </c>
      <c r="X17" s="61">
        <f>IF(X16/'Income Statement'!X8&lt;0, "NM",X16/'Income Statement'!X8)</f>
        <v>0.19378003531066779</v>
      </c>
      <c r="Y17" s="123"/>
      <c r="Z17" s="231"/>
      <c r="AA17" s="240"/>
      <c r="AB17" s="239"/>
      <c r="AC17" s="241"/>
      <c r="AD17" s="10"/>
      <c r="AE17" s="10"/>
      <c r="AF17" s="120"/>
    </row>
    <row r="18" spans="1:32" s="10" customFormat="1" ht="12.75">
      <c r="A18" s="37" t="s">
        <v>189</v>
      </c>
      <c r="B18" s="205">
        <f>ROUND(47,-1)</f>
        <v>50</v>
      </c>
      <c r="C18" s="205">
        <f>ROUND((C17-B17)*10000,-1)</f>
        <v>-230</v>
      </c>
      <c r="D18" s="205">
        <f>ROUND((D17-C17)*10000,-1)</f>
        <v>150</v>
      </c>
      <c r="E18" s="205">
        <f>ROUND((E17-D17)*10000,-1)</f>
        <v>-240</v>
      </c>
      <c r="F18" s="96" t="s">
        <v>16</v>
      </c>
      <c r="G18" s="205">
        <f>ROUND((G17-E17)*10000,-1)</f>
        <v>120</v>
      </c>
      <c r="H18" s="205">
        <f>ROUND((H17-G17)*10000,-1)</f>
        <v>50</v>
      </c>
      <c r="I18" s="205">
        <f>ROUND((I17-H17)*10000,-1)</f>
        <v>-20</v>
      </c>
      <c r="J18" s="205">
        <f>ROUND((J17-I17)*10000,-1)</f>
        <v>-50</v>
      </c>
      <c r="K18" s="96" t="s">
        <v>16</v>
      </c>
      <c r="L18" s="205">
        <f>ROUNDDOWN((L17-J17)*10000,-1)</f>
        <v>140</v>
      </c>
      <c r="M18" s="205">
        <f>ROUND((M17-L17)*10000,-1)</f>
        <v>60</v>
      </c>
      <c r="N18" s="205">
        <f>ROUND((N17-M17)*10000,-1)</f>
        <v>0</v>
      </c>
      <c r="O18" s="205">
        <f>ROUND((O17-N17)*10000,-1)</f>
        <v>-220</v>
      </c>
      <c r="P18" s="96" t="s">
        <v>16</v>
      </c>
      <c r="Q18" s="205">
        <f>ROUND((Q17-O17)*10000,-1)</f>
        <v>110</v>
      </c>
      <c r="R18" s="205">
        <f>ROUND((R17-Q17)*10000,-1)</f>
        <v>90</v>
      </c>
      <c r="S18" s="205">
        <f>ROUND((S17-R17)*10000,-1)</f>
        <v>10</v>
      </c>
      <c r="T18" s="205">
        <f>ROUND((T17-S17)*10000,-1)</f>
        <v>-110</v>
      </c>
      <c r="U18" s="96" t="s">
        <v>16</v>
      </c>
      <c r="V18" s="205">
        <f>ROUNDUP((V17-T17)*10000,-1)</f>
        <v>130</v>
      </c>
      <c r="W18" s="205">
        <f>ROUNDUP((W17-V17)*10000,-1)</f>
        <v>-60</v>
      </c>
      <c r="X18" s="205">
        <f>ROUNDUP((X17-W17)*10000,-1)</f>
        <v>-30</v>
      </c>
      <c r="Y18" s="123"/>
      <c r="Z18" s="231"/>
      <c r="AB18" s="120"/>
      <c r="AC18" s="241"/>
      <c r="AF18" s="120"/>
    </row>
    <row r="19" spans="1:32" ht="13.5" thickBot="1">
      <c r="A19" s="63" t="s">
        <v>190</v>
      </c>
      <c r="B19" s="206">
        <f>ROUND(537.28,-1)</f>
        <v>540</v>
      </c>
      <c r="C19" s="206">
        <f>ROUND(847.27,-1)</f>
        <v>850</v>
      </c>
      <c r="D19" s="206">
        <f>ROUND(25.64,-1)</f>
        <v>30</v>
      </c>
      <c r="E19" s="206">
        <f>ROUND(-272.13,-1)</f>
        <v>-270</v>
      </c>
      <c r="F19" s="206">
        <f>ROUND(265,-1)</f>
        <v>270</v>
      </c>
      <c r="G19" s="206">
        <f>ROUND((G17-B17)*10000,-1)</f>
        <v>-200</v>
      </c>
      <c r="H19" s="206">
        <f t="shared" ref="H19:W19" si="9">ROUND((H17-C17)*10000,-1)</f>
        <v>80</v>
      </c>
      <c r="I19" s="206">
        <f t="shared" si="9"/>
        <v>-90</v>
      </c>
      <c r="J19" s="206">
        <f t="shared" si="9"/>
        <v>100</v>
      </c>
      <c r="K19" s="206">
        <f t="shared" si="9"/>
        <v>-30</v>
      </c>
      <c r="L19" s="206">
        <f>ROUNDDOWN((L17-G17)*10000,-1)</f>
        <v>120</v>
      </c>
      <c r="M19" s="206">
        <f t="shared" si="9"/>
        <v>130</v>
      </c>
      <c r="N19" s="206">
        <f t="shared" si="9"/>
        <v>150</v>
      </c>
      <c r="O19" s="206">
        <f t="shared" si="9"/>
        <v>-20</v>
      </c>
      <c r="P19" s="206">
        <f t="shared" si="9"/>
        <v>100</v>
      </c>
      <c r="Q19" s="206">
        <f>ROUNDDOWN((Q17-L17)*10000,-1)</f>
        <v>-50</v>
      </c>
      <c r="R19" s="206">
        <f t="shared" si="9"/>
        <v>-20</v>
      </c>
      <c r="S19" s="206">
        <f t="shared" si="9"/>
        <v>-10</v>
      </c>
      <c r="T19" s="206">
        <f>ROUNDDOWN((T17-O17)*10000,-1)</f>
        <v>100</v>
      </c>
      <c r="U19" s="206">
        <f t="shared" si="9"/>
        <v>10</v>
      </c>
      <c r="V19" s="206">
        <f t="shared" si="9"/>
        <v>120</v>
      </c>
      <c r="W19" s="206">
        <f t="shared" si="9"/>
        <v>-20</v>
      </c>
      <c r="X19" s="206">
        <f>ROUNDDOWN((X17-S17)*10000,-1)</f>
        <v>-50</v>
      </c>
      <c r="Y19" s="123"/>
      <c r="Z19" s="231"/>
      <c r="AB19" s="120"/>
      <c r="AC19" s="10"/>
      <c r="AD19" s="10"/>
      <c r="AE19" s="10"/>
      <c r="AF19" s="120"/>
    </row>
    <row r="20" spans="1:32" ht="6" customHeight="1">
      <c r="A20" s="64"/>
      <c r="Y20" s="123"/>
      <c r="Z20" s="232"/>
      <c r="AB20" s="120"/>
      <c r="AC20" s="10"/>
      <c r="AD20" s="10"/>
      <c r="AE20" s="10"/>
      <c r="AF20" s="120"/>
    </row>
    <row r="21" spans="1:32" ht="12.75">
      <c r="A21" s="137" t="s">
        <v>187</v>
      </c>
      <c r="B21" s="138">
        <f>B16</f>
        <v>52748</v>
      </c>
      <c r="C21" s="138">
        <f t="shared" ref="C21:X21" si="10">C16</f>
        <v>49297</v>
      </c>
      <c r="D21" s="138">
        <f t="shared" si="10"/>
        <v>56354</v>
      </c>
      <c r="E21" s="138">
        <f t="shared" si="10"/>
        <v>50193</v>
      </c>
      <c r="F21" s="138">
        <f t="shared" si="10"/>
        <v>208592</v>
      </c>
      <c r="G21" s="138">
        <f t="shared" si="10"/>
        <v>59819</v>
      </c>
      <c r="H21" s="138">
        <f t="shared" si="10"/>
        <v>64784</v>
      </c>
      <c r="I21" s="138">
        <f t="shared" si="10"/>
        <v>66709</v>
      </c>
      <c r="J21" s="138">
        <f t="shared" si="10"/>
        <v>67285</v>
      </c>
      <c r="K21" s="138">
        <f t="shared" si="10"/>
        <v>258597</v>
      </c>
      <c r="L21" s="138">
        <f t="shared" si="10"/>
        <v>77915</v>
      </c>
      <c r="M21" s="138">
        <f t="shared" si="10"/>
        <v>81104</v>
      </c>
      <c r="N21" s="138">
        <f t="shared" si="10"/>
        <v>82154</v>
      </c>
      <c r="O21" s="138">
        <f t="shared" si="10"/>
        <v>73517</v>
      </c>
      <c r="P21" s="138">
        <f t="shared" si="10"/>
        <v>314690</v>
      </c>
      <c r="Q21" s="138">
        <f t="shared" si="10"/>
        <v>82456</v>
      </c>
      <c r="R21" s="138">
        <f t="shared" si="10"/>
        <v>88795</v>
      </c>
      <c r="S21" s="138">
        <f t="shared" si="10"/>
        <v>94086</v>
      </c>
      <c r="T21" s="138">
        <f t="shared" si="10"/>
        <v>90745</v>
      </c>
      <c r="U21" s="138">
        <f t="shared" si="10"/>
        <v>356082</v>
      </c>
      <c r="V21" s="138">
        <f t="shared" si="10"/>
        <v>100848</v>
      </c>
      <c r="W21" s="138">
        <f t="shared" si="10"/>
        <v>100807</v>
      </c>
      <c r="X21" s="138">
        <f t="shared" si="10"/>
        <v>102623</v>
      </c>
      <c r="Y21" s="123"/>
      <c r="Z21" s="233"/>
      <c r="AB21" s="120"/>
      <c r="AC21" s="10"/>
      <c r="AD21" s="10"/>
      <c r="AE21" s="10"/>
      <c r="AF21" s="120"/>
    </row>
    <row r="22" spans="1:32" ht="12.75">
      <c r="A22" s="40" t="s">
        <v>191</v>
      </c>
      <c r="B22" s="54">
        <f>-'Income Statement'!B24-B10</f>
        <v>8740</v>
      </c>
      <c r="C22" s="54">
        <f>-'Income Statement'!C24-C10</f>
        <v>8913</v>
      </c>
      <c r="D22" s="54">
        <f>-'Income Statement'!D24-D10</f>
        <v>9283</v>
      </c>
      <c r="E22" s="54">
        <f>-'Income Statement'!E24-E10</f>
        <v>9418</v>
      </c>
      <c r="F22" s="54">
        <f>-'Income Statement'!F24-F10</f>
        <v>36354</v>
      </c>
      <c r="G22" s="54">
        <f>-'Income Statement'!G24-G10</f>
        <v>9116</v>
      </c>
      <c r="H22" s="54">
        <f>-'Income Statement'!H24-H10</f>
        <v>9929</v>
      </c>
      <c r="I22" s="54">
        <f>-'Income Statement'!I24-I10</f>
        <v>10137</v>
      </c>
      <c r="J22" s="54">
        <f t="shared" ref="J22:J23" si="11">+K22-SUM(G22:I22)</f>
        <v>9991</v>
      </c>
      <c r="K22" s="54">
        <f>-'Income Statement'!K24-K10</f>
        <v>39173</v>
      </c>
      <c r="L22" s="54">
        <f>-'Income Statement'!L24-L10</f>
        <v>9338</v>
      </c>
      <c r="M22" s="54">
        <f>-'Income Statement'!M24-M10</f>
        <v>8918</v>
      </c>
      <c r="N22" s="54">
        <f>-'Income Statement'!N24-N10</f>
        <v>8426</v>
      </c>
      <c r="O22" s="54">
        <f t="shared" ref="O22:O23" si="12">+P22-SUM(L22:N22)</f>
        <v>9130</v>
      </c>
      <c r="P22" s="54">
        <f>-'Income Statement'!P24-P10</f>
        <v>35812</v>
      </c>
      <c r="Q22" s="54">
        <f>-'Income Statement'!Q24-Q10</f>
        <v>9266</v>
      </c>
      <c r="R22" s="54">
        <f>-'Income Statement'!R24-R10</f>
        <v>9833</v>
      </c>
      <c r="S22" s="54">
        <f>-'Income Statement'!S24-S10</f>
        <v>10350</v>
      </c>
      <c r="T22" s="54">
        <f>-'Income Statement'!T24-T10</f>
        <v>12140</v>
      </c>
      <c r="U22" s="54">
        <f>-'Income Statement'!U24-U10</f>
        <v>41589</v>
      </c>
      <c r="V22" s="54">
        <f>-'Income Statement'!V24-V10</f>
        <v>10311</v>
      </c>
      <c r="W22" s="54">
        <f>-'Income Statement'!W24-W10</f>
        <v>10778</v>
      </c>
      <c r="X22" s="54">
        <f>-'Income Statement'!X24-X10</f>
        <v>11818</v>
      </c>
      <c r="Y22" s="123"/>
      <c r="Z22" s="234"/>
      <c r="AB22" s="120"/>
      <c r="AC22" s="10"/>
      <c r="AD22" s="10"/>
      <c r="AE22" s="10"/>
      <c r="AF22" s="120"/>
    </row>
    <row r="23" spans="1:32" ht="12.75">
      <c r="A23" s="40" t="s">
        <v>185</v>
      </c>
      <c r="B23" s="23">
        <v>0</v>
      </c>
      <c r="C23" s="23">
        <v>0</v>
      </c>
      <c r="D23" s="23">
        <v>0</v>
      </c>
      <c r="E23" s="23">
        <v>0</v>
      </c>
      <c r="F23" s="23">
        <v>0</v>
      </c>
      <c r="G23" s="23">
        <v>0</v>
      </c>
      <c r="H23" s="23">
        <v>0</v>
      </c>
      <c r="I23" s="23">
        <v>0</v>
      </c>
      <c r="J23" s="23">
        <f t="shared" si="11"/>
        <v>-304</v>
      </c>
      <c r="K23" s="23">
        <v>-304</v>
      </c>
      <c r="L23" s="23">
        <v>-749</v>
      </c>
      <c r="M23" s="23">
        <v>-629</v>
      </c>
      <c r="N23" s="23">
        <f>0</f>
        <v>0</v>
      </c>
      <c r="O23" s="23">
        <f t="shared" si="12"/>
        <v>0</v>
      </c>
      <c r="P23" s="82">
        <v>-1378</v>
      </c>
      <c r="Q23" s="82">
        <v>0</v>
      </c>
      <c r="R23" s="82">
        <v>0</v>
      </c>
      <c r="S23" s="82">
        <v>0</v>
      </c>
      <c r="T23" s="82">
        <v>0</v>
      </c>
      <c r="U23" s="82">
        <v>0</v>
      </c>
      <c r="V23" s="24">
        <f>V14</f>
        <v>0</v>
      </c>
      <c r="W23" s="24">
        <f>W14</f>
        <v>0</v>
      </c>
      <c r="X23" s="24">
        <f>X14</f>
        <v>0</v>
      </c>
      <c r="Y23" s="123"/>
      <c r="Z23" s="235"/>
      <c r="AB23" s="120"/>
      <c r="AC23" s="10"/>
      <c r="AD23" s="10"/>
      <c r="AE23" s="10"/>
      <c r="AF23" s="120"/>
    </row>
    <row r="24" spans="1:32" ht="12.75">
      <c r="A24" s="137" t="s">
        <v>192</v>
      </c>
      <c r="B24" s="138">
        <f t="shared" ref="B24:X24" si="13">SUM(B21:B23)</f>
        <v>61488</v>
      </c>
      <c r="C24" s="138">
        <f t="shared" si="13"/>
        <v>58210</v>
      </c>
      <c r="D24" s="138">
        <f t="shared" si="13"/>
        <v>65637</v>
      </c>
      <c r="E24" s="138">
        <f t="shared" si="13"/>
        <v>59611</v>
      </c>
      <c r="F24" s="138">
        <f t="shared" si="13"/>
        <v>244946</v>
      </c>
      <c r="G24" s="138">
        <f t="shared" si="13"/>
        <v>68935</v>
      </c>
      <c r="H24" s="138">
        <f t="shared" si="13"/>
        <v>74713</v>
      </c>
      <c r="I24" s="138">
        <f t="shared" si="13"/>
        <v>76846</v>
      </c>
      <c r="J24" s="138">
        <f t="shared" si="13"/>
        <v>76972</v>
      </c>
      <c r="K24" s="138">
        <f t="shared" si="13"/>
        <v>297466</v>
      </c>
      <c r="L24" s="138">
        <f t="shared" si="13"/>
        <v>86504</v>
      </c>
      <c r="M24" s="138">
        <f t="shared" si="13"/>
        <v>89393</v>
      </c>
      <c r="N24" s="138">
        <f t="shared" si="13"/>
        <v>90580</v>
      </c>
      <c r="O24" s="138">
        <f t="shared" si="13"/>
        <v>82647</v>
      </c>
      <c r="P24" s="138">
        <f t="shared" si="13"/>
        <v>349124</v>
      </c>
      <c r="Q24" s="138">
        <f t="shared" si="13"/>
        <v>91722</v>
      </c>
      <c r="R24" s="138">
        <f t="shared" si="13"/>
        <v>98628</v>
      </c>
      <c r="S24" s="138">
        <f t="shared" si="13"/>
        <v>104436</v>
      </c>
      <c r="T24" s="138">
        <f t="shared" si="13"/>
        <v>102885</v>
      </c>
      <c r="U24" s="138">
        <f t="shared" si="13"/>
        <v>397671</v>
      </c>
      <c r="V24" s="138">
        <f t="shared" si="13"/>
        <v>111159</v>
      </c>
      <c r="W24" s="138">
        <f t="shared" si="13"/>
        <v>111585</v>
      </c>
      <c r="X24" s="138">
        <f t="shared" si="13"/>
        <v>114441</v>
      </c>
      <c r="Y24" s="123"/>
      <c r="Z24" s="230"/>
      <c r="AB24" s="120"/>
      <c r="AC24" s="10"/>
      <c r="AD24" s="10"/>
      <c r="AE24" s="10"/>
      <c r="AF24" s="120"/>
    </row>
    <row r="25" spans="1:32" ht="12.75">
      <c r="A25" s="62" t="s">
        <v>193</v>
      </c>
      <c r="B25" s="59">
        <f>IF(B24/'Income Statement'!B8&lt;0, "NM",B24/'Income Statement'!B8)</f>
        <v>0.23521221046994242</v>
      </c>
      <c r="C25" s="59">
        <f>IF(C24/'Income Statement'!C8&lt;0, "NM",C24/'Income Statement'!C8)</f>
        <v>0.2116234767181456</v>
      </c>
      <c r="D25" s="59">
        <f>IF(D24/'Income Statement'!D8&lt;0, "NM",D24/'Income Statement'!D8)</f>
        <v>0.22608111599070008</v>
      </c>
      <c r="E25" s="59">
        <f>IF(E24/'Income Statement'!E8&lt;0, "NM",E24/'Income Statement'!E8)</f>
        <v>0.20173678207987439</v>
      </c>
      <c r="F25" s="59">
        <f>IF(F24/'Income Statement'!F8&lt;0, "NM",F24/'Income Statement'!F8)</f>
        <v>0.21825494768300258</v>
      </c>
      <c r="G25" s="59">
        <f>IF(G24/'Income Statement'!G8&lt;0, "NM",G24/'Income Statement'!G8)</f>
        <v>0.20939649097227284</v>
      </c>
      <c r="H25" s="59">
        <f>IF(H24/'Income Statement'!H8&lt;0, "NM",H24/'Income Statement'!H8)</f>
        <v>0.21544659180695652</v>
      </c>
      <c r="I25" s="59">
        <f>IF(I24/'Income Statement'!I8&lt;0, "NM",I24/'Income Statement'!I8)</f>
        <v>0.21266303400295003</v>
      </c>
      <c r="J25" s="59">
        <f>IF(J24/'Income Statement'!J8&lt;0, "NM",J24/'Income Statement'!J8)</f>
        <v>0.20542136038409087</v>
      </c>
      <c r="K25" s="59">
        <f>IF(K24/'Income Statement'!K8&lt;0, "NM",K24/'Income Statement'!K8)</f>
        <v>0.21066340708929751</v>
      </c>
      <c r="L25" s="59">
        <f>IF(L24/'Income Statement'!L8&lt;0, "NM",L24/'Income Statement'!L8)</f>
        <v>0.21591291998113032</v>
      </c>
      <c r="M25" s="59">
        <f>IF(M24/'Income Statement'!M8&lt;0, "NM",M24/'Income Statement'!M8)</f>
        <v>0.2207256367964128</v>
      </c>
      <c r="N25" s="59">
        <f>IF(N24/'Income Statement'!N8&lt;0, "NM",N24/'Income Statement'!N8)</f>
        <v>0.22040484608403027</v>
      </c>
      <c r="O25" s="59">
        <f>IF(O24/'Income Statement'!O8&lt;0, "NM",O24/'Income Statement'!O8)</f>
        <v>0.19960247115138458</v>
      </c>
      <c r="P25" s="59">
        <f>IF(P24/'Income Statement'!P8&lt;0, "NM",P24/'Income Statement'!P8)</f>
        <v>0.21409876197975308</v>
      </c>
      <c r="Q25" s="59">
        <f>IF(Q24/'Income Statement'!Q8&lt;0, "NM",Q24/'Income Statement'!Q8)</f>
        <v>0.21012721445475102</v>
      </c>
      <c r="R25" s="59">
        <f>IF(R24/'Income Statement'!R8&lt;0, "NM",R24/'Income Statement'!R8)</f>
        <v>0.21997207638402555</v>
      </c>
      <c r="S25" s="59">
        <f>IF(S24/'Income Statement'!S8&lt;0, "NM",S24/'Income Statement'!S8)</f>
        <v>0.2212284964401692</v>
      </c>
      <c r="T25" s="59">
        <f>IF(T24/'Income Statement'!T8&lt;0, "NM",T24/'Income Statement'!T8)</f>
        <v>0.21370885660516881</v>
      </c>
      <c r="U25" s="59">
        <f>IF(U24/'Income Statement'!U8&lt;0, "NM",U24/'Income Statement'!U8)</f>
        <v>0.21631693694203349</v>
      </c>
      <c r="V25" s="59">
        <f>IF(V24/'Income Statement'!V8&lt;0, "NM",V24/'Income Statement'!V8)</f>
        <v>0.22186583742333124</v>
      </c>
      <c r="W25" s="59">
        <f>IF(W24/'Income Statement'!W8&lt;0, "NM",W24/'Income Statement'!W8)</f>
        <v>0.21689732923842475</v>
      </c>
      <c r="X25" s="59">
        <f>IF(X24/'Income Statement'!X8&lt;0, "NM",X24/'Income Statement'!X8)</f>
        <v>0.21609562204367572</v>
      </c>
      <c r="Y25" s="123"/>
      <c r="Z25" s="236"/>
      <c r="AB25" s="120"/>
      <c r="AC25" s="10"/>
      <c r="AD25" s="10"/>
      <c r="AE25" s="10"/>
      <c r="AF25" s="120"/>
    </row>
    <row r="26" spans="1:32" ht="12.75">
      <c r="A26" s="37" t="s">
        <v>189</v>
      </c>
      <c r="B26" s="207">
        <f>ROUND(-10.97,-1)</f>
        <v>-10</v>
      </c>
      <c r="C26" s="205">
        <f>ROUNDDOWN((C25-B25)*10000,-1)</f>
        <v>-230</v>
      </c>
      <c r="D26" s="205">
        <f t="shared" ref="D26" si="14">ROUND((D25-C25)*10000,-1)</f>
        <v>140</v>
      </c>
      <c r="E26" s="205">
        <f>ROUND((E25-D25)*10000,-1)</f>
        <v>-240</v>
      </c>
      <c r="F26" s="84" t="s">
        <v>16</v>
      </c>
      <c r="G26" s="205">
        <f>ROUNDDOWN((G25-E25)*10000,-1)</f>
        <v>70</v>
      </c>
      <c r="H26" s="205">
        <f>ROUND((H25-G25)*10000,-1)</f>
        <v>60</v>
      </c>
      <c r="I26" s="205">
        <f>ROUNDDOWN((I25-H25)*10000,-1)</f>
        <v>-20</v>
      </c>
      <c r="J26" s="205">
        <f>ROUNDUP((J25-I25)*10000,-1)</f>
        <v>-80</v>
      </c>
      <c r="K26" s="84" t="s">
        <v>16</v>
      </c>
      <c r="L26" s="205">
        <f>ROUNDUP((L25-J25)*10000,-1)</f>
        <v>110</v>
      </c>
      <c r="M26" s="205">
        <f>ROUND((M25-L25)*10000,-1)</f>
        <v>50</v>
      </c>
      <c r="N26" s="205">
        <f>ROUNDUP((N25-M25)*10000,-1)</f>
        <v>-10</v>
      </c>
      <c r="O26" s="205">
        <f>ROUNDDOWN((O25-N25)*10000,-1)</f>
        <v>-200</v>
      </c>
      <c r="P26" s="84" t="s">
        <v>16</v>
      </c>
      <c r="Q26" s="205">
        <f>ROUNDDOWN((Q25-O25)*10000,-1)</f>
        <v>100</v>
      </c>
      <c r="R26" s="205">
        <f>ROUND((R25-Q25)*10000,-1)</f>
        <v>100</v>
      </c>
      <c r="S26" s="205">
        <f t="shared" ref="S26" si="15">ROUND((S25-R25)*10000,-1)</f>
        <v>10</v>
      </c>
      <c r="T26" s="205">
        <f>ROUNDDOWN((T25-S25)*10000,-1)</f>
        <v>-70</v>
      </c>
      <c r="U26" s="84" t="s">
        <v>16</v>
      </c>
      <c r="V26" s="205">
        <f>ROUNDDOWN((V25-T25)*10000,-1)</f>
        <v>80</v>
      </c>
      <c r="W26" s="205">
        <f>ROUND((W25-V25)*10000,-1)</f>
        <v>-50</v>
      </c>
      <c r="X26" s="205">
        <f>ROUND((X25-W25)*10000,-1)</f>
        <v>-10</v>
      </c>
      <c r="Y26" s="123"/>
      <c r="Z26" s="236"/>
      <c r="AB26" s="120"/>
      <c r="AC26" s="10"/>
      <c r="AD26" s="10"/>
      <c r="AE26" s="10"/>
      <c r="AF26" s="120"/>
    </row>
    <row r="27" spans="1:32" ht="13.5" thickBot="1">
      <c r="A27" s="63" t="s">
        <v>190</v>
      </c>
      <c r="B27" s="206">
        <f>ROUND(534.36,-1)</f>
        <v>530</v>
      </c>
      <c r="C27" s="206">
        <f>ROUND(767.89,-1)</f>
        <v>770</v>
      </c>
      <c r="D27" s="206">
        <f>ROUND(-28.51,-1)</f>
        <v>-30</v>
      </c>
      <c r="E27" s="206">
        <f>ROUND(-345.72,-1)</f>
        <v>-350</v>
      </c>
      <c r="F27" s="206">
        <f>ROUND(213.51,-1)</f>
        <v>210</v>
      </c>
      <c r="G27" s="206">
        <f>ROUND((G25-B25)*10000,-1)</f>
        <v>-260</v>
      </c>
      <c r="H27" s="206">
        <f>ROUNDDOWN((H25-C25)*10000,-1)</f>
        <v>30</v>
      </c>
      <c r="I27" s="206">
        <f t="shared" ref="I27:W27" si="16">ROUND((I25-D25)*10000,-1)</f>
        <v>-130</v>
      </c>
      <c r="J27" s="206">
        <f>ROUNDDOWN((J25-E25)*10000,-1)</f>
        <v>30</v>
      </c>
      <c r="K27" s="206">
        <f>ROUNDDOWN((K25-F25)*10000,-1)</f>
        <v>-70</v>
      </c>
      <c r="L27" s="206">
        <f t="shared" si="16"/>
        <v>70</v>
      </c>
      <c r="M27" s="206">
        <f>ROUNDUP((M25-H25)*10000,-1)</f>
        <v>60</v>
      </c>
      <c r="N27" s="206">
        <f>ROUNDDOWN((N25-I25)*10000,-1)</f>
        <v>70</v>
      </c>
      <c r="O27" s="206">
        <f>ROUNDDOWN((O25-J25)*10000,-1)</f>
        <v>-50</v>
      </c>
      <c r="P27" s="206">
        <f t="shared" si="16"/>
        <v>30</v>
      </c>
      <c r="Q27" s="206">
        <f t="shared" si="16"/>
        <v>-60</v>
      </c>
      <c r="R27" s="206">
        <f t="shared" si="16"/>
        <v>-10</v>
      </c>
      <c r="S27" s="206">
        <f t="shared" si="16"/>
        <v>10</v>
      </c>
      <c r="T27" s="206">
        <f t="shared" si="16"/>
        <v>140</v>
      </c>
      <c r="U27" s="206">
        <f t="shared" si="16"/>
        <v>20</v>
      </c>
      <c r="V27" s="206">
        <f t="shared" si="16"/>
        <v>120</v>
      </c>
      <c r="W27" s="206">
        <f t="shared" si="16"/>
        <v>-30</v>
      </c>
      <c r="X27" s="206">
        <f>ROUND((X25-S25)*10000,-1)</f>
        <v>-50</v>
      </c>
      <c r="Y27" s="123"/>
      <c r="Z27" s="231"/>
      <c r="AB27" s="120"/>
      <c r="AC27" s="10"/>
      <c r="AD27" s="10"/>
      <c r="AE27" s="10"/>
      <c r="AF27" s="120"/>
    </row>
    <row r="28" spans="1:32" ht="6" customHeight="1">
      <c r="A28" s="62"/>
      <c r="Y28" s="123"/>
      <c r="Z28" s="232"/>
      <c r="AB28" s="120"/>
      <c r="AC28" s="10"/>
      <c r="AD28" s="10"/>
      <c r="AE28" s="10"/>
      <c r="AF28" s="120"/>
    </row>
    <row r="29" spans="1:32" ht="12.75">
      <c r="A29" s="137" t="s">
        <v>194</v>
      </c>
      <c r="B29" s="146">
        <f>'Income Statement'!B43</f>
        <v>31931</v>
      </c>
      <c r="C29" s="146">
        <f>'Income Statement'!C43</f>
        <v>28021</v>
      </c>
      <c r="D29" s="146">
        <f>'Income Statement'!D43</f>
        <v>26507</v>
      </c>
      <c r="E29" s="146">
        <f>'Income Statement'!E43</f>
        <v>28299</v>
      </c>
      <c r="F29" s="146">
        <f>'Income Statement'!F43</f>
        <v>114758</v>
      </c>
      <c r="G29" s="146">
        <f>'Income Statement'!G43</f>
        <v>36178</v>
      </c>
      <c r="H29" s="146">
        <f>'Income Statement'!H43</f>
        <v>35846</v>
      </c>
      <c r="I29" s="146">
        <f>'Income Statement'!I43</f>
        <v>39095</v>
      </c>
      <c r="J29" s="146">
        <f>'Income Statement'!J43</f>
        <v>31849</v>
      </c>
      <c r="K29" s="146">
        <f>'Income Statement'!K43</f>
        <v>142968</v>
      </c>
      <c r="L29" s="146">
        <f>'Income Statement'!L43</f>
        <v>51331</v>
      </c>
      <c r="M29" s="146">
        <f>'Income Statement'!M43</f>
        <v>49068</v>
      </c>
      <c r="N29" s="146">
        <f>'Income Statement'!N43</f>
        <v>43876</v>
      </c>
      <c r="O29" s="146">
        <f>'Income Statement'!O43</f>
        <v>40283</v>
      </c>
      <c r="P29" s="146">
        <f>'Income Statement'!P43</f>
        <v>184558</v>
      </c>
      <c r="Q29" s="146">
        <f>'Income Statement'!Q43</f>
        <v>48763</v>
      </c>
      <c r="R29" s="146">
        <f>'Income Statement'!R43</f>
        <v>45825</v>
      </c>
      <c r="S29" s="146">
        <f>'Income Statement'!S43</f>
        <v>53037</v>
      </c>
      <c r="T29" s="146">
        <f>'Income Statement'!T43</f>
        <v>50672</v>
      </c>
      <c r="U29" s="146">
        <f>'Income Statement'!U43</f>
        <v>198297</v>
      </c>
      <c r="V29" s="146">
        <f>'Income Statement'!V43</f>
        <v>66561</v>
      </c>
      <c r="W29" s="146">
        <f>'Income Statement'!W43</f>
        <v>66051</v>
      </c>
      <c r="X29" s="146">
        <f>'Income Statement'!X43</f>
        <v>58161</v>
      </c>
      <c r="Y29" s="123"/>
      <c r="Z29" s="233"/>
      <c r="AB29" s="120"/>
      <c r="AC29" s="10"/>
      <c r="AD29" s="10"/>
      <c r="AE29" s="10"/>
      <c r="AF29" s="120"/>
    </row>
    <row r="30" spans="1:32" ht="12.75">
      <c r="A30" s="40" t="s">
        <v>182</v>
      </c>
      <c r="B30" s="60">
        <f t="shared" ref="B30:I30" si="17">B11</f>
        <v>7832</v>
      </c>
      <c r="C30" s="60">
        <f t="shared" si="17"/>
        <v>10070</v>
      </c>
      <c r="D30" s="60">
        <f t="shared" si="17"/>
        <v>10894</v>
      </c>
      <c r="E30" s="82">
        <f t="shared" si="17"/>
        <v>9825</v>
      </c>
      <c r="F30" s="82">
        <f t="shared" si="17"/>
        <v>38621</v>
      </c>
      <c r="G30" s="82">
        <f t="shared" si="17"/>
        <v>11224</v>
      </c>
      <c r="H30" s="82">
        <f t="shared" si="17"/>
        <v>13340</v>
      </c>
      <c r="I30" s="82">
        <f t="shared" si="17"/>
        <v>12186</v>
      </c>
      <c r="J30" s="82">
        <f>+K30-SUM(G30:I30)</f>
        <v>12616</v>
      </c>
      <c r="K30" s="82">
        <f>K11</f>
        <v>49366</v>
      </c>
      <c r="L30" s="82">
        <f>L11</f>
        <v>14407</v>
      </c>
      <c r="M30" s="82">
        <f>M11</f>
        <v>11511</v>
      </c>
      <c r="N30" s="82">
        <f>N11</f>
        <v>17067</v>
      </c>
      <c r="O30" s="82">
        <f t="shared" ref="O30:O43" si="18">+ROUND(P30-SUM(L30:N30),0)</f>
        <v>15452</v>
      </c>
      <c r="P30" s="82">
        <f>P11</f>
        <v>58437</v>
      </c>
      <c r="Q30" s="82">
        <f>Q11</f>
        <v>17852</v>
      </c>
      <c r="R30" s="82">
        <f>R11</f>
        <v>18095</v>
      </c>
      <c r="S30" s="82">
        <f>S11</f>
        <v>21232</v>
      </c>
      <c r="T30" s="82">
        <f t="shared" ref="T30:T46" si="19">+ROUND(U30-SUM(Q30:S30),0)</f>
        <v>15479</v>
      </c>
      <c r="U30" s="82">
        <f>U11</f>
        <v>72658</v>
      </c>
      <c r="V30" s="82">
        <f>V11</f>
        <v>19187</v>
      </c>
      <c r="W30" s="82">
        <f>W11</f>
        <v>16392</v>
      </c>
      <c r="X30" s="82">
        <f>X11</f>
        <v>23139</v>
      </c>
      <c r="Y30" s="123"/>
      <c r="Z30" s="233"/>
      <c r="AB30" s="120"/>
      <c r="AC30" s="10"/>
      <c r="AD30" s="10"/>
      <c r="AE30" s="10"/>
      <c r="AF30" s="120"/>
    </row>
    <row r="31" spans="1:32" ht="12.75">
      <c r="A31" s="40" t="s">
        <v>181</v>
      </c>
      <c r="B31" s="60">
        <f t="shared" ref="B31:I31" si="20">B10</f>
        <v>3361</v>
      </c>
      <c r="C31" s="60">
        <f t="shared" si="20"/>
        <v>3397</v>
      </c>
      <c r="D31" s="60">
        <f t="shared" si="20"/>
        <v>3022</v>
      </c>
      <c r="E31" s="82">
        <f t="shared" si="20"/>
        <v>2998</v>
      </c>
      <c r="F31" s="82">
        <f t="shared" si="20"/>
        <v>12778</v>
      </c>
      <c r="G31" s="82">
        <f t="shared" si="20"/>
        <v>4486</v>
      </c>
      <c r="H31" s="82">
        <f t="shared" si="20"/>
        <v>4146</v>
      </c>
      <c r="I31" s="82">
        <f t="shared" si="20"/>
        <v>4243</v>
      </c>
      <c r="J31" s="82">
        <f>+K31-SUM(G31:I31)</f>
        <v>4234</v>
      </c>
      <c r="K31" s="82">
        <f>K10</f>
        <v>17109</v>
      </c>
      <c r="L31" s="82">
        <f>L10</f>
        <v>4149</v>
      </c>
      <c r="M31" s="82">
        <f>M10</f>
        <v>4204</v>
      </c>
      <c r="N31" s="82">
        <f>N10</f>
        <v>3157</v>
      </c>
      <c r="O31" s="82">
        <f t="shared" si="18"/>
        <v>3168</v>
      </c>
      <c r="P31" s="82">
        <f>P10</f>
        <v>14678</v>
      </c>
      <c r="Q31" s="82">
        <f>Q10</f>
        <v>3080</v>
      </c>
      <c r="R31" s="82">
        <f>R10</f>
        <v>3077</v>
      </c>
      <c r="S31" s="82">
        <f>S10</f>
        <v>3449</v>
      </c>
      <c r="T31" s="82">
        <f t="shared" si="19"/>
        <v>4024</v>
      </c>
      <c r="U31" s="82">
        <f>U10</f>
        <v>13630</v>
      </c>
      <c r="V31" s="82">
        <f>V10</f>
        <v>3246</v>
      </c>
      <c r="W31" s="82">
        <f>W10</f>
        <v>3277</v>
      </c>
      <c r="X31" s="82">
        <f>X10</f>
        <v>3310</v>
      </c>
      <c r="Y31" s="123"/>
      <c r="Z31" s="233"/>
      <c r="AB31" s="120"/>
      <c r="AC31" s="10"/>
      <c r="AD31" s="10"/>
      <c r="AE31" s="10"/>
      <c r="AF31" s="120"/>
    </row>
    <row r="32" spans="1:32" ht="12.75">
      <c r="A32" s="40" t="s">
        <v>183</v>
      </c>
      <c r="B32" s="60">
        <v>0</v>
      </c>
      <c r="C32" s="60">
        <v>0</v>
      </c>
      <c r="D32" s="60">
        <v>0</v>
      </c>
      <c r="E32" s="82">
        <f>+F32-SUM(B32:D32)</f>
        <v>0</v>
      </c>
      <c r="F32" s="82">
        <v>0</v>
      </c>
      <c r="G32" s="82">
        <v>0</v>
      </c>
      <c r="H32" s="82">
        <v>580</v>
      </c>
      <c r="I32" s="82">
        <v>481</v>
      </c>
      <c r="J32" s="82">
        <f>+K32-SUM(G32:I32)</f>
        <v>0</v>
      </c>
      <c r="K32" s="82">
        <v>1061</v>
      </c>
      <c r="L32" s="82">
        <v>0</v>
      </c>
      <c r="M32" s="82">
        <v>0</v>
      </c>
      <c r="N32" s="82">
        <v>0</v>
      </c>
      <c r="O32" s="82">
        <f t="shared" si="18"/>
        <v>613</v>
      </c>
      <c r="P32" s="82">
        <v>613</v>
      </c>
      <c r="Q32" s="82">
        <v>0</v>
      </c>
      <c r="R32" s="82">
        <f>R12</f>
        <v>1412</v>
      </c>
      <c r="S32" s="82">
        <f>S12</f>
        <v>0</v>
      </c>
      <c r="T32" s="82">
        <f t="shared" si="19"/>
        <v>0</v>
      </c>
      <c r="U32" s="82">
        <f>U12</f>
        <v>1412</v>
      </c>
      <c r="V32" s="82">
        <f>V12</f>
        <v>0</v>
      </c>
      <c r="W32" s="82">
        <f>W12</f>
        <v>0</v>
      </c>
      <c r="X32" s="82">
        <f>X12</f>
        <v>0</v>
      </c>
      <c r="Y32" s="123"/>
      <c r="Z32" s="237"/>
      <c r="AB32" s="120"/>
      <c r="AC32" s="10"/>
      <c r="AD32" s="10"/>
      <c r="AE32" s="10"/>
      <c r="AF32" s="120"/>
    </row>
    <row r="33" spans="1:32" ht="12.75">
      <c r="A33" s="40" t="s">
        <v>195</v>
      </c>
      <c r="B33" s="82">
        <v>0</v>
      </c>
      <c r="C33" s="82">
        <v>0</v>
      </c>
      <c r="D33" s="82">
        <v>0</v>
      </c>
      <c r="E33" s="82">
        <f>+F33-SUM(B33:D33)</f>
        <v>761</v>
      </c>
      <c r="F33" s="82">
        <v>761</v>
      </c>
      <c r="G33" s="82">
        <v>134</v>
      </c>
      <c r="H33" s="82">
        <v>0</v>
      </c>
      <c r="I33" s="82">
        <v>0</v>
      </c>
      <c r="J33" s="82">
        <f>+K33-SUM(G33:I33)</f>
        <v>0</v>
      </c>
      <c r="K33" s="82">
        <f>K13</f>
        <v>134</v>
      </c>
      <c r="L33" s="82">
        <v>0</v>
      </c>
      <c r="M33" s="82">
        <v>0</v>
      </c>
      <c r="N33" s="82">
        <v>0</v>
      </c>
      <c r="O33" s="82">
        <f t="shared" si="18"/>
        <v>0</v>
      </c>
      <c r="P33" s="82">
        <v>0</v>
      </c>
      <c r="Q33" s="82">
        <v>0</v>
      </c>
      <c r="R33" s="82">
        <v>0</v>
      </c>
      <c r="S33" s="82">
        <v>0</v>
      </c>
      <c r="T33" s="82">
        <f t="shared" si="19"/>
        <v>0</v>
      </c>
      <c r="U33" s="82">
        <v>0</v>
      </c>
      <c r="V33" s="82">
        <v>0</v>
      </c>
      <c r="W33" s="82">
        <v>0</v>
      </c>
      <c r="X33" s="82">
        <v>0</v>
      </c>
      <c r="Y33" s="123"/>
      <c r="Z33" s="237"/>
      <c r="AB33" s="120"/>
      <c r="AC33" s="10"/>
      <c r="AD33" s="10"/>
      <c r="AE33" s="10"/>
      <c r="AF33" s="120"/>
    </row>
    <row r="34" spans="1:32" ht="12.75">
      <c r="A34" s="40" t="s">
        <v>196</v>
      </c>
      <c r="B34" s="77">
        <v>673</v>
      </c>
      <c r="C34" s="77">
        <v>691</v>
      </c>
      <c r="D34" s="77">
        <v>431</v>
      </c>
      <c r="E34" s="82">
        <f>+F34-SUM(B34:D34)</f>
        <v>0</v>
      </c>
      <c r="F34" s="77">
        <v>1795</v>
      </c>
      <c r="G34" s="77">
        <v>0</v>
      </c>
      <c r="H34" s="24">
        <v>0</v>
      </c>
      <c r="I34" s="24">
        <v>0</v>
      </c>
      <c r="J34" s="82">
        <f>+K34-SUM(G34:I34)</f>
        <v>0</v>
      </c>
      <c r="K34" s="24">
        <v>0</v>
      </c>
      <c r="L34" s="24">
        <v>0</v>
      </c>
      <c r="M34" s="24">
        <v>0</v>
      </c>
      <c r="N34" s="24">
        <v>0</v>
      </c>
      <c r="O34" s="82">
        <f t="shared" si="18"/>
        <v>0</v>
      </c>
      <c r="P34" s="24">
        <v>0</v>
      </c>
      <c r="Q34" s="24">
        <v>0</v>
      </c>
      <c r="R34" s="24">
        <v>0</v>
      </c>
      <c r="S34" s="24">
        <v>0</v>
      </c>
      <c r="T34" s="82">
        <f t="shared" si="19"/>
        <v>0</v>
      </c>
      <c r="U34" s="24">
        <v>0</v>
      </c>
      <c r="V34" s="24">
        <v>0</v>
      </c>
      <c r="W34" s="82">
        <v>0</v>
      </c>
      <c r="X34" s="82">
        <v>0</v>
      </c>
      <c r="Y34" s="123"/>
      <c r="Z34" s="54"/>
      <c r="AB34" s="120"/>
      <c r="AC34" s="10"/>
      <c r="AD34" s="10"/>
      <c r="AE34" s="10"/>
      <c r="AF34" s="120"/>
    </row>
    <row r="35" spans="1:32" ht="12.75">
      <c r="A35" s="112" t="s">
        <v>186</v>
      </c>
      <c r="B35" s="82">
        <f>B15</f>
        <v>0</v>
      </c>
      <c r="C35" s="82">
        <f t="shared" ref="C35:X35" si="21">C15</f>
        <v>0</v>
      </c>
      <c r="D35" s="82">
        <f t="shared" si="21"/>
        <v>0</v>
      </c>
      <c r="E35" s="82">
        <f t="shared" si="21"/>
        <v>0</v>
      </c>
      <c r="F35" s="82">
        <f t="shared" si="21"/>
        <v>0</v>
      </c>
      <c r="G35" s="82">
        <f t="shared" si="21"/>
        <v>0</v>
      </c>
      <c r="H35" s="82">
        <f t="shared" si="21"/>
        <v>0</v>
      </c>
      <c r="I35" s="82">
        <f t="shared" si="21"/>
        <v>0</v>
      </c>
      <c r="J35" s="82">
        <f t="shared" si="21"/>
        <v>0</v>
      </c>
      <c r="K35" s="82">
        <f t="shared" si="21"/>
        <v>0</v>
      </c>
      <c r="L35" s="82">
        <f t="shared" si="21"/>
        <v>0</v>
      </c>
      <c r="M35" s="82">
        <f t="shared" si="21"/>
        <v>0</v>
      </c>
      <c r="N35" s="82">
        <f t="shared" si="21"/>
        <v>0</v>
      </c>
      <c r="O35" s="82">
        <f t="shared" si="21"/>
        <v>0</v>
      </c>
      <c r="P35" s="82">
        <f t="shared" si="21"/>
        <v>0</v>
      </c>
      <c r="Q35" s="82">
        <f t="shared" si="21"/>
        <v>0</v>
      </c>
      <c r="R35" s="82">
        <f t="shared" si="21"/>
        <v>4762</v>
      </c>
      <c r="S35" s="82">
        <f t="shared" si="21"/>
        <v>0</v>
      </c>
      <c r="T35" s="82">
        <f t="shared" si="21"/>
        <v>0</v>
      </c>
      <c r="U35" s="82">
        <f t="shared" si="21"/>
        <v>4762</v>
      </c>
      <c r="V35" s="82">
        <f t="shared" si="21"/>
        <v>0</v>
      </c>
      <c r="W35" s="82">
        <f t="shared" si="21"/>
        <v>0</v>
      </c>
      <c r="X35" s="82">
        <f t="shared" si="21"/>
        <v>0</v>
      </c>
      <c r="Y35" s="123"/>
      <c r="Z35" s="237"/>
      <c r="AB35" s="120"/>
      <c r="AC35" s="10"/>
      <c r="AD35" s="10"/>
      <c r="AE35" s="10"/>
      <c r="AF35" s="120"/>
    </row>
    <row r="36" spans="1:32" s="83" customFormat="1" ht="12.75">
      <c r="A36" s="112" t="s">
        <v>197</v>
      </c>
      <c r="B36" s="87">
        <v>0</v>
      </c>
      <c r="C36" s="87">
        <v>0</v>
      </c>
      <c r="D36" s="87">
        <v>0</v>
      </c>
      <c r="E36" s="87">
        <v>0</v>
      </c>
      <c r="F36" s="87">
        <v>0</v>
      </c>
      <c r="G36" s="87">
        <v>0</v>
      </c>
      <c r="H36" s="87">
        <v>0</v>
      </c>
      <c r="I36" s="87">
        <v>0</v>
      </c>
      <c r="J36" s="87">
        <v>0</v>
      </c>
      <c r="K36" s="87">
        <v>0</v>
      </c>
      <c r="L36" s="87">
        <v>0</v>
      </c>
      <c r="M36" s="87">
        <v>0</v>
      </c>
      <c r="N36" s="82">
        <v>1700</v>
      </c>
      <c r="O36" s="82">
        <f t="shared" si="18"/>
        <v>-264</v>
      </c>
      <c r="P36" s="87">
        <v>1436</v>
      </c>
      <c r="Q36" s="82">
        <v>0</v>
      </c>
      <c r="R36" s="82">
        <v>0</v>
      </c>
      <c r="S36" s="82">
        <v>0</v>
      </c>
      <c r="T36" s="82">
        <f t="shared" si="19"/>
        <v>0</v>
      </c>
      <c r="U36" s="82">
        <v>0</v>
      </c>
      <c r="V36" s="82">
        <v>0</v>
      </c>
      <c r="W36" s="82">
        <v>0</v>
      </c>
      <c r="X36" s="82">
        <v>0</v>
      </c>
      <c r="Y36" s="123"/>
      <c r="Z36" s="237"/>
      <c r="AB36" s="120"/>
      <c r="AC36" s="107"/>
      <c r="AD36" s="107"/>
      <c r="AE36" s="107"/>
      <c r="AF36" s="120"/>
    </row>
    <row r="37" spans="1:32" s="110" customFormat="1" ht="12.75">
      <c r="A37" s="40" t="s">
        <v>185</v>
      </c>
      <c r="B37" s="82">
        <v>0</v>
      </c>
      <c r="C37" s="82">
        <v>0</v>
      </c>
      <c r="D37" s="82">
        <v>0</v>
      </c>
      <c r="E37" s="82">
        <f>+F37-SUM(B37:D37)</f>
        <v>551</v>
      </c>
      <c r="F37" s="82">
        <v>551</v>
      </c>
      <c r="G37" s="82">
        <v>0</v>
      </c>
      <c r="H37" s="82">
        <v>0</v>
      </c>
      <c r="I37" s="82">
        <v>0</v>
      </c>
      <c r="J37" s="82">
        <f>+K37-SUM(G37:I37)</f>
        <v>-560</v>
      </c>
      <c r="K37" s="82">
        <v>-560</v>
      </c>
      <c r="L37" s="82">
        <v>-89</v>
      </c>
      <c r="M37" s="82">
        <v>578</v>
      </c>
      <c r="N37" s="82">
        <v>0</v>
      </c>
      <c r="O37" s="82">
        <f t="shared" si="18"/>
        <v>0</v>
      </c>
      <c r="P37" s="82">
        <v>489</v>
      </c>
      <c r="Q37" s="82">
        <v>0</v>
      </c>
      <c r="R37" s="82">
        <v>0</v>
      </c>
      <c r="S37" s="82">
        <v>0</v>
      </c>
      <c r="T37" s="82">
        <f t="shared" si="19"/>
        <v>0</v>
      </c>
      <c r="U37" s="82">
        <v>0</v>
      </c>
      <c r="V37" s="82">
        <v>0</v>
      </c>
      <c r="W37" s="82">
        <v>0</v>
      </c>
      <c r="X37" s="82">
        <v>0</v>
      </c>
      <c r="Y37" s="123"/>
      <c r="Z37" s="237"/>
      <c r="AB37" s="120"/>
      <c r="AC37" s="111"/>
      <c r="AD37" s="111"/>
      <c r="AE37" s="111"/>
      <c r="AF37" s="120"/>
    </row>
    <row r="38" spans="1:32" ht="12.75">
      <c r="A38" s="40" t="s">
        <v>198</v>
      </c>
      <c r="B38" s="82">
        <v>0</v>
      </c>
      <c r="C38" s="82">
        <v>0</v>
      </c>
      <c r="D38" s="82">
        <v>0</v>
      </c>
      <c r="E38" s="82">
        <v>0</v>
      </c>
      <c r="F38" s="82">
        <v>0</v>
      </c>
      <c r="G38" s="82">
        <v>0</v>
      </c>
      <c r="H38" s="82">
        <v>1000</v>
      </c>
      <c r="I38" s="24">
        <v>0</v>
      </c>
      <c r="J38" s="82">
        <f>+ROUND(K38-SUM(G38:I38),0)</f>
        <v>7500</v>
      </c>
      <c r="K38" s="82">
        <v>8500</v>
      </c>
      <c r="L38" s="82">
        <v>0</v>
      </c>
      <c r="M38" s="82">
        <v>0</v>
      </c>
      <c r="N38" s="82">
        <v>2500</v>
      </c>
      <c r="O38" s="82">
        <f>+ROUND(P38-SUM(L38:N38),0)</f>
        <v>-600</v>
      </c>
      <c r="P38" s="82">
        <v>1900</v>
      </c>
      <c r="Q38" s="82">
        <v>-589</v>
      </c>
      <c r="R38" s="82">
        <v>0</v>
      </c>
      <c r="S38" s="82">
        <v>0</v>
      </c>
      <c r="T38" s="82">
        <f>+ROUND(U38-SUM(Q38:S38),0)</f>
        <v>0</v>
      </c>
      <c r="U38" s="82">
        <v>-589</v>
      </c>
      <c r="V38" s="82">
        <v>0</v>
      </c>
      <c r="W38" s="82">
        <v>0</v>
      </c>
      <c r="X38" s="82">
        <v>0</v>
      </c>
      <c r="Y38" s="123"/>
      <c r="Z38" s="237"/>
      <c r="AB38" s="120"/>
      <c r="AC38" s="10"/>
      <c r="AD38" s="10"/>
      <c r="AE38" s="10"/>
      <c r="AF38" s="120"/>
    </row>
    <row r="39" spans="1:32" ht="12.75">
      <c r="A39" s="40" t="s">
        <v>199</v>
      </c>
      <c r="B39" s="82">
        <v>0</v>
      </c>
      <c r="C39" s="82">
        <v>0</v>
      </c>
      <c r="D39" s="82">
        <v>-2400</v>
      </c>
      <c r="E39" s="82">
        <f>+F39-SUM(B39:D39)</f>
        <v>2157</v>
      </c>
      <c r="F39" s="82">
        <v>-243</v>
      </c>
      <c r="G39" s="82">
        <v>0</v>
      </c>
      <c r="H39" s="82">
        <v>-92</v>
      </c>
      <c r="I39" s="82">
        <v>-78</v>
      </c>
      <c r="J39" s="82">
        <f>+K39-SUM(G39:I39)</f>
        <v>-1079</v>
      </c>
      <c r="K39" s="82">
        <v>-1249</v>
      </c>
      <c r="L39" s="82">
        <v>0</v>
      </c>
      <c r="M39" s="82">
        <v>0</v>
      </c>
      <c r="N39" s="82">
        <v>0</v>
      </c>
      <c r="O39" s="82">
        <f>+ROUND(P39-SUM(L39:N39),0)</f>
        <v>219</v>
      </c>
      <c r="P39" s="82">
        <v>219</v>
      </c>
      <c r="Q39" s="82">
        <v>151</v>
      </c>
      <c r="R39" s="82">
        <v>-1588</v>
      </c>
      <c r="S39" s="82">
        <v>0</v>
      </c>
      <c r="T39" s="82">
        <f>+ROUND(U39-SUM(Q39:S39),0)</f>
        <v>3860</v>
      </c>
      <c r="U39" s="82">
        <v>2423</v>
      </c>
      <c r="V39" s="82">
        <v>0</v>
      </c>
      <c r="W39" s="82">
        <v>0</v>
      </c>
      <c r="X39" s="82">
        <v>0</v>
      </c>
      <c r="Y39" s="123"/>
      <c r="Z39" s="229"/>
      <c r="AB39" s="120"/>
      <c r="AC39" s="10"/>
      <c r="AD39" s="10"/>
      <c r="AE39" s="10"/>
      <c r="AF39" s="120"/>
    </row>
    <row r="40" spans="1:32" ht="12.75">
      <c r="A40" s="40" t="s">
        <v>200</v>
      </c>
      <c r="B40" s="60">
        <v>0</v>
      </c>
      <c r="C40" s="60">
        <v>0</v>
      </c>
      <c r="D40" s="60">
        <f>-'Income Statement'!D36</f>
        <v>12845</v>
      </c>
      <c r="E40" s="102">
        <f>+F40-SUM(B40:D40)</f>
        <v>0</v>
      </c>
      <c r="F40" s="60">
        <f>-'Income Statement'!F36</f>
        <v>12845</v>
      </c>
      <c r="G40" s="60">
        <f>-'Income Statement'!G36</f>
        <v>0</v>
      </c>
      <c r="H40" s="60">
        <f>-'Income Statement'!H36</f>
        <v>0</v>
      </c>
      <c r="I40" s="60">
        <f>-'Income Statement'!I36</f>
        <v>0</v>
      </c>
      <c r="J40" s="102">
        <f>+K40-SUM(G40:I40)</f>
        <v>0</v>
      </c>
      <c r="K40" s="60">
        <f>-'Income Statement'!K36</f>
        <v>0</v>
      </c>
      <c r="L40" s="60">
        <f>-'Income Statement'!L36</f>
        <v>0</v>
      </c>
      <c r="M40" s="60">
        <f>-'Income Statement'!M36</f>
        <v>0</v>
      </c>
      <c r="N40" s="60">
        <f>-'Income Statement'!N36</f>
        <v>0</v>
      </c>
      <c r="O40" s="82">
        <f>+ROUND(P40-SUM(L40:N40),0)</f>
        <v>0</v>
      </c>
      <c r="P40" s="60">
        <f>-'Income Statement'!P36</f>
        <v>0</v>
      </c>
      <c r="Q40" s="82">
        <f>-'Income Statement'!Q36</f>
        <v>0</v>
      </c>
      <c r="R40" s="82">
        <f>-'Income Statement'!R36</f>
        <v>0</v>
      </c>
      <c r="S40" s="82">
        <f>-'Income Statement'!S36</f>
        <v>0</v>
      </c>
      <c r="T40" s="82">
        <f>+ROUND(U40-SUM(Q40:S40),0)</f>
        <v>0</v>
      </c>
      <c r="U40" s="82">
        <f>-'Income Statement'!U36</f>
        <v>0</v>
      </c>
      <c r="V40" s="82">
        <v>0</v>
      </c>
      <c r="W40" s="82">
        <v>0</v>
      </c>
      <c r="X40" s="82">
        <v>0</v>
      </c>
      <c r="Y40" s="123"/>
      <c r="Z40" s="229"/>
      <c r="AB40" s="120"/>
      <c r="AC40" s="10"/>
      <c r="AD40" s="10"/>
      <c r="AE40" s="10"/>
      <c r="AF40" s="120"/>
    </row>
    <row r="41" spans="1:32" ht="12.75">
      <c r="A41" s="40" t="s">
        <v>201</v>
      </c>
      <c r="B41" s="60">
        <v>0</v>
      </c>
      <c r="C41" s="60">
        <v>0</v>
      </c>
      <c r="D41" s="60">
        <v>0</v>
      </c>
      <c r="E41" s="102">
        <v>0</v>
      </c>
      <c r="F41" s="60">
        <v>0</v>
      </c>
      <c r="G41" s="60">
        <v>0</v>
      </c>
      <c r="H41" s="60">
        <v>0</v>
      </c>
      <c r="I41" s="60">
        <v>0</v>
      </c>
      <c r="J41" s="102">
        <v>0</v>
      </c>
      <c r="K41" s="60">
        <v>0</v>
      </c>
      <c r="L41" s="60">
        <v>0</v>
      </c>
      <c r="M41" s="60">
        <v>0</v>
      </c>
      <c r="N41" s="60">
        <v>0</v>
      </c>
      <c r="O41" s="82">
        <v>0</v>
      </c>
      <c r="P41" s="60">
        <v>0</v>
      </c>
      <c r="Q41" s="82">
        <v>0</v>
      </c>
      <c r="R41" s="82">
        <v>0</v>
      </c>
      <c r="S41" s="82">
        <v>0</v>
      </c>
      <c r="T41" s="82">
        <v>0</v>
      </c>
      <c r="U41" s="82">
        <v>0</v>
      </c>
      <c r="V41" s="82">
        <v>0</v>
      </c>
      <c r="W41" s="82">
        <v>-945</v>
      </c>
      <c r="X41" s="82">
        <v>0</v>
      </c>
      <c r="Y41" s="123"/>
      <c r="Z41" s="102"/>
      <c r="AB41" s="120"/>
      <c r="AC41" s="10"/>
      <c r="AD41" s="10"/>
      <c r="AE41" s="10"/>
      <c r="AF41" s="120"/>
    </row>
    <row r="42" spans="1:32" ht="12.75">
      <c r="A42" s="40" t="s">
        <v>202</v>
      </c>
      <c r="B42" s="77">
        <v>-2358</v>
      </c>
      <c r="C42" s="77">
        <v>-2074</v>
      </c>
      <c r="D42" s="77">
        <v>-2697</v>
      </c>
      <c r="E42" s="82">
        <f>+F42-SUM(B42:D42)</f>
        <v>-2406</v>
      </c>
      <c r="F42" s="77">
        <v>-9535</v>
      </c>
      <c r="G42" s="77">
        <v>-2806</v>
      </c>
      <c r="H42" s="24">
        <v>-3216</v>
      </c>
      <c r="I42" s="24">
        <v>-2833</v>
      </c>
      <c r="J42" s="82">
        <f>+K42-SUM(G42:I42)</f>
        <v>-930</v>
      </c>
      <c r="K42" s="77">
        <v>-9785</v>
      </c>
      <c r="L42" s="77">
        <v>-9830</v>
      </c>
      <c r="M42" s="77">
        <v>-2789</v>
      </c>
      <c r="N42" s="77">
        <v>-4340</v>
      </c>
      <c r="O42" s="82">
        <f t="shared" si="18"/>
        <v>-374</v>
      </c>
      <c r="P42" s="82">
        <v>-17333</v>
      </c>
      <c r="Q42" s="82">
        <v>-5358</v>
      </c>
      <c r="R42" s="82">
        <v>-4619</v>
      </c>
      <c r="S42" s="82">
        <v>-5830</v>
      </c>
      <c r="T42" s="82">
        <f t="shared" si="19"/>
        <v>-1769</v>
      </c>
      <c r="U42" s="82">
        <v>-17576</v>
      </c>
      <c r="V42" s="82">
        <v>-9105</v>
      </c>
      <c r="W42" s="82">
        <v>-4211</v>
      </c>
      <c r="X42" s="82">
        <v>-5786</v>
      </c>
      <c r="Y42" s="123"/>
      <c r="Z42" s="233"/>
      <c r="AB42" s="120"/>
      <c r="AC42" s="10"/>
      <c r="AD42" s="10"/>
      <c r="AE42" s="10"/>
      <c r="AF42" s="120"/>
    </row>
    <row r="43" spans="1:32" ht="12.75">
      <c r="A43" s="40" t="s">
        <v>203</v>
      </c>
      <c r="B43" s="77">
        <v>-757.9736190000001</v>
      </c>
      <c r="C43" s="77">
        <v>-765.89167199999997</v>
      </c>
      <c r="D43" s="77">
        <v>-699</v>
      </c>
      <c r="E43" s="82">
        <f>+ROUND(F43-SUM(B43:D43),0)</f>
        <v>-770</v>
      </c>
      <c r="F43" s="77">
        <v>-2993</v>
      </c>
      <c r="G43" s="77">
        <v>-1052</v>
      </c>
      <c r="H43" s="24">
        <v>-971</v>
      </c>
      <c r="I43" s="24">
        <v>-994</v>
      </c>
      <c r="J43" s="82">
        <f>+ROUND(K43-SUM(G43:I43),0)</f>
        <v>-1134</v>
      </c>
      <c r="K43" s="77">
        <v>-4151</v>
      </c>
      <c r="L43" s="82">
        <v>-1023</v>
      </c>
      <c r="M43" s="82">
        <v>-1036</v>
      </c>
      <c r="N43" s="82">
        <v>-771</v>
      </c>
      <c r="O43" s="82">
        <f t="shared" si="18"/>
        <v>-792</v>
      </c>
      <c r="P43" s="82">
        <v>-3622</v>
      </c>
      <c r="Q43" s="82">
        <v>-766</v>
      </c>
      <c r="R43" s="82">
        <v>-765</v>
      </c>
      <c r="S43" s="82">
        <v>-866</v>
      </c>
      <c r="T43" s="82">
        <f t="shared" si="19"/>
        <v>-921</v>
      </c>
      <c r="U43" s="82">
        <v>-3318</v>
      </c>
      <c r="V43" s="82">
        <v>-799.29</v>
      </c>
      <c r="W43" s="82">
        <v>-807</v>
      </c>
      <c r="X43" s="82">
        <v>-814</v>
      </c>
      <c r="Y43" s="123"/>
      <c r="Z43" s="233"/>
      <c r="AB43" s="120"/>
      <c r="AC43" s="10"/>
      <c r="AD43" s="10"/>
      <c r="AE43" s="10"/>
      <c r="AF43" s="120"/>
    </row>
    <row r="44" spans="1:32" ht="12.75">
      <c r="A44" s="40" t="s">
        <v>204</v>
      </c>
      <c r="B44" s="82">
        <v>0</v>
      </c>
      <c r="C44" s="82">
        <v>0</v>
      </c>
      <c r="D44" s="82">
        <v>0</v>
      </c>
      <c r="E44" s="82">
        <f>+F44-SUM(D44:D44)</f>
        <v>-136</v>
      </c>
      <c r="F44" s="82">
        <v>-136</v>
      </c>
      <c r="G44" s="82">
        <v>0</v>
      </c>
      <c r="H44" s="82">
        <v>0</v>
      </c>
      <c r="I44" s="82">
        <v>0</v>
      </c>
      <c r="J44" s="82">
        <f t="shared" ref="J44:J48" si="22">+K44-SUM(G44:I44)</f>
        <v>141</v>
      </c>
      <c r="K44" s="82">
        <v>141</v>
      </c>
      <c r="L44" s="82">
        <v>22</v>
      </c>
      <c r="M44" s="82">
        <v>-145</v>
      </c>
      <c r="N44" s="82">
        <v>0</v>
      </c>
      <c r="O44" s="82">
        <f t="shared" ref="O44:O48" si="23">+ROUND(P44-SUM(L44:N44),0)</f>
        <v>-1</v>
      </c>
      <c r="P44" s="82">
        <v>-124</v>
      </c>
      <c r="Q44" s="82">
        <v>0</v>
      </c>
      <c r="R44" s="82">
        <v>0</v>
      </c>
      <c r="S44" s="82">
        <v>0</v>
      </c>
      <c r="T44" s="82">
        <f t="shared" si="19"/>
        <v>0</v>
      </c>
      <c r="U44" s="82">
        <v>0</v>
      </c>
      <c r="V44" s="82">
        <v>0</v>
      </c>
      <c r="W44" s="82">
        <v>0</v>
      </c>
      <c r="X44" s="82">
        <v>0</v>
      </c>
      <c r="Y44" s="123"/>
      <c r="Z44" s="237"/>
      <c r="AB44" s="120"/>
      <c r="AC44" s="10"/>
      <c r="AD44" s="10"/>
      <c r="AE44" s="10"/>
      <c r="AF44" s="120"/>
    </row>
    <row r="45" spans="1:32" ht="12.75">
      <c r="A45" s="40" t="s">
        <v>205</v>
      </c>
      <c r="B45" s="77">
        <v>-162</v>
      </c>
      <c r="C45" s="77">
        <v>-165</v>
      </c>
      <c r="D45" s="77">
        <v>-103</v>
      </c>
      <c r="E45" s="82">
        <f>+F45-SUM(B45:D45)</f>
        <v>-12</v>
      </c>
      <c r="F45" s="77">
        <v>-442</v>
      </c>
      <c r="G45" s="82">
        <v>0</v>
      </c>
      <c r="H45" s="82">
        <v>0</v>
      </c>
      <c r="I45" s="82">
        <v>0</v>
      </c>
      <c r="J45" s="82">
        <f t="shared" si="22"/>
        <v>0</v>
      </c>
      <c r="K45" s="82">
        <v>0</v>
      </c>
      <c r="L45" s="82">
        <v>0</v>
      </c>
      <c r="M45" s="82">
        <v>0</v>
      </c>
      <c r="N45" s="82">
        <v>0</v>
      </c>
      <c r="O45" s="82">
        <f t="shared" si="23"/>
        <v>0</v>
      </c>
      <c r="P45" s="82">
        <v>0</v>
      </c>
      <c r="Q45" s="82">
        <v>0</v>
      </c>
      <c r="R45" s="82">
        <v>0</v>
      </c>
      <c r="S45" s="82">
        <v>0</v>
      </c>
      <c r="T45" s="82">
        <f t="shared" si="19"/>
        <v>0</v>
      </c>
      <c r="U45" s="82">
        <v>0</v>
      </c>
      <c r="V45" s="82">
        <v>0</v>
      </c>
      <c r="W45" s="82">
        <v>0</v>
      </c>
      <c r="X45" s="82">
        <v>0</v>
      </c>
      <c r="Y45" s="123"/>
      <c r="Z45" s="54"/>
      <c r="AB45" s="120"/>
      <c r="AC45" s="10"/>
      <c r="AD45" s="10"/>
      <c r="AE45" s="10"/>
      <c r="AF45" s="120"/>
    </row>
    <row r="46" spans="1:32" ht="12.75">
      <c r="A46" s="112" t="s">
        <v>206</v>
      </c>
      <c r="B46" s="87">
        <v>0</v>
      </c>
      <c r="C46" s="87">
        <v>0</v>
      </c>
      <c r="D46" s="87">
        <v>0</v>
      </c>
      <c r="E46" s="87">
        <v>0</v>
      </c>
      <c r="F46" s="87">
        <v>0</v>
      </c>
      <c r="G46" s="87">
        <v>0</v>
      </c>
      <c r="H46" s="87">
        <v>0</v>
      </c>
      <c r="I46" s="87">
        <v>0</v>
      </c>
      <c r="J46" s="87">
        <v>0</v>
      </c>
      <c r="K46" s="87">
        <v>0</v>
      </c>
      <c r="L46" s="87">
        <v>0</v>
      </c>
      <c r="M46" s="87">
        <v>0</v>
      </c>
      <c r="N46" s="82">
        <v>-429</v>
      </c>
      <c r="O46" s="82">
        <f t="shared" si="23"/>
        <v>65</v>
      </c>
      <c r="P46" s="87">
        <v>-364</v>
      </c>
      <c r="Q46" s="82">
        <v>0</v>
      </c>
      <c r="R46" s="82">
        <v>0</v>
      </c>
      <c r="S46" s="82">
        <v>0</v>
      </c>
      <c r="T46" s="82">
        <f t="shared" si="19"/>
        <v>0</v>
      </c>
      <c r="U46" s="82">
        <v>0</v>
      </c>
      <c r="V46" s="82">
        <v>0</v>
      </c>
      <c r="W46" s="82">
        <v>0</v>
      </c>
      <c r="X46" s="82">
        <v>0</v>
      </c>
      <c r="Y46" s="123"/>
      <c r="Z46" s="232"/>
      <c r="AB46" s="120"/>
      <c r="AC46" s="10"/>
      <c r="AD46" s="10"/>
      <c r="AE46" s="10"/>
      <c r="AF46" s="120"/>
    </row>
    <row r="47" spans="1:32" ht="12.75">
      <c r="A47" s="112" t="s">
        <v>207</v>
      </c>
      <c r="B47" s="87">
        <v>0</v>
      </c>
      <c r="C47" s="87">
        <v>0</v>
      </c>
      <c r="D47" s="87">
        <v>0</v>
      </c>
      <c r="E47" s="87">
        <v>0</v>
      </c>
      <c r="F47" s="87">
        <v>0</v>
      </c>
      <c r="G47" s="87">
        <v>0</v>
      </c>
      <c r="H47" s="87">
        <v>0</v>
      </c>
      <c r="I47" s="87">
        <v>0</v>
      </c>
      <c r="J47" s="87">
        <v>0</v>
      </c>
      <c r="K47" s="87">
        <v>0</v>
      </c>
      <c r="L47" s="87">
        <v>0</v>
      </c>
      <c r="M47" s="87">
        <v>0</v>
      </c>
      <c r="N47" s="82">
        <v>0</v>
      </c>
      <c r="O47" s="82">
        <v>0</v>
      </c>
      <c r="P47" s="87">
        <v>0</v>
      </c>
      <c r="Q47" s="82">
        <v>0</v>
      </c>
      <c r="R47" s="82">
        <v>0</v>
      </c>
      <c r="S47" s="82">
        <v>0</v>
      </c>
      <c r="T47" s="82">
        <v>0</v>
      </c>
      <c r="U47" s="82">
        <v>0</v>
      </c>
      <c r="V47" s="82">
        <v>0</v>
      </c>
      <c r="W47" s="82">
        <v>0</v>
      </c>
      <c r="X47" s="82">
        <v>0</v>
      </c>
      <c r="Y47" s="123"/>
      <c r="Z47" s="232"/>
      <c r="AB47" s="120"/>
      <c r="AC47" s="10"/>
      <c r="AD47" s="10"/>
      <c r="AE47" s="10"/>
      <c r="AF47" s="120"/>
    </row>
    <row r="48" spans="1:32" ht="12.75">
      <c r="A48" s="40" t="s">
        <v>208</v>
      </c>
      <c r="B48" s="60">
        <v>0</v>
      </c>
      <c r="C48" s="60">
        <v>0</v>
      </c>
      <c r="D48" s="60">
        <v>-3094</v>
      </c>
      <c r="E48" s="82">
        <f>+F48-SUM(B48:D48)</f>
        <v>-97</v>
      </c>
      <c r="F48" s="82">
        <v>-3191</v>
      </c>
      <c r="G48" s="82">
        <v>0</v>
      </c>
      <c r="H48" s="82">
        <v>0</v>
      </c>
      <c r="I48" s="82">
        <v>0</v>
      </c>
      <c r="J48" s="82">
        <f t="shared" si="22"/>
        <v>0</v>
      </c>
      <c r="K48" s="82">
        <v>0</v>
      </c>
      <c r="L48" s="82">
        <v>0</v>
      </c>
      <c r="M48" s="82">
        <v>0</v>
      </c>
      <c r="N48" s="82">
        <v>0</v>
      </c>
      <c r="O48" s="82">
        <f t="shared" si="23"/>
        <v>0</v>
      </c>
      <c r="P48" s="82">
        <v>0</v>
      </c>
      <c r="Q48" s="82">
        <v>0</v>
      </c>
      <c r="R48" s="82">
        <v>0</v>
      </c>
      <c r="S48" s="82">
        <v>0</v>
      </c>
      <c r="T48" s="82">
        <f t="shared" ref="T48" si="24">+ROUND(U48-SUM(Q48:S48),0)</f>
        <v>0</v>
      </c>
      <c r="U48" s="82">
        <v>0</v>
      </c>
      <c r="V48" s="82">
        <v>0</v>
      </c>
      <c r="W48" s="82">
        <v>0</v>
      </c>
      <c r="X48" s="82">
        <v>0</v>
      </c>
      <c r="Y48" s="123"/>
      <c r="Z48" s="102"/>
      <c r="AB48" s="120"/>
      <c r="AC48" s="10"/>
      <c r="AD48" s="10"/>
      <c r="AE48" s="10"/>
      <c r="AF48" s="120"/>
    </row>
    <row r="49" spans="1:32" ht="13.5" customHeight="1">
      <c r="A49" s="137" t="s">
        <v>209</v>
      </c>
      <c r="B49" s="146">
        <f t="shared" ref="B49:W49" si="25">SUM(B29:B48)</f>
        <v>40519.026381000003</v>
      </c>
      <c r="C49" s="146">
        <f t="shared" si="25"/>
        <v>39174.108328000002</v>
      </c>
      <c r="D49" s="146">
        <f t="shared" si="25"/>
        <v>44706</v>
      </c>
      <c r="E49" s="146">
        <f t="shared" si="25"/>
        <v>41170</v>
      </c>
      <c r="F49" s="146">
        <f t="shared" si="25"/>
        <v>165569</v>
      </c>
      <c r="G49" s="146">
        <f t="shared" si="25"/>
        <v>48164</v>
      </c>
      <c r="H49" s="146">
        <f t="shared" si="25"/>
        <v>50633</v>
      </c>
      <c r="I49" s="146">
        <f t="shared" si="25"/>
        <v>52100</v>
      </c>
      <c r="J49" s="146">
        <f t="shared" si="25"/>
        <v>52637</v>
      </c>
      <c r="K49" s="146">
        <f t="shared" si="25"/>
        <v>203534</v>
      </c>
      <c r="L49" s="146">
        <f t="shared" si="25"/>
        <v>58967</v>
      </c>
      <c r="M49" s="146">
        <f t="shared" si="25"/>
        <v>61391</v>
      </c>
      <c r="N49" s="146">
        <f t="shared" si="25"/>
        <v>62760</v>
      </c>
      <c r="O49" s="146">
        <f t="shared" si="25"/>
        <v>57769</v>
      </c>
      <c r="P49" s="146">
        <f t="shared" si="25"/>
        <v>240887</v>
      </c>
      <c r="Q49" s="146">
        <f t="shared" si="25"/>
        <v>63133</v>
      </c>
      <c r="R49" s="146">
        <f t="shared" si="25"/>
        <v>66199</v>
      </c>
      <c r="S49" s="146">
        <f t="shared" si="25"/>
        <v>71022</v>
      </c>
      <c r="T49" s="146">
        <f t="shared" si="25"/>
        <v>71345</v>
      </c>
      <c r="U49" s="146">
        <f t="shared" si="25"/>
        <v>271699</v>
      </c>
      <c r="V49" s="146">
        <f t="shared" si="25"/>
        <v>79089.710000000006</v>
      </c>
      <c r="W49" s="146">
        <f t="shared" si="25"/>
        <v>79757</v>
      </c>
      <c r="X49" s="146">
        <f>ROUND(SUM(X29:X48),0)</f>
        <v>78010</v>
      </c>
      <c r="Y49" s="123"/>
      <c r="Z49" s="233"/>
      <c r="AB49" s="120"/>
      <c r="AC49" s="10"/>
      <c r="AD49" s="10"/>
      <c r="AE49" s="10"/>
      <c r="AF49" s="120"/>
    </row>
    <row r="50" spans="1:32" ht="12.75">
      <c r="A50" s="62" t="s">
        <v>210</v>
      </c>
      <c r="B50" s="59">
        <f>IF(B49/'Income Statement'!B8&lt;0, "NM",B49/'Income Statement'!B8)</f>
        <v>0.15499885768222943</v>
      </c>
      <c r="C50" s="59">
        <f>IF(C49/'Income Statement'!C8&lt;0, "NM",C49/'Income Statement'!C8)</f>
        <v>0.14241815842131286</v>
      </c>
      <c r="D50" s="59">
        <f>IF(D49/'Income Statement'!D8&lt;0, "NM",D49/'Income Statement'!D8)</f>
        <v>0.15398605011624902</v>
      </c>
      <c r="E50" s="59">
        <f>IF(E49/'Income Statement'!E8&lt;0, "NM",E49/'Income Statement'!E8)</f>
        <v>0.1393283675534453</v>
      </c>
      <c r="F50" s="59">
        <f>IF(F49/'Income Statement'!F8&lt;0, "NM",F49/'Income Statement'!F8)</f>
        <v>0.14752742822061618</v>
      </c>
      <c r="G50" s="59">
        <f>IF(G49/'Income Statement'!G8&lt;0, "NM",G49/'Income Statement'!G8)</f>
        <v>0.14630264149109379</v>
      </c>
      <c r="H50" s="59">
        <f>IF(H49/'Income Statement'!H8&lt;0, "NM",H49/'Income Statement'!H8)</f>
        <v>0.14600815497920885</v>
      </c>
      <c r="I50" s="59">
        <f>IF(I49/'Income Statement'!I8&lt;0, "NM",I49/'Income Statement'!I8)</f>
        <v>0.14418114243491784</v>
      </c>
      <c r="J50" s="59">
        <f>IF(J49/'Income Statement'!J8&lt;0, "NM",J49/'Income Statement'!J8)</f>
        <v>0.14047659079324157</v>
      </c>
      <c r="K50" s="59">
        <f>IF(K49/'Income Statement'!K8&lt;0, "NM",K49/'Income Statement'!K8)</f>
        <v>0.14414140069289624</v>
      </c>
      <c r="L50" s="59">
        <f>IF(L49/'Income Statement'!L8&lt;0, "NM",L49/'Income Statement'!L8)</f>
        <v>0.14718090669249181</v>
      </c>
      <c r="M50" s="59">
        <f>IF(M49/'Income Statement'!M8&lt;0, "NM",M49/'Income Statement'!M8)</f>
        <v>0.15158421317741411</v>
      </c>
      <c r="N50" s="59">
        <f>IF(N49/'Income Statement'!N8&lt;0, "NM",N49/'Income Statement'!N8)</f>
        <v>0.15271150519136387</v>
      </c>
      <c r="O50" s="59">
        <f>IF(O49/'Income Statement'!O8&lt;0, "NM",O49/'Income Statement'!O8)</f>
        <v>0.13951910118872235</v>
      </c>
      <c r="P50" s="59">
        <f>IF(P49/'Income Statement'!P8&lt;0, "NM",P49/'Income Statement'!P8)</f>
        <v>0.14772289638356795</v>
      </c>
      <c r="Q50" s="59">
        <f>IF(Q49/'Income Statement'!Q8&lt;0, "NM",Q49/'Income Statement'!Q8)</f>
        <v>0.14463227393833317</v>
      </c>
      <c r="R50" s="59">
        <f>IF(R49/'Income Statement'!R8&lt;0, "NM",R49/'Income Statement'!R8)</f>
        <v>0.14764500430451907</v>
      </c>
      <c r="S50" s="59">
        <f>IF(S49/'Income Statement'!S8&lt;0, "NM",S49/'Income Statement'!S8)</f>
        <v>0.15044707068610153</v>
      </c>
      <c r="T50" s="59">
        <f>IF(T49/'Income Statement'!T8&lt;0, "NM",T49/'Income Statement'!T8)</f>
        <v>0.14819515356461846</v>
      </c>
      <c r="U50" s="59">
        <f>IF(U49/'Income Statement'!U8&lt;0, "NM",U49/'Income Statement'!U8)</f>
        <v>0.14779326491047515</v>
      </c>
      <c r="V50" s="59">
        <f>IF(V49/'Income Statement'!V8&lt;0, "NM",V49/'Income Statement'!V8)</f>
        <v>0.15785770599518184</v>
      </c>
      <c r="W50" s="59">
        <f>IF(W49/'Income Statement'!W8&lt;0, "NM",W49/'Income Statement'!W8)</f>
        <v>0.15503051743575788</v>
      </c>
      <c r="X50" s="59">
        <f>IF(X49/'Income Statement'!X8&lt;0, "NM",X49/'Income Statement'!X8)</f>
        <v>0.14730402107310442</v>
      </c>
      <c r="Y50" s="123"/>
      <c r="Z50" s="236"/>
      <c r="AB50" s="120"/>
      <c r="AC50" s="10"/>
      <c r="AD50" s="10"/>
      <c r="AE50" s="10"/>
      <c r="AF50" s="120"/>
    </row>
    <row r="51" spans="1:32" ht="12.75">
      <c r="A51" s="62"/>
      <c r="Y51" s="123"/>
      <c r="Z51" s="232"/>
      <c r="AB51" s="120"/>
      <c r="AC51" s="10"/>
      <c r="AD51" s="10"/>
      <c r="AE51" s="10"/>
      <c r="AF51" s="120"/>
    </row>
    <row r="52" spans="1:32" ht="12.75">
      <c r="A52" s="147" t="s">
        <v>211</v>
      </c>
      <c r="B52" s="148">
        <f>(B49/'Income Statement'!B52)</f>
        <v>0.23613587102545575</v>
      </c>
      <c r="C52" s="148">
        <f>(C49/'Income Statement'!C52)</f>
        <v>0.22782399623144073</v>
      </c>
      <c r="D52" s="148">
        <f>(D49/'Income Statement'!D52)</f>
        <v>0.26063231290335748</v>
      </c>
      <c r="E52" s="148">
        <f>(E49/'Income Statement'!E52)</f>
        <v>0.24240318886487949</v>
      </c>
      <c r="F52" s="148">
        <f>(F49/'Income Statement'!F52)</f>
        <v>0.96698438284799848</v>
      </c>
      <c r="G52" s="148">
        <f>(G49/'Income Statement'!G52)</f>
        <v>0.28419698596834914</v>
      </c>
      <c r="H52" s="148">
        <f>(H49/'Income Statement'!H52)</f>
        <v>0.29933255691592819</v>
      </c>
      <c r="I52" s="148">
        <f>(I49/'Income Statement'!I52)</f>
        <v>0.30848663915352686</v>
      </c>
      <c r="J52" s="148">
        <f>(J49/'Income Statement'!J52)</f>
        <v>0.31113567447111606</v>
      </c>
      <c r="K52" s="148">
        <f>(K49/'Income Statement'!K52)</f>
        <v>1.2031400552110612</v>
      </c>
      <c r="L52" s="148">
        <f>(L49/'Income Statement'!L52)</f>
        <v>0.34756597134217865</v>
      </c>
      <c r="M52" s="148">
        <f>(M49/'Income Statement'!M52)</f>
        <v>0.36446373232329227</v>
      </c>
      <c r="N52" s="148">
        <f>(N49/'Income Statement'!N52)</f>
        <v>0.37426649491913555</v>
      </c>
      <c r="O52" s="148">
        <f>(O49/'Income Statement'!O52)</f>
        <v>0.34616882688862122</v>
      </c>
      <c r="P52" s="148">
        <f>(P49/'Income Statement'!P52)</f>
        <v>1.4324783986774579</v>
      </c>
      <c r="Q52" s="148">
        <f>(Q49/'Income Statement'!Q52)</f>
        <v>0.37866092474524221</v>
      </c>
      <c r="R52" s="148">
        <f>(R49/'Income Statement'!R52)</f>
        <v>0.40374598992449467</v>
      </c>
      <c r="S52" s="148">
        <f>(S49/'Income Statement'!S52)</f>
        <v>0.43521582469299214</v>
      </c>
      <c r="T52" s="148">
        <f>(T49/'Income Statement'!T52)</f>
        <v>0.43652906012714382</v>
      </c>
      <c r="U52" s="148">
        <f>(U49/'Income Statement'!U52)</f>
        <v>1.653454802156741</v>
      </c>
      <c r="V52" s="148">
        <f>(V49/'Income Statement'!V52)</f>
        <v>0.48062197293339087</v>
      </c>
      <c r="W52" s="148">
        <f>(W49/'Income Statement'!W52)</f>
        <v>0.48575152412100392</v>
      </c>
      <c r="X52" s="148">
        <f>(X49/'Income Statement'!X52)</f>
        <v>0.48239484522057458</v>
      </c>
      <c r="Y52" s="123"/>
      <c r="Z52" s="230"/>
      <c r="AB52" s="120"/>
      <c r="AC52" s="10"/>
      <c r="AD52" s="10"/>
      <c r="AE52" s="10"/>
      <c r="AF52" s="120"/>
    </row>
    <row r="53" spans="1:32">
      <c r="A53" s="67" t="s">
        <v>212</v>
      </c>
      <c r="B53" s="55">
        <v>3.5087719298245723E-2</v>
      </c>
      <c r="C53" s="55">
        <v>-3.3898305084745783E-2</v>
      </c>
      <c r="D53" s="55">
        <v>0.14035087719298267</v>
      </c>
      <c r="E53" s="55">
        <v>-6.9230769230769318E-2</v>
      </c>
      <c r="F53" s="55" t="s">
        <v>16</v>
      </c>
      <c r="G53" s="55">
        <v>0.17355371900826433</v>
      </c>
      <c r="H53" s="55">
        <v>5.6338028169014231E-2</v>
      </c>
      <c r="I53" s="55">
        <v>2.6666666666666616E-2</v>
      </c>
      <c r="J53" s="55">
        <v>1.2987012987013102E-2</v>
      </c>
      <c r="K53" s="55" t="s">
        <v>16</v>
      </c>
      <c r="L53" s="55">
        <v>0.11538461538461542</v>
      </c>
      <c r="M53" s="55">
        <v>4.5977011494252817E-2</v>
      </c>
      <c r="N53" s="115">
        <f>N52/M52-1</f>
        <v>2.6896400729244263E-2</v>
      </c>
      <c r="O53" s="115">
        <f>O52/N52-1</f>
        <v>-7.5073960431817799E-2</v>
      </c>
      <c r="P53" s="55" t="s">
        <v>16</v>
      </c>
      <c r="Q53" s="115">
        <f>Q52/O52-1</f>
        <v>9.3861998345319497E-2</v>
      </c>
      <c r="R53" s="115">
        <f>R52/Q52-1</f>
        <v>6.6246775254482193E-2</v>
      </c>
      <c r="S53" s="115">
        <f>S52/R52-1</f>
        <v>7.7944637355736202E-2</v>
      </c>
      <c r="T53" s="115">
        <f>T52/S52-1</f>
        <v>3.0174349360527764E-3</v>
      </c>
      <c r="U53" s="55" t="s">
        <v>16</v>
      </c>
      <c r="V53" s="55">
        <f>V52/T52-1</f>
        <v>0.10100796678554347</v>
      </c>
      <c r="W53" s="55">
        <f>W52/V52-1</f>
        <v>1.0672735489611007E-2</v>
      </c>
      <c r="X53" s="55">
        <f>X52/W52-1</f>
        <v>-6.9102797083415712E-3</v>
      </c>
      <c r="Y53" s="123"/>
      <c r="Z53"/>
      <c r="AB53" s="120"/>
      <c r="AF53" s="120"/>
    </row>
    <row r="54" spans="1:32">
      <c r="A54" s="66" t="s">
        <v>213</v>
      </c>
      <c r="B54" s="27">
        <v>0.45679012345678993</v>
      </c>
      <c r="C54" s="27">
        <v>1.1509433962264146</v>
      </c>
      <c r="D54" s="27">
        <v>0.25</v>
      </c>
      <c r="E54" s="27">
        <v>6.1403508771929793E-2</v>
      </c>
      <c r="F54" s="27">
        <v>0.36827195467422102</v>
      </c>
      <c r="G54" s="27">
        <v>0.20338983050847448</v>
      </c>
      <c r="H54" s="27">
        <v>0.31578947368421062</v>
      </c>
      <c r="I54" s="27">
        <v>0.18461538461538463</v>
      </c>
      <c r="J54" s="27">
        <v>0.28925619834710758</v>
      </c>
      <c r="K54" s="27">
        <v>0.24637681159420288</v>
      </c>
      <c r="L54" s="27">
        <v>0.22535211267605648</v>
      </c>
      <c r="M54" s="27">
        <v>0.21333333333333337</v>
      </c>
      <c r="N54" s="26">
        <f t="shared" ref="N54:X54" si="26">N52/I52-1</f>
        <v>0.21323405106329907</v>
      </c>
      <c r="O54" s="26">
        <f t="shared" si="26"/>
        <v>0.11259767134404064</v>
      </c>
      <c r="P54" s="26">
        <f t="shared" si="26"/>
        <v>0.19061649761645172</v>
      </c>
      <c r="Q54" s="26">
        <f t="shared" si="26"/>
        <v>8.9464895780751119E-2</v>
      </c>
      <c r="R54" s="26">
        <f t="shared" si="26"/>
        <v>0.10778097823560029</v>
      </c>
      <c r="S54" s="26">
        <f t="shared" si="26"/>
        <v>0.16285008303248039</v>
      </c>
      <c r="T54" s="26">
        <f t="shared" si="26"/>
        <v>0.26102937705478535</v>
      </c>
      <c r="U54" s="26">
        <f t="shared" si="26"/>
        <v>0.15426159562566566</v>
      </c>
      <c r="V54" s="26">
        <f t="shared" si="26"/>
        <v>0.26926741452592884</v>
      </c>
      <c r="W54" s="26">
        <f t="shared" si="26"/>
        <v>0.20311169954120234</v>
      </c>
      <c r="X54" s="26">
        <f t="shared" si="26"/>
        <v>0.10840373408035719</v>
      </c>
      <c r="Y54" s="123"/>
      <c r="Z54"/>
      <c r="AB54" s="120"/>
      <c r="AF54" s="120"/>
    </row>
    <row r="55" spans="1:32">
      <c r="A55" s="66"/>
      <c r="S55" s="26"/>
      <c r="T55" s="26"/>
      <c r="U55" s="26"/>
      <c r="V55" s="26"/>
      <c r="W55" s="26"/>
      <c r="X55" s="26"/>
      <c r="Z55" s="121"/>
    </row>
    <row r="56" spans="1:32" ht="11.25" customHeight="1">
      <c r="A56" s="69"/>
      <c r="S56" s="58"/>
      <c r="T56" s="58"/>
      <c r="U56" s="58"/>
      <c r="V56" s="58"/>
      <c r="W56" s="58"/>
      <c r="X56" s="58"/>
      <c r="Z56"/>
    </row>
    <row r="57" spans="1:32">
      <c r="A57" s="69"/>
      <c r="Z57"/>
    </row>
    <row r="58" spans="1:32">
      <c r="B58" s="115"/>
      <c r="C58" s="115"/>
      <c r="D58" s="115"/>
      <c r="E58" s="115"/>
      <c r="F58" s="116"/>
      <c r="G58" s="115"/>
      <c r="H58" s="115"/>
      <c r="I58" s="115"/>
      <c r="J58" s="115"/>
      <c r="K58" s="116"/>
      <c r="L58" s="115"/>
      <c r="M58" s="115"/>
      <c r="N58" s="115"/>
      <c r="O58" s="115"/>
      <c r="P58" s="115"/>
      <c r="Q58" s="115"/>
      <c r="R58" s="115"/>
      <c r="S58" s="115"/>
      <c r="T58" s="115"/>
      <c r="U58" s="115"/>
      <c r="V58" s="89"/>
      <c r="W58" s="89"/>
      <c r="X58" s="89"/>
    </row>
    <row r="59" spans="1:32">
      <c r="B59" s="26"/>
      <c r="C59" s="26"/>
      <c r="D59" s="26"/>
      <c r="E59" s="26"/>
      <c r="F59" s="26"/>
      <c r="G59" s="26"/>
      <c r="H59" s="26"/>
      <c r="I59" s="26"/>
      <c r="J59" s="26"/>
      <c r="K59" s="26"/>
      <c r="L59" s="26"/>
      <c r="M59" s="26"/>
      <c r="N59" s="26"/>
      <c r="O59" s="26"/>
      <c r="P59" s="26"/>
      <c r="Q59" s="26"/>
      <c r="R59" s="26"/>
      <c r="S59" s="26"/>
      <c r="T59" s="26"/>
      <c r="U59" s="26"/>
      <c r="V59" s="26"/>
      <c r="W59" s="26"/>
      <c r="X59" s="26"/>
    </row>
    <row r="60" spans="1:32" customFormat="1">
      <c r="A60" s="107"/>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214"/>
      <c r="Z60" s="20"/>
      <c r="AA60" s="104"/>
      <c r="AB60" s="20"/>
      <c r="AC60" s="20"/>
      <c r="AD60" s="20"/>
      <c r="AE60" s="20"/>
    </row>
    <row r="61" spans="1:32" customFormat="1">
      <c r="A61" s="107"/>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214"/>
      <c r="Z61" s="20"/>
      <c r="AA61" s="104"/>
      <c r="AB61" s="20"/>
      <c r="AC61" s="20"/>
      <c r="AD61" s="20"/>
      <c r="AE61" s="20"/>
    </row>
    <row r="62" spans="1:32" customFormat="1">
      <c r="A62" s="107"/>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214"/>
      <c r="Z62" s="20"/>
      <c r="AA62" s="104"/>
      <c r="AB62" s="20"/>
      <c r="AC62" s="20"/>
      <c r="AD62" s="20"/>
      <c r="AE62" s="20"/>
    </row>
    <row r="63" spans="1:32" customFormat="1">
      <c r="A63" s="107"/>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214"/>
      <c r="Z63" s="20"/>
      <c r="AA63" s="104"/>
      <c r="AB63" s="20"/>
      <c r="AC63" s="20"/>
      <c r="AD63" s="20"/>
      <c r="AE63" s="20"/>
    </row>
    <row r="64" spans="1:32" customFormat="1">
      <c r="A64" s="107"/>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214"/>
      <c r="Z64" s="20"/>
      <c r="AA64" s="104"/>
      <c r="AB64" s="20"/>
      <c r="AC64" s="20"/>
      <c r="AD64" s="20"/>
      <c r="AE64" s="20"/>
    </row>
    <row r="65" spans="1:31" customFormat="1">
      <c r="A65" s="107"/>
      <c r="B65" s="25"/>
      <c r="C65" s="25"/>
      <c r="D65" s="25"/>
      <c r="E65" s="25"/>
      <c r="F65" s="25"/>
      <c r="G65" s="25"/>
      <c r="H65" s="25"/>
      <c r="I65" s="25"/>
      <c r="J65" s="25"/>
      <c r="K65" s="25"/>
      <c r="L65" s="25"/>
      <c r="M65" s="25"/>
      <c r="N65" s="25"/>
      <c r="O65" s="25"/>
      <c r="P65" s="25"/>
      <c r="Q65" s="25"/>
      <c r="R65" s="25"/>
      <c r="S65" s="25"/>
      <c r="T65" s="25"/>
      <c r="U65" s="25"/>
      <c r="V65" s="25"/>
      <c r="W65" s="25"/>
      <c r="X65" s="25"/>
      <c r="Y65" s="214"/>
      <c r="Z65" s="20"/>
      <c r="AA65" s="104"/>
      <c r="AB65" s="20"/>
      <c r="AC65" s="20"/>
      <c r="AD65" s="20"/>
      <c r="AE65" s="20"/>
    </row>
    <row r="66" spans="1:31" customFormat="1">
      <c r="A66" s="107"/>
      <c r="B66" s="25"/>
      <c r="C66" s="25"/>
      <c r="D66" s="25"/>
      <c r="E66" s="25"/>
      <c r="F66" s="25"/>
      <c r="G66" s="25"/>
      <c r="H66" s="25"/>
      <c r="I66" s="25"/>
      <c r="J66" s="25"/>
      <c r="K66" s="25"/>
      <c r="L66" s="25"/>
      <c r="M66" s="25"/>
      <c r="N66" s="25"/>
      <c r="O66" s="25"/>
      <c r="P66" s="25"/>
      <c r="Q66" s="25"/>
      <c r="R66" s="25"/>
      <c r="S66" s="25"/>
      <c r="T66" s="25"/>
      <c r="U66" s="25"/>
      <c r="V66" s="25"/>
      <c r="W66" s="25"/>
      <c r="X66" s="25"/>
      <c r="Y66" s="214"/>
      <c r="Z66" s="20"/>
      <c r="AA66" s="104"/>
      <c r="AB66" s="20"/>
      <c r="AC66" s="20"/>
      <c r="AD66" s="20"/>
      <c r="AE66" s="20"/>
    </row>
    <row r="67" spans="1:31" customFormat="1">
      <c r="A67" s="20"/>
      <c r="B67" s="20"/>
      <c r="C67" s="20"/>
      <c r="D67" s="20"/>
      <c r="E67" s="20"/>
      <c r="F67" s="20"/>
      <c r="G67" s="20"/>
      <c r="H67" s="20"/>
      <c r="I67" s="20"/>
      <c r="J67" s="20"/>
      <c r="K67" s="20"/>
      <c r="L67" s="20"/>
      <c r="M67" s="20"/>
      <c r="N67" s="20"/>
      <c r="O67" s="20"/>
      <c r="P67" s="20"/>
      <c r="Q67" s="20"/>
      <c r="R67" s="20"/>
      <c r="S67" s="20"/>
      <c r="T67" s="20"/>
      <c r="U67" s="20"/>
      <c r="V67" s="20"/>
      <c r="W67" s="20"/>
      <c r="X67" s="20"/>
      <c r="Y67" s="214"/>
      <c r="Z67" s="20"/>
      <c r="AA67" s="104"/>
      <c r="AB67" s="20"/>
      <c r="AC67" s="20"/>
      <c r="AD67" s="20"/>
      <c r="AE67" s="20"/>
    </row>
  </sheetData>
  <mergeCells count="2">
    <mergeCell ref="Y3:Y6"/>
    <mergeCell ref="Z3:Z6"/>
  </mergeCells>
  <hyperlinks>
    <hyperlink ref="X1" location="Contents!B9" display="Back" xr:uid="{0402B40D-F76F-4008-9464-30B45680B555}"/>
  </hyperlinks>
  <pageMargins left="0.25" right="0" top="0.25" bottom="0" header="0.3" footer="0.3"/>
  <pageSetup paperSize="9" scale="59" orientation="landscape" r:id="rId1"/>
  <colBreaks count="1" manualBreakCount="1">
    <brk id="13" max="56" man="1"/>
  </colBreaks>
  <ignoredErrors>
    <ignoredError sqref="T33:T34 T42:T43 T37 T44:T45 T46 T48" formulaRange="1"/>
    <ignoredError sqref="T30:T32 T36 T13" formula="1" formulaRange="1"/>
    <ignoredError sqref="T14 T19 Q19 L19 O27 H27"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S34"/>
  <sheetViews>
    <sheetView showGridLines="0" view="pageBreakPreview" zoomScale="80" zoomScaleNormal="85" zoomScaleSheetLayoutView="80" workbookViewId="0">
      <pane xSplit="2" ySplit="4" topLeftCell="G5" activePane="bottomRight" state="frozen"/>
      <selection pane="bottomRight"/>
      <selection pane="bottomLeft" activeCell="AI3" sqref="AI3"/>
      <selection pane="topRight" activeCell="AI3" sqref="AI3"/>
    </sheetView>
  </sheetViews>
  <sheetFormatPr defaultColWidth="9.140625" defaultRowHeight="12.75" outlineLevelCol="1"/>
  <cols>
    <col min="1" max="1" width="2.42578125" style="6" customWidth="1"/>
    <col min="2" max="2" width="32.85546875" style="2" bestFit="1" customWidth="1"/>
    <col min="3" max="5" width="9.140625" style="2" hidden="1" customWidth="1" outlineLevel="1"/>
    <col min="6" max="6" width="11.7109375" style="2" hidden="1" customWidth="1" outlineLevel="1"/>
    <col min="7" max="7" width="9.140625" style="2" collapsed="1"/>
    <col min="8" max="11" width="11.7109375" style="2" hidden="1" customWidth="1" outlineLevel="1"/>
    <col min="12" max="12" width="9.140625" style="2" collapsed="1"/>
    <col min="13" max="16" width="9.140625" style="2" hidden="1" customWidth="1" outlineLevel="1"/>
    <col min="17" max="17" width="9.140625" style="2" collapsed="1"/>
    <col min="18" max="21" width="9.140625" style="2" hidden="1" customWidth="1" outlineLevel="1"/>
    <col min="22" max="22" width="9.140625" style="2" customWidth="1" collapsed="1"/>
    <col min="23" max="25" width="9.140625" style="2"/>
    <col min="26" max="28" width="9.140625" style="2" customWidth="1"/>
    <col min="29" max="16384" width="9.140625" style="2"/>
  </cols>
  <sheetData>
    <row r="1" spans="1:201" ht="15">
      <c r="L1" s="107"/>
      <c r="M1" s="107"/>
      <c r="N1" s="107"/>
      <c r="O1" s="107"/>
      <c r="P1" s="107"/>
      <c r="Q1" s="107"/>
      <c r="R1" s="107"/>
      <c r="S1" s="107"/>
      <c r="T1" s="107"/>
      <c r="U1" s="107"/>
      <c r="V1" s="107"/>
      <c r="Y1" s="189" t="s">
        <v>7</v>
      </c>
      <c r="AA1" s="113"/>
    </row>
    <row r="3" spans="1:201" ht="23.25" customHeight="1">
      <c r="C3" s="76">
        <v>2021</v>
      </c>
      <c r="D3" s="76">
        <v>2021</v>
      </c>
      <c r="E3" s="76">
        <v>2021</v>
      </c>
      <c r="F3" s="76">
        <v>2021</v>
      </c>
      <c r="G3" s="76">
        <v>2021</v>
      </c>
      <c r="H3" s="76">
        <v>2022</v>
      </c>
      <c r="I3" s="76">
        <v>2022</v>
      </c>
      <c r="J3" s="76">
        <v>2022</v>
      </c>
      <c r="K3" s="76">
        <v>2022</v>
      </c>
      <c r="L3" s="76">
        <v>2022</v>
      </c>
      <c r="M3" s="76">
        <v>2023</v>
      </c>
      <c r="N3" s="76">
        <v>2023</v>
      </c>
      <c r="O3" s="76">
        <v>2023</v>
      </c>
      <c r="P3" s="76">
        <v>2023</v>
      </c>
      <c r="Q3" s="76">
        <v>2023</v>
      </c>
      <c r="R3" s="76">
        <v>2024</v>
      </c>
      <c r="S3" s="76">
        <v>2024</v>
      </c>
      <c r="T3" s="76">
        <v>2024</v>
      </c>
      <c r="U3" s="76">
        <v>2024</v>
      </c>
      <c r="V3" s="76">
        <v>2024</v>
      </c>
      <c r="W3" s="76">
        <v>2025</v>
      </c>
      <c r="X3" s="76">
        <v>2025</v>
      </c>
      <c r="Y3" s="76">
        <v>2025</v>
      </c>
      <c r="Z3" s="253"/>
    </row>
    <row r="4" spans="1:201" ht="15.75" customHeight="1">
      <c r="C4" s="76" t="s">
        <v>9</v>
      </c>
      <c r="D4" s="76" t="s">
        <v>10</v>
      </c>
      <c r="E4" s="76" t="s">
        <v>11</v>
      </c>
      <c r="F4" s="76" t="s">
        <v>12</v>
      </c>
      <c r="G4" s="76" t="s">
        <v>13</v>
      </c>
      <c r="H4" s="76" t="s">
        <v>9</v>
      </c>
      <c r="I4" s="76" t="s">
        <v>10</v>
      </c>
      <c r="J4" s="76" t="s">
        <v>11</v>
      </c>
      <c r="K4" s="76" t="s">
        <v>12</v>
      </c>
      <c r="L4" s="76" t="s">
        <v>13</v>
      </c>
      <c r="M4" s="76" t="s">
        <v>9</v>
      </c>
      <c r="N4" s="76" t="s">
        <v>10</v>
      </c>
      <c r="O4" s="76" t="s">
        <v>11</v>
      </c>
      <c r="P4" s="76" t="s">
        <v>12</v>
      </c>
      <c r="Q4" s="76" t="s">
        <v>13</v>
      </c>
      <c r="R4" s="76" t="s">
        <v>9</v>
      </c>
      <c r="S4" s="76" t="s">
        <v>10</v>
      </c>
      <c r="T4" s="76" t="s">
        <v>11</v>
      </c>
      <c r="U4" s="76" t="s">
        <v>12</v>
      </c>
      <c r="V4" s="76" t="s">
        <v>13</v>
      </c>
      <c r="W4" s="76" t="s">
        <v>9</v>
      </c>
      <c r="X4" s="76" t="s">
        <v>10</v>
      </c>
      <c r="Y4" s="76" t="s">
        <v>11</v>
      </c>
      <c r="Z4" s="253"/>
    </row>
    <row r="6" spans="1:201" s="49" customFormat="1">
      <c r="A6" s="149"/>
      <c r="B6" s="140" t="s">
        <v>214</v>
      </c>
      <c r="C6" s="146">
        <v>31631</v>
      </c>
      <c r="D6" s="146">
        <v>32994</v>
      </c>
      <c r="E6" s="146">
        <v>34548</v>
      </c>
      <c r="F6" s="146">
        <v>37431</v>
      </c>
      <c r="G6" s="146">
        <f>F6</f>
        <v>37431</v>
      </c>
      <c r="H6" s="146">
        <v>39110</v>
      </c>
      <c r="I6" s="146">
        <v>40617</v>
      </c>
      <c r="J6" s="146">
        <v>43111</v>
      </c>
      <c r="K6" s="146">
        <v>45420</v>
      </c>
      <c r="L6" s="146">
        <f>K6</f>
        <v>45420</v>
      </c>
      <c r="M6" s="146">
        <v>47796</v>
      </c>
      <c r="N6" s="146">
        <v>48831</v>
      </c>
      <c r="O6" s="146">
        <v>50450</v>
      </c>
      <c r="P6" s="146">
        <v>53951</v>
      </c>
      <c r="Q6" s="146">
        <f>P6</f>
        <v>53951</v>
      </c>
      <c r="R6" s="146">
        <v>55062</v>
      </c>
      <c r="S6" s="146">
        <v>55942</v>
      </c>
      <c r="T6" s="146">
        <v>57436</v>
      </c>
      <c r="U6" s="146">
        <v>59500</v>
      </c>
      <c r="V6" s="146">
        <f>U6</f>
        <v>59500</v>
      </c>
      <c r="W6" s="146">
        <v>60652</v>
      </c>
      <c r="X6" s="146">
        <v>61100</v>
      </c>
      <c r="Y6" s="146">
        <v>63636</v>
      </c>
      <c r="Z6" s="91"/>
      <c r="AA6" s="91"/>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row>
    <row r="7" spans="1:201" s="1" customFormat="1">
      <c r="A7" s="190"/>
      <c r="B7" s="191"/>
      <c r="C7" s="192"/>
      <c r="D7" s="192"/>
      <c r="E7" s="192"/>
      <c r="F7" s="192"/>
      <c r="G7" s="192"/>
      <c r="H7" s="192"/>
      <c r="I7" s="192"/>
      <c r="J7" s="192"/>
      <c r="K7" s="192"/>
      <c r="L7" s="192"/>
      <c r="M7" s="192"/>
      <c r="N7" s="192"/>
      <c r="O7" s="192"/>
      <c r="P7" s="192"/>
      <c r="Q7" s="192"/>
      <c r="R7" s="192"/>
      <c r="S7" s="192"/>
      <c r="T7" s="192"/>
      <c r="U7" s="192"/>
      <c r="V7" s="192"/>
      <c r="W7" s="192"/>
      <c r="X7" s="192"/>
      <c r="Y7" s="192"/>
      <c r="Z7" s="91"/>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row>
    <row r="8" spans="1:201" s="172" customFormat="1">
      <c r="A8" s="149"/>
      <c r="B8" s="151" t="s">
        <v>215</v>
      </c>
      <c r="C8" s="152">
        <v>0.26809255500268453</v>
      </c>
      <c r="D8" s="152">
        <v>0.29480874988485051</v>
      </c>
      <c r="E8" s="152">
        <v>0.29731422620433601</v>
      </c>
      <c r="F8" s="152">
        <v>0.29391266675770744</v>
      </c>
      <c r="G8" s="152">
        <v>0.28288000000000002</v>
      </c>
      <c r="H8" s="152">
        <v>0.34057937472275257</v>
      </c>
      <c r="I8" s="152">
        <v>0.37968018909629725</v>
      </c>
      <c r="J8" s="152">
        <v>0.34208603380353286</v>
      </c>
      <c r="K8" s="152">
        <v>0.24190978878072927</v>
      </c>
      <c r="L8" s="152">
        <v>0.31554772541370413</v>
      </c>
      <c r="M8" s="152">
        <v>0.255</v>
      </c>
      <c r="N8" s="152">
        <v>0.27300000000000002</v>
      </c>
      <c r="O8" s="152">
        <v>0.26944651220829302</v>
      </c>
      <c r="P8" s="152">
        <v>0.22695995453092543</v>
      </c>
      <c r="Q8" s="152">
        <v>0.25781439922207866</v>
      </c>
      <c r="R8" s="152">
        <v>0.26200000000000001</v>
      </c>
      <c r="S8" s="152">
        <v>0.29532130564696091</v>
      </c>
      <c r="T8" s="152">
        <v>0.26998464202343075</v>
      </c>
      <c r="U8" s="152">
        <v>0.22310519793652825</v>
      </c>
      <c r="V8" s="152">
        <v>0.26133396629480182</v>
      </c>
      <c r="W8" s="152">
        <v>0.2239582815662966</v>
      </c>
      <c r="X8" s="152">
        <v>0.2649678706384978</v>
      </c>
      <c r="Y8" s="152">
        <v>0.24338208498435954</v>
      </c>
      <c r="Z8" s="91"/>
      <c r="AA8" s="208"/>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row>
    <row r="9" spans="1:201" s="1" customFormat="1">
      <c r="A9" s="190"/>
      <c r="B9" s="193"/>
      <c r="C9" s="194"/>
      <c r="D9" s="194"/>
      <c r="E9" s="194"/>
      <c r="F9" s="194"/>
      <c r="G9" s="194"/>
      <c r="H9" s="194"/>
      <c r="I9" s="194"/>
      <c r="J9" s="194"/>
      <c r="K9" s="194"/>
      <c r="L9" s="194"/>
      <c r="M9" s="194"/>
      <c r="N9" s="194"/>
      <c r="O9" s="194"/>
      <c r="P9" s="194"/>
      <c r="Q9" s="194"/>
      <c r="R9" s="194"/>
      <c r="S9" s="194"/>
      <c r="T9" s="194"/>
      <c r="U9" s="194"/>
      <c r="V9" s="194"/>
      <c r="W9" s="194"/>
      <c r="X9" s="194"/>
      <c r="Y9" s="194"/>
      <c r="Z9" s="91"/>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row>
    <row r="10" spans="1:201" s="50" customFormat="1">
      <c r="A10" s="149"/>
      <c r="B10" s="140" t="s">
        <v>216</v>
      </c>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row>
    <row r="11" spans="1:201">
      <c r="A11" s="3"/>
      <c r="B11" s="53" t="s">
        <v>217</v>
      </c>
      <c r="C11" s="95">
        <v>8.2573813172722055E-2</v>
      </c>
      <c r="D11" s="95">
        <v>7.2942283209148681E-2</v>
      </c>
      <c r="E11" s="95">
        <v>7.7332515560155815E-2</v>
      </c>
      <c r="F11" s="95">
        <v>8.0701826775208776E-2</v>
      </c>
      <c r="G11" s="95">
        <v>7.6672052583416167E-2</v>
      </c>
      <c r="H11" s="95">
        <v>8.0545732206175391E-2</v>
      </c>
      <c r="I11" s="95">
        <v>7.373476496833492E-2</v>
      </c>
      <c r="J11" s="95">
        <v>6.6654494331300676E-2</v>
      </c>
      <c r="K11" s="95">
        <v>6.7503964859730203E-2</v>
      </c>
      <c r="L11" s="95">
        <v>7.185738820838046E-2</v>
      </c>
      <c r="M11" s="95">
        <v>7.0908437780770286E-2</v>
      </c>
      <c r="N11" s="95">
        <v>6.9615094398895447E-2</v>
      </c>
      <c r="O11" s="95">
        <v>7.8091668497308905E-2</v>
      </c>
      <c r="P11" s="95">
        <v>7.8855065686714257E-2</v>
      </c>
      <c r="Q11" s="95">
        <v>7.4415383272984026E-2</v>
      </c>
      <c r="R11" s="95">
        <v>7.785771667738392E-2</v>
      </c>
      <c r="S11" s="95">
        <v>7.8659448217442071E-2</v>
      </c>
      <c r="T11" s="95">
        <v>8.2000000000000003E-2</v>
      </c>
      <c r="U11" s="95">
        <v>8.5999999999999993E-2</v>
      </c>
      <c r="V11" s="95">
        <v>8.1130225606386178E-2</v>
      </c>
      <c r="W11" s="95">
        <v>7.8E-2</v>
      </c>
      <c r="X11" s="95">
        <v>8.1000000000000003E-2</v>
      </c>
      <c r="Y11" s="95">
        <v>8.8999999999999996E-2</v>
      </c>
      <c r="Z11" s="91"/>
      <c r="AC11" s="78"/>
    </row>
    <row r="12" spans="1:201">
      <c r="A12" s="3"/>
      <c r="B12" s="53" t="s">
        <v>218</v>
      </c>
      <c r="C12" s="95">
        <v>0.19682799792728145</v>
      </c>
      <c r="D12" s="95">
        <v>0.18612988897315338</v>
      </c>
      <c r="E12" s="95">
        <v>0.1837367368366993</v>
      </c>
      <c r="F12" s="95">
        <v>0.18387836907072522</v>
      </c>
      <c r="G12" s="95">
        <v>0.18740996099057888</v>
      </c>
      <c r="H12" s="95">
        <v>0.17278516058807039</v>
      </c>
      <c r="I12" s="95">
        <v>0.16869183068986821</v>
      </c>
      <c r="J12" s="95">
        <v>0.15346954938992724</v>
      </c>
      <c r="K12" s="95">
        <v>0.15854227778015331</v>
      </c>
      <c r="L12" s="95">
        <v>0.16305737552960911</v>
      </c>
      <c r="M12" s="95">
        <v>0.15588143026561296</v>
      </c>
      <c r="N12" s="95">
        <v>0.16250070580575421</v>
      </c>
      <c r="O12" s="95">
        <v>0.16722046255800513</v>
      </c>
      <c r="P12" s="95">
        <v>0.16818497037413888</v>
      </c>
      <c r="Q12" s="95">
        <v>0.16350724464389876</v>
      </c>
      <c r="R12" s="95">
        <v>0.16489090563209613</v>
      </c>
      <c r="S12" s="95">
        <v>0.17102236759077949</v>
      </c>
      <c r="T12" s="95">
        <v>0.17699999999999999</v>
      </c>
      <c r="U12" s="95">
        <v>0.17699999999999999</v>
      </c>
      <c r="V12" s="95">
        <v>0.17158242921062378</v>
      </c>
      <c r="W12" s="95">
        <v>0.16600000000000001</v>
      </c>
      <c r="X12" s="95">
        <v>0.183</v>
      </c>
      <c r="Y12" s="95">
        <v>0.184</v>
      </c>
      <c r="Z12" s="91"/>
      <c r="AC12" s="78"/>
    </row>
    <row r="13" spans="1:201">
      <c r="A13" s="3"/>
      <c r="B13" s="53" t="s">
        <v>219</v>
      </c>
      <c r="C13" s="95">
        <v>0.26503966246249155</v>
      </c>
      <c r="D13" s="95">
        <v>0.24937191673295264</v>
      </c>
      <c r="E13" s="95">
        <v>0.25311726064773865</v>
      </c>
      <c r="F13" s="95">
        <v>0.24958701817168855</v>
      </c>
      <c r="G13" s="95">
        <v>0.2520823855353348</v>
      </c>
      <c r="H13" s="95">
        <v>0.24162594438343749</v>
      </c>
      <c r="I13" s="95">
        <v>0.23810419909738464</v>
      </c>
      <c r="J13" s="95">
        <v>0.22274688856274488</v>
      </c>
      <c r="K13" s="95">
        <v>0.22632745544697888</v>
      </c>
      <c r="L13" s="95">
        <v>0.22868386638633081</v>
      </c>
      <c r="M13" s="95">
        <v>0.22440770703796106</v>
      </c>
      <c r="N13" s="95">
        <v>0.22723109463880042</v>
      </c>
      <c r="O13" s="95">
        <v>0.23395962509420576</v>
      </c>
      <c r="P13" s="95">
        <v>0.23198909883992508</v>
      </c>
      <c r="Q13" s="95">
        <v>0.22944132292111202</v>
      </c>
      <c r="R13" s="95">
        <v>0.22821667844100751</v>
      </c>
      <c r="S13" s="95">
        <v>0.22949196987625539</v>
      </c>
      <c r="T13" s="95">
        <v>0.23400000000000001</v>
      </c>
      <c r="U13" s="95">
        <v>0.23100000000000001</v>
      </c>
      <c r="V13" s="95">
        <v>0.2301588326740002</v>
      </c>
      <c r="W13" s="95">
        <v>0.23300000000000001</v>
      </c>
      <c r="X13" s="95">
        <v>0.23499999999999999</v>
      </c>
      <c r="Y13" s="95">
        <v>0.24299999999999999</v>
      </c>
      <c r="Z13" s="91"/>
      <c r="AC13" s="78"/>
    </row>
    <row r="14" spans="1:201">
      <c r="A14" s="3"/>
      <c r="B14" s="53" t="s">
        <v>220</v>
      </c>
      <c r="C14" s="95">
        <v>0.39280543210797381</v>
      </c>
      <c r="D14" s="95">
        <v>0.37829173543400607</v>
      </c>
      <c r="E14" s="95">
        <v>0.38651250204940735</v>
      </c>
      <c r="F14" s="95">
        <v>0.37369405006205575</v>
      </c>
      <c r="G14" s="95">
        <v>0.38120342608068464</v>
      </c>
      <c r="H14" s="95">
        <v>0.362362235076923</v>
      </c>
      <c r="I14" s="95">
        <v>0.36212131172504652</v>
      </c>
      <c r="J14" s="95">
        <v>0.34187408577290018</v>
      </c>
      <c r="K14" s="95">
        <v>0.3380918081110692</v>
      </c>
      <c r="L14" s="95">
        <v>0.34901761710985973</v>
      </c>
      <c r="M14" s="95">
        <v>0.34751782125228747</v>
      </c>
      <c r="N14" s="95">
        <v>0.33796241673065225</v>
      </c>
      <c r="O14" s="95">
        <v>0.34597982789781712</v>
      </c>
      <c r="P14" s="95">
        <v>0.34527151387314675</v>
      </c>
      <c r="Q14" s="95">
        <v>0.34048363890672384</v>
      </c>
      <c r="R14" s="95">
        <v>0.33295603994573136</v>
      </c>
      <c r="S14" s="95">
        <v>0.33028520566529995</v>
      </c>
      <c r="T14" s="95">
        <v>0.34200000000000003</v>
      </c>
      <c r="U14" s="95">
        <v>0.33900000000000002</v>
      </c>
      <c r="V14" s="95">
        <v>0.33177252597926515</v>
      </c>
      <c r="W14" s="95">
        <v>0.33700000000000002</v>
      </c>
      <c r="X14" s="95">
        <v>0.33500000000000002</v>
      </c>
      <c r="Y14" s="95">
        <v>0.34499999999999997</v>
      </c>
      <c r="Z14" s="91"/>
      <c r="AC14" s="78"/>
    </row>
    <row r="15" spans="1:201">
      <c r="A15" s="3"/>
    </row>
    <row r="16" spans="1:201">
      <c r="A16" s="210"/>
      <c r="B16" s="211" t="s">
        <v>221</v>
      </c>
      <c r="C16" s="212"/>
      <c r="D16" s="212"/>
      <c r="E16" s="212"/>
      <c r="F16" s="212"/>
      <c r="G16" s="212"/>
      <c r="H16" s="212"/>
      <c r="I16" s="212"/>
      <c r="J16" s="212"/>
      <c r="K16" s="212"/>
      <c r="L16" s="212"/>
      <c r="M16" s="212"/>
      <c r="N16" s="212"/>
      <c r="O16" s="212"/>
      <c r="P16" s="212"/>
      <c r="Q16" s="212"/>
      <c r="R16" s="212"/>
      <c r="S16" s="212"/>
      <c r="T16" s="212"/>
      <c r="U16" s="212"/>
      <c r="V16" s="212"/>
      <c r="W16" s="212"/>
      <c r="X16" s="212"/>
      <c r="Y16" s="212"/>
    </row>
    <row r="17" spans="2:26">
      <c r="B17" s="70" t="s">
        <v>222</v>
      </c>
      <c r="C17" s="92">
        <v>73.173333333333346</v>
      </c>
      <c r="D17" s="92">
        <v>73.665000000000006</v>
      </c>
      <c r="E17" s="92">
        <v>73.879166666666663</v>
      </c>
      <c r="F17" s="92">
        <v>74.788333333333341</v>
      </c>
      <c r="G17" s="94">
        <v>73.87645833333336</v>
      </c>
      <c r="H17" s="92">
        <v>75.245833333333323</v>
      </c>
      <c r="I17" s="92">
        <v>77.677499999999995</v>
      </c>
      <c r="J17" s="92">
        <v>80.013333333333335</v>
      </c>
      <c r="K17" s="92">
        <v>82.30749999999999</v>
      </c>
      <c r="L17" s="94">
        <v>78.811041666666668</v>
      </c>
      <c r="M17" s="94">
        <v>82.25</v>
      </c>
      <c r="N17" s="94">
        <v>82.195000000000007</v>
      </c>
      <c r="O17" s="94">
        <v>82.69</v>
      </c>
      <c r="P17" s="94">
        <v>83.28416666666665</v>
      </c>
      <c r="Q17" s="94">
        <v>82.604791666666657</v>
      </c>
      <c r="R17" s="94">
        <v>83.118333333333325</v>
      </c>
      <c r="S17" s="94">
        <v>83.423333333333332</v>
      </c>
      <c r="T17" s="94">
        <v>83.791666666666671</v>
      </c>
      <c r="U17" s="94">
        <v>84.724166666666676</v>
      </c>
      <c r="V17" s="94">
        <v>83.764375000000001</v>
      </c>
      <c r="W17" s="94">
        <v>86.523333333333355</v>
      </c>
      <c r="X17" s="94">
        <v>85.273333333333326</v>
      </c>
      <c r="Y17" s="94">
        <v>88.192499999999995</v>
      </c>
      <c r="Z17" s="91"/>
    </row>
    <row r="18" spans="2:26">
      <c r="B18" s="26" t="s">
        <v>223</v>
      </c>
      <c r="C18" s="85">
        <v>7.662229053183367E-3</v>
      </c>
      <c r="D18" s="85">
        <v>-6.7192055393585637E-3</v>
      </c>
      <c r="E18" s="85">
        <v>-2.9073055951491789E-3</v>
      </c>
      <c r="F18" s="85">
        <v>-1.2306130505893798E-2</v>
      </c>
      <c r="G18" s="96" t="s">
        <v>16</v>
      </c>
      <c r="H18" s="85">
        <f>-(H17/F17-1)</f>
        <v>-6.1172642791877951E-3</v>
      </c>
      <c r="I18" s="85">
        <f>-(I17/H17-1)</f>
        <v>-3.2316296583421167E-2</v>
      </c>
      <c r="J18" s="85">
        <f>-(J17/I17-1)</f>
        <v>-3.0070912855503007E-2</v>
      </c>
      <c r="K18" s="85">
        <f>-(K17/J17-1)</f>
        <v>-2.8672304615897204E-2</v>
      </c>
      <c r="L18" s="96" t="s">
        <v>16</v>
      </c>
      <c r="M18" s="85">
        <f>-(M17/K17-1)</f>
        <v>6.9859976308339622E-4</v>
      </c>
      <c r="N18" s="85">
        <f>-(N17/M17-1)</f>
        <v>6.6869300911842622E-4</v>
      </c>
      <c r="O18" s="85">
        <f>-(O17/N17-1)</f>
        <v>-6.0222641279881195E-3</v>
      </c>
      <c r="P18" s="85">
        <f>-(P17/O17-1)</f>
        <v>-7.1854718426249686E-3</v>
      </c>
      <c r="Q18" s="96" t="s">
        <v>16</v>
      </c>
      <c r="R18" s="85">
        <f>-(R17/P17-1)</f>
        <v>1.9911747931278256E-3</v>
      </c>
      <c r="S18" s="85">
        <f>-(S17/R17-1)</f>
        <v>-3.6694672254418137E-3</v>
      </c>
      <c r="T18" s="85">
        <f>-(T17/S17-1)</f>
        <v>-4.4152315499261796E-3</v>
      </c>
      <c r="U18" s="85">
        <f>-(U17/T17-1)</f>
        <v>-1.1128791645947267E-2</v>
      </c>
      <c r="V18" s="96" t="s">
        <v>16</v>
      </c>
      <c r="W18" s="85">
        <f>-(W17/U17-1)</f>
        <v>-2.1235578199844785E-2</v>
      </c>
      <c r="X18" s="85">
        <f>-(X17/W17-1)</f>
        <v>1.4446969988827996E-2</v>
      </c>
      <c r="Y18" s="85">
        <f>-(Y17/X17-1)</f>
        <v>-3.4233054491439319E-2</v>
      </c>
      <c r="Z18" s="91"/>
    </row>
    <row r="19" spans="2:26">
      <c r="B19" s="26" t="s">
        <v>224</v>
      </c>
      <c r="C19" s="86">
        <v>-1.2543045451438584E-3</v>
      </c>
      <c r="D19" s="86">
        <v>2.3118576638302413E-2</v>
      </c>
      <c r="E19" s="86">
        <v>2.4641627472602456E-3</v>
      </c>
      <c r="F19" s="86">
        <v>-1.4239540718305799E-2</v>
      </c>
      <c r="G19" s="86">
        <v>2.6466187406479769E-3</v>
      </c>
      <c r="H19" s="86">
        <f t="shared" ref="H19:J19" si="0">-(H17/C17-1)</f>
        <v>-2.8323159620990968E-2</v>
      </c>
      <c r="I19" s="86">
        <f t="shared" si="0"/>
        <v>-5.4469558134799367E-2</v>
      </c>
      <c r="J19" s="86">
        <f t="shared" si="0"/>
        <v>-8.302972195589664E-2</v>
      </c>
      <c r="K19" s="86">
        <f t="shared" ref="K19" si="1">-(K17/F17-1)</f>
        <v>-0.10053929980166232</v>
      </c>
      <c r="L19" s="86">
        <f t="shared" ref="L19" si="2">-(L17/G17-1)</f>
        <v>-6.6795071727292044E-2</v>
      </c>
      <c r="M19" s="86">
        <f>-(M17/H17-1)</f>
        <v>-9.3083780940251604E-2</v>
      </c>
      <c r="N19" s="86">
        <f t="shared" ref="N19:Q19" si="3">-(N17/I17-1)</f>
        <v>-5.8157124006308347E-2</v>
      </c>
      <c r="O19" s="86">
        <f t="shared" si="3"/>
        <v>-3.3452757873687622E-2</v>
      </c>
      <c r="P19" s="86">
        <f t="shared" si="3"/>
        <v>-1.1866071338172857E-2</v>
      </c>
      <c r="Q19" s="86">
        <f t="shared" si="3"/>
        <v>-4.8137290407171074E-2</v>
      </c>
      <c r="R19" s="86">
        <f>-(R17/M17-1)</f>
        <v>-1.0557244174265401E-2</v>
      </c>
      <c r="S19" s="86">
        <f>-(S17/N17-1)</f>
        <v>-1.4944136910193029E-2</v>
      </c>
      <c r="T19" s="86">
        <f>-(T17/O17-1)</f>
        <v>-1.332285242068787E-2</v>
      </c>
      <c r="U19" s="86">
        <f t="shared" ref="U19" si="4">-(U17/P17-1)</f>
        <v>-1.729020121871927E-2</v>
      </c>
      <c r="V19" s="86">
        <f t="shared" ref="V19:Y19" si="5">-(V17/Q17-1)</f>
        <v>-1.4037724809144114E-2</v>
      </c>
      <c r="W19" s="86">
        <f t="shared" si="5"/>
        <v>-4.0965691484029065E-2</v>
      </c>
      <c r="X19" s="86">
        <f t="shared" si="5"/>
        <v>-2.217604986614452E-2</v>
      </c>
      <c r="Y19" s="86">
        <f t="shared" si="5"/>
        <v>-5.2521133764296346E-2</v>
      </c>
      <c r="Z19" s="91"/>
    </row>
    <row r="20" spans="2:26">
      <c r="B20" s="26"/>
    </row>
    <row r="21" spans="2:26">
      <c r="B21" s="72" t="s">
        <v>225</v>
      </c>
      <c r="C21" s="92">
        <v>1.3805333333333332</v>
      </c>
      <c r="D21" s="92">
        <v>1.3984333333333332</v>
      </c>
      <c r="E21" s="92">
        <v>1.3710666666666667</v>
      </c>
      <c r="F21" s="92">
        <v>1.3503999999999998</v>
      </c>
      <c r="G21" s="94">
        <v>1.3751083333333334</v>
      </c>
      <c r="H21" s="92">
        <v>1.3318000000000001</v>
      </c>
      <c r="I21" s="92">
        <v>1.2416666666666665</v>
      </c>
      <c r="J21" s="92">
        <v>1.1623999999999999</v>
      </c>
      <c r="K21" s="92">
        <v>1.1877000000000002</v>
      </c>
      <c r="L21" s="94">
        <v>1.2308916666666667</v>
      </c>
      <c r="M21" s="94">
        <v>1.2261</v>
      </c>
      <c r="N21" s="94">
        <v>1.2528666666666666</v>
      </c>
      <c r="O21" s="94">
        <v>1.2577</v>
      </c>
      <c r="P21" s="94">
        <v>1.2513666666666665</v>
      </c>
      <c r="Q21" s="94">
        <v>1.2470083333333333</v>
      </c>
      <c r="R21" s="94">
        <v>1.2652666666666665</v>
      </c>
      <c r="S21" s="94">
        <v>1.2634666666666667</v>
      </c>
      <c r="T21" s="94">
        <v>1.3126666666666666</v>
      </c>
      <c r="U21" s="94">
        <v>1.2752000000000001</v>
      </c>
      <c r="V21" s="94">
        <v>1.2791499999999998</v>
      </c>
      <c r="W21" s="94">
        <v>1.2643333333333333</v>
      </c>
      <c r="X21" s="94">
        <v>1.3508000000000002</v>
      </c>
      <c r="Y21" s="94">
        <v>1.3386000000000002</v>
      </c>
      <c r="Z21" s="91"/>
    </row>
    <row r="22" spans="2:26">
      <c r="B22" s="26" t="s">
        <v>226</v>
      </c>
      <c r="C22" s="80">
        <v>-3.6955433149724604E-2</v>
      </c>
      <c r="D22" s="80">
        <v>-1.2966003476917232E-2</v>
      </c>
      <c r="E22" s="85">
        <v>1.9569518270445396E-2</v>
      </c>
      <c r="F22" s="85">
        <v>1.5073422153068283E-2</v>
      </c>
      <c r="G22" s="96" t="s">
        <v>16</v>
      </c>
      <c r="H22" s="80">
        <f>-(H21/F21-1)</f>
        <v>1.3773696682464309E-2</v>
      </c>
      <c r="I22" s="85">
        <f>-(I21/H21-1)</f>
        <v>6.7677829503929754E-2</v>
      </c>
      <c r="J22" s="85">
        <f>-(J21/I21-1)</f>
        <v>6.3838926174496602E-2</v>
      </c>
      <c r="K22" s="85">
        <f>-(K21/J21-1)</f>
        <v>-2.1765313145217124E-2</v>
      </c>
      <c r="L22" s="96" t="s">
        <v>16</v>
      </c>
      <c r="M22" s="85">
        <f>-(M21/K21-1)</f>
        <v>-3.2331396817377955E-2</v>
      </c>
      <c r="N22" s="85">
        <f>-(N21/M21-1)</f>
        <v>-2.1830737025256175E-2</v>
      </c>
      <c r="O22" s="85">
        <f>-(O21/N21-1)</f>
        <v>-3.8578194008409561E-3</v>
      </c>
      <c r="P22" s="85">
        <f>-(P21/O21-1)</f>
        <v>5.0356470806499631E-3</v>
      </c>
      <c r="Q22" s="96" t="s">
        <v>16</v>
      </c>
      <c r="R22" s="85">
        <f>-(R21/P21-1)</f>
        <v>-1.1107855411416789E-2</v>
      </c>
      <c r="S22" s="85">
        <f>-(S21/R21-1)</f>
        <v>1.4226250065860757E-3</v>
      </c>
      <c r="T22" s="85">
        <f>-(T21/S21-1)</f>
        <v>-3.8940481215702816E-2</v>
      </c>
      <c r="U22" s="85">
        <f>-(U21/T21-1)</f>
        <v>2.8542407313356888E-2</v>
      </c>
      <c r="V22" s="96" t="s">
        <v>16</v>
      </c>
      <c r="W22" s="85">
        <f>-(W21/U21-1)</f>
        <v>8.521539104977105E-3</v>
      </c>
      <c r="X22" s="85">
        <f>-(X21/W21-1)</f>
        <v>-6.8389137885578988E-2</v>
      </c>
      <c r="Y22" s="85">
        <f>-(Y21/X21-1)</f>
        <v>9.0316849274504341E-3</v>
      </c>
      <c r="Z22" s="91"/>
    </row>
    <row r="23" spans="2:26">
      <c r="B23" s="26" t="s">
        <v>227</v>
      </c>
      <c r="C23" s="58">
        <v>-8.1611867018359208E-2</v>
      </c>
      <c r="D23" s="99">
        <v>-0.13044298340159521</v>
      </c>
      <c r="E23" s="86">
        <v>-4.6908803990939107E-2</v>
      </c>
      <c r="F23" s="86">
        <v>-1.4321482223334847E-2</v>
      </c>
      <c r="G23" s="58">
        <v>-6.7133581664855946E-2</v>
      </c>
      <c r="H23" s="58">
        <f t="shared" ref="H23:J23" si="6">-(H21/C21-1)</f>
        <v>3.5300367007919498E-2</v>
      </c>
      <c r="I23" s="86">
        <f t="shared" si="6"/>
        <v>0.1121016375467786</v>
      </c>
      <c r="J23" s="86">
        <f t="shared" si="6"/>
        <v>0.1521929398035593</v>
      </c>
      <c r="K23" s="86">
        <f t="shared" ref="K23" si="7">-(K21/F21-1)</f>
        <v>0.12048281990521303</v>
      </c>
      <c r="L23" s="86">
        <f t="shared" ref="L23" si="8">-(L21/G21-1)</f>
        <v>0.10487658548114387</v>
      </c>
      <c r="M23" s="86">
        <f>-(M21/H21-1)</f>
        <v>7.9366271211893769E-2</v>
      </c>
      <c r="N23" s="86">
        <f t="shared" ref="N23:Q23" si="9">-(N21/I21-1)</f>
        <v>-9.020134228187926E-3</v>
      </c>
      <c r="O23" s="86">
        <f t="shared" si="9"/>
        <v>-8.1985547143840432E-2</v>
      </c>
      <c r="P23" s="86">
        <f t="shared" si="9"/>
        <v>-5.3605006876034533E-2</v>
      </c>
      <c r="Q23" s="86">
        <f t="shared" si="9"/>
        <v>-1.309348913727848E-2</v>
      </c>
      <c r="R23" s="86">
        <f>-(R21/M21-1)</f>
        <v>-3.1944104613544244E-2</v>
      </c>
      <c r="S23" s="86">
        <f>-(S21/N21-1)</f>
        <v>-8.4605970308093692E-3</v>
      </c>
      <c r="T23" s="86">
        <f>-(T21/O21-1)</f>
        <v>-4.3704115978903335E-2</v>
      </c>
      <c r="U23" s="86">
        <f t="shared" ref="U23" si="10">-(U21/P21-1)</f>
        <v>-1.9045843211422442E-2</v>
      </c>
      <c r="V23" s="86">
        <f t="shared" ref="V23:Y23" si="11">-(V21/Q21-1)</f>
        <v>-2.5775021551579957E-2</v>
      </c>
      <c r="W23" s="86">
        <f t="shared" si="11"/>
        <v>7.376574108224343E-4</v>
      </c>
      <c r="X23" s="86">
        <f t="shared" si="11"/>
        <v>-6.9121992401857346E-2</v>
      </c>
      <c r="Y23" s="86">
        <f t="shared" si="11"/>
        <v>-1.975622143219935E-2</v>
      </c>
      <c r="Z23" s="91"/>
    </row>
    <row r="24" spans="2:26">
      <c r="B24" s="71"/>
    </row>
    <row r="25" spans="2:26">
      <c r="B25" s="70" t="s">
        <v>228</v>
      </c>
      <c r="C25" s="92">
        <v>48.386666666666663</v>
      </c>
      <c r="D25" s="92">
        <v>48.198333333333331</v>
      </c>
      <c r="E25" s="92">
        <v>50.243333333333332</v>
      </c>
      <c r="F25" s="92">
        <v>50.601333333333336</v>
      </c>
      <c r="G25" s="94">
        <v>49.357416666666673</v>
      </c>
      <c r="H25" s="92">
        <v>51.32</v>
      </c>
      <c r="I25" s="92">
        <v>53.178333333333335</v>
      </c>
      <c r="J25" s="92">
        <v>56.633333333333333</v>
      </c>
      <c r="K25" s="92">
        <v>56.761666666666663</v>
      </c>
      <c r="L25" s="94">
        <v>54.473333333333336</v>
      </c>
      <c r="M25" s="94">
        <v>54.776666666666664</v>
      </c>
      <c r="N25" s="94">
        <v>55.576666666666675</v>
      </c>
      <c r="O25" s="94">
        <v>56.016666666666673</v>
      </c>
      <c r="P25" s="94">
        <v>55.861666666666672</v>
      </c>
      <c r="Q25" s="94">
        <v>55.557916666666664</v>
      </c>
      <c r="R25" s="94">
        <v>56.241666666666667</v>
      </c>
      <c r="S25" s="94">
        <v>58.293333333333329</v>
      </c>
      <c r="T25" s="94">
        <v>56.835333333333331</v>
      </c>
      <c r="U25" s="94">
        <v>58.188333333333333</v>
      </c>
      <c r="V25" s="94">
        <v>57.38966666666667</v>
      </c>
      <c r="W25" s="94">
        <v>57.856666666666662</v>
      </c>
      <c r="X25" s="94">
        <v>55.971666666666671</v>
      </c>
      <c r="Y25" s="94">
        <v>57.882000000000005</v>
      </c>
      <c r="Z25" s="91"/>
    </row>
    <row r="26" spans="2:26">
      <c r="B26" s="26" t="s">
        <v>223</v>
      </c>
      <c r="C26" s="80">
        <v>-4.6856723628383445E-3</v>
      </c>
      <c r="D26" s="80">
        <v>3.8922568200605578E-3</v>
      </c>
      <c r="E26" s="80">
        <v>-4.2428853003215972E-2</v>
      </c>
      <c r="F26" s="80">
        <v>-7.1253234259935905E-3</v>
      </c>
      <c r="G26" s="96" t="s">
        <v>16</v>
      </c>
      <c r="H26" s="80">
        <f>-(H25/F25-1)</f>
        <v>-1.4202524307659781E-2</v>
      </c>
      <c r="I26" s="85">
        <f>-(I25/H25-1)</f>
        <v>-3.6210704078981637E-2</v>
      </c>
      <c r="J26" s="85">
        <f>-(J25/I25-1)</f>
        <v>-6.4970069263797781E-2</v>
      </c>
      <c r="K26" s="85">
        <f>-(K25/J25-1)</f>
        <v>-2.2660388463802139E-3</v>
      </c>
      <c r="L26" s="96" t="s">
        <v>16</v>
      </c>
      <c r="M26" s="85">
        <f>-(M25/K25-1)</f>
        <v>3.4970784273423927E-2</v>
      </c>
      <c r="N26" s="85">
        <f>-(N25/M25-1)</f>
        <v>-1.460475871721556E-2</v>
      </c>
      <c r="O26" s="85">
        <f>-(O25/N25-1)</f>
        <v>-7.9169915432135696E-3</v>
      </c>
      <c r="P26" s="85">
        <f>-(P25/O25-1)</f>
        <v>2.7670336209462132E-3</v>
      </c>
      <c r="Q26" s="96" t="s">
        <v>16</v>
      </c>
      <c r="R26" s="85">
        <f>-(R25/P25-1)</f>
        <v>-6.8025181251305522E-3</v>
      </c>
      <c r="S26" s="85">
        <f>-(S25/R25-1)</f>
        <v>-3.6479478441250546E-2</v>
      </c>
      <c r="T26" s="85">
        <f>-(T25/S25-1)</f>
        <v>2.5011436413540644E-2</v>
      </c>
      <c r="U26" s="85">
        <f>-(U25/T25-1)</f>
        <v>-2.3805613878690624E-2</v>
      </c>
      <c r="V26" s="96" t="s">
        <v>16</v>
      </c>
      <c r="W26" s="85">
        <f>-(W25/U25-1)</f>
        <v>5.6998825652336826E-3</v>
      </c>
      <c r="X26" s="85">
        <f>-(X25/W25-1)</f>
        <v>3.2580515065967486E-2</v>
      </c>
      <c r="Y26" s="85">
        <f>-(Y25/X25-1)</f>
        <v>-3.4130363576809764E-2</v>
      </c>
      <c r="Z26" s="91"/>
    </row>
    <row r="27" spans="2:26">
      <c r="B27" s="26" t="s">
        <v>224</v>
      </c>
      <c r="C27" s="58">
        <v>4.8006295907660035E-2</v>
      </c>
      <c r="D27" s="58">
        <v>4.1401485017236728E-2</v>
      </c>
      <c r="E27" s="58">
        <v>-3.1478820228563631E-2</v>
      </c>
      <c r="F27" s="58">
        <v>-5.0670321075835911E-2</v>
      </c>
      <c r="G27" s="58">
        <v>2.7679889819220982E-3</v>
      </c>
      <c r="H27" s="58">
        <f t="shared" ref="H27:J27" si="12">-(H25/C25-1)</f>
        <v>-6.0622761091209787E-2</v>
      </c>
      <c r="I27" s="86">
        <f t="shared" si="12"/>
        <v>-0.10332307479511749</v>
      </c>
      <c r="J27" s="86">
        <f t="shared" si="12"/>
        <v>-0.12718105221256559</v>
      </c>
      <c r="K27" s="86">
        <f t="shared" ref="K27" si="13">-(K25/F25-1)</f>
        <v>-0.12174251007878567</v>
      </c>
      <c r="L27" s="86">
        <f t="shared" ref="L27" si="14">-(L25/G25-1)</f>
        <v>-0.10365041390267238</v>
      </c>
      <c r="M27" s="86">
        <f>-(M25/H25-1)</f>
        <v>-6.73551571836839E-2</v>
      </c>
      <c r="N27" s="86">
        <f t="shared" ref="N27:Q27" si="15">-(N25/I25-1)</f>
        <v>-4.5099821355815584E-2</v>
      </c>
      <c r="O27" s="86">
        <f t="shared" si="15"/>
        <v>1.0888758092995721E-2</v>
      </c>
      <c r="P27" s="86">
        <f t="shared" si="15"/>
        <v>1.5855771207093805E-2</v>
      </c>
      <c r="Q27" s="86">
        <f t="shared" si="15"/>
        <v>-1.9910353689878812E-2</v>
      </c>
      <c r="R27" s="86">
        <f>-(R25/M25-1)</f>
        <v>-2.6744964400900795E-2</v>
      </c>
      <c r="S27" s="86">
        <f>-(S25/N25-1)</f>
        <v>-4.8881425058477479E-2</v>
      </c>
      <c r="T27" s="86">
        <f>-(T25/O25-1)</f>
        <v>-1.4614698006545579E-2</v>
      </c>
      <c r="U27" s="86">
        <f t="shared" ref="U27" si="16">-(U25/P25-1)</f>
        <v>-4.165050571351836E-2</v>
      </c>
      <c r="V27" s="86">
        <f t="shared" ref="V27:Y27" si="17">-(V25/Q25-1)</f>
        <v>-3.297009877080237E-2</v>
      </c>
      <c r="W27" s="86">
        <f t="shared" si="17"/>
        <v>-2.8715365239294632E-2</v>
      </c>
      <c r="X27" s="86">
        <f t="shared" si="17"/>
        <v>3.9827310155535089E-2</v>
      </c>
      <c r="Y27" s="86">
        <f t="shared" si="17"/>
        <v>-1.8415774224953996E-2</v>
      </c>
      <c r="Z27" s="91"/>
    </row>
    <row r="28" spans="2:26">
      <c r="B28" s="26"/>
      <c r="C28" s="58"/>
      <c r="D28" s="58"/>
      <c r="E28" s="58"/>
      <c r="F28" s="58"/>
      <c r="G28" s="58"/>
      <c r="H28" s="58"/>
      <c r="I28" s="86"/>
      <c r="J28" s="86"/>
      <c r="K28" s="86"/>
      <c r="L28" s="86"/>
      <c r="M28" s="86"/>
      <c r="N28" s="86"/>
      <c r="O28" s="86"/>
      <c r="P28" s="86"/>
      <c r="Q28" s="86"/>
      <c r="R28" s="86"/>
      <c r="S28" s="86"/>
      <c r="T28" s="86"/>
      <c r="U28" s="86"/>
      <c r="V28" s="86"/>
      <c r="W28" s="86"/>
      <c r="X28" s="86"/>
      <c r="Y28" s="86"/>
      <c r="Z28" s="91"/>
    </row>
    <row r="29" spans="2:26">
      <c r="B29" s="70" t="s">
        <v>229</v>
      </c>
      <c r="C29" s="25">
        <v>15.018166666666666</v>
      </c>
      <c r="D29" s="25">
        <v>14.150999999999998</v>
      </c>
      <c r="E29" s="25">
        <v>14.759866666666667</v>
      </c>
      <c r="F29" s="25">
        <v>15.743166666666667</v>
      </c>
      <c r="G29" s="25">
        <v>14.918049999999999</v>
      </c>
      <c r="H29" s="25">
        <v>15.1533</v>
      </c>
      <c r="I29" s="25">
        <v>15.936366666666666</v>
      </c>
      <c r="J29" s="25">
        <v>17.213466666666665</v>
      </c>
      <c r="K29" s="25">
        <v>17.443733333333338</v>
      </c>
      <c r="L29" s="25">
        <v>16.436716666666662</v>
      </c>
      <c r="M29" s="25">
        <v>17.895766666666663</v>
      </c>
      <c r="N29" s="25">
        <v>19.023666666666667</v>
      </c>
      <c r="O29" s="25">
        <v>18.488166666666668</v>
      </c>
      <c r="P29" s="25">
        <v>18.630333333333336</v>
      </c>
      <c r="Q29" s="25">
        <v>18.509483333333332</v>
      </c>
      <c r="R29" s="25">
        <v>18.956266666666668</v>
      </c>
      <c r="S29" s="25">
        <v>18.531866666666669</v>
      </c>
      <c r="T29" s="25">
        <v>17.736000000000001</v>
      </c>
      <c r="U29" s="25">
        <v>18.182400000000001</v>
      </c>
      <c r="V29" s="25">
        <v>18.351633333333336</v>
      </c>
      <c r="W29" s="103">
        <v>18.485200000000003</v>
      </c>
      <c r="X29" s="103">
        <v>18.116333333333333</v>
      </c>
      <c r="Y29" s="103">
        <v>17.677466666666664</v>
      </c>
      <c r="Z29" s="91"/>
    </row>
    <row r="30" spans="2:26">
      <c r="B30" s="26" t="s">
        <v>223</v>
      </c>
      <c r="C30" s="86">
        <v>2.4589578331381302E-2</v>
      </c>
      <c r="D30" s="85">
        <f t="shared" ref="D30:E30" si="18">-(D29/C29-1)</f>
        <v>5.7741180126291591E-2</v>
      </c>
      <c r="E30" s="85">
        <f t="shared" si="18"/>
        <v>-4.302640567215521E-2</v>
      </c>
      <c r="F30" s="85">
        <f>-(F29/E29-1)</f>
        <v>-6.6619842997678314E-2</v>
      </c>
      <c r="G30" s="96" t="s">
        <v>16</v>
      </c>
      <c r="H30" s="80">
        <f>-(H29/F29-1)</f>
        <v>3.7468107856318711E-2</v>
      </c>
      <c r="I30" s="85">
        <f>-(I29/H29-1)</f>
        <v>-5.167631253038385E-2</v>
      </c>
      <c r="J30" s="85">
        <f>-(J29/I29-1)</f>
        <v>-8.0137463369944095E-2</v>
      </c>
      <c r="K30" s="85">
        <f>-(K29/J29-1)</f>
        <v>-1.3377123337542152E-2</v>
      </c>
      <c r="L30" s="96" t="s">
        <v>16</v>
      </c>
      <c r="M30" s="80">
        <f>-(M29/K29-1)</f>
        <v>-2.591379521203363E-2</v>
      </c>
      <c r="N30" s="85">
        <f>-(N29/M29-1)</f>
        <v>-6.3026078793308793E-2</v>
      </c>
      <c r="O30" s="85">
        <f>-(O29/N29-1)</f>
        <v>2.8149147553047871E-2</v>
      </c>
      <c r="P30" s="85">
        <f>-(P29/O29-1)</f>
        <v>-7.6896032597428832E-3</v>
      </c>
      <c r="Q30" s="96" t="s">
        <v>16</v>
      </c>
      <c r="R30" s="80">
        <f>-(R29/P29-1)</f>
        <v>-1.7494766599273515E-2</v>
      </c>
      <c r="S30" s="85">
        <f>-(S29/R29-1)</f>
        <v>2.2388374644796372E-2</v>
      </c>
      <c r="T30" s="85">
        <f>-(T29/S29-1)</f>
        <v>4.2945844635187025E-2</v>
      </c>
      <c r="U30" s="85">
        <f>-(U29/T29-1)</f>
        <v>-2.5169147496617139E-2</v>
      </c>
      <c r="V30" s="96" t="s">
        <v>16</v>
      </c>
      <c r="W30" s="80">
        <f>-(W29/U29-1)</f>
        <v>-1.6653467089053242E-2</v>
      </c>
      <c r="X30" s="80">
        <f>-(X29/W29-1)</f>
        <v>1.9954702500739496E-2</v>
      </c>
      <c r="Y30" s="80">
        <f>-(Y29/X29-1)</f>
        <v>2.4224916741798497E-2</v>
      </c>
      <c r="Z30" s="91"/>
    </row>
    <row r="31" spans="2:26">
      <c r="B31" s="26" t="s">
        <v>224</v>
      </c>
      <c r="C31" s="86">
        <v>6.8948771465768596E-2</v>
      </c>
      <c r="D31" s="86">
        <v>0.19869308433230101</v>
      </c>
      <c r="E31" s="86">
        <v>0.12351815232473699</v>
      </c>
      <c r="F31" s="86">
        <v>-2.2498230147888199E-2</v>
      </c>
      <c r="G31" s="86">
        <v>9.6244106568686705E-2</v>
      </c>
      <c r="H31" s="58">
        <f t="shared" ref="H31" si="19">-(H29/C29-1)</f>
        <v>-8.9979913216216012E-3</v>
      </c>
      <c r="I31" s="86">
        <f t="shared" ref="I31" si="20">-(I29/D29-1)</f>
        <v>-0.12616540644948548</v>
      </c>
      <c r="J31" s="86">
        <f t="shared" ref="J31" si="21">-(J29/E29-1)</f>
        <v>-0.16623456399786796</v>
      </c>
      <c r="K31" s="86">
        <f t="shared" ref="K31" si="22">-(K29/F29-1)</f>
        <v>-0.1080193523115851</v>
      </c>
      <c r="L31" s="86">
        <f t="shared" ref="L31" si="23">-(L29/G29-1)</f>
        <v>-0.10180061513848404</v>
      </c>
      <c r="M31" s="86">
        <f>-(M29/H29-1)</f>
        <v>-0.18098148038161077</v>
      </c>
      <c r="N31" s="86">
        <f t="shared" ref="N31" si="24">-(N29/I29-1)</f>
        <v>-0.1937267172985897</v>
      </c>
      <c r="O31" s="86">
        <f t="shared" ref="O31" si="25">-(O29/J29-1)</f>
        <v>-7.4052486038063359E-2</v>
      </c>
      <c r="P31" s="86">
        <f t="shared" ref="P31" si="26">-(P29/K29-1)</f>
        <v>-6.802442902131034E-2</v>
      </c>
      <c r="Q31" s="86">
        <f t="shared" ref="Q31" si="27">-(Q29/L29-1)</f>
        <v>-0.12610588286590096</v>
      </c>
      <c r="R31" s="86">
        <f>-(R29/M29-1)</f>
        <v>-5.9259824949289941E-2</v>
      </c>
      <c r="S31" s="86">
        <f>-(S29/N29-1)</f>
        <v>2.5852008901193102E-2</v>
      </c>
      <c r="T31" s="86">
        <f>-(T29/O29-1)</f>
        <v>4.0683680552425439E-2</v>
      </c>
      <c r="U31" s="86">
        <f t="shared" ref="U31" si="28">-(U29/P29-1)</f>
        <v>2.4043226995401845E-2</v>
      </c>
      <c r="V31" s="86">
        <f t="shared" ref="V31" si="29">-(V29/Q29-1)</f>
        <v>8.5280608408840886E-3</v>
      </c>
      <c r="W31" s="86">
        <f t="shared" ref="W31:Y31" si="30">-(W29/R29-1)</f>
        <v>2.4850181470331689E-2</v>
      </c>
      <c r="X31" s="86">
        <f t="shared" si="30"/>
        <v>2.2422637762700814E-2</v>
      </c>
      <c r="Y31" s="86">
        <f t="shared" si="30"/>
        <v>3.3002556006617167E-3</v>
      </c>
      <c r="Z31" s="91"/>
    </row>
    <row r="34" spans="10:10">
      <c r="J34" s="108"/>
    </row>
  </sheetData>
  <customSheetViews>
    <customSheetView guid="{168DC811-186D-42DC-8A72-3741D1063270}" scale="80" showGridLines="0" hiddenRows="1">
      <pane xSplit="2" ySplit="4" topLeftCell="C5" activePane="bottomRight" state="frozen"/>
      <selection pane="bottomRight" activeCell="A7" sqref="A7"/>
      <pageMargins left="0" right="0" top="0" bottom="0" header="0" footer="0"/>
      <printOptions horizontalCentered="1"/>
      <pageSetup scale="65" orientation="landscape" horizontalDpi="300" verticalDpi="300" r:id="rId1"/>
    </customSheetView>
  </customSheetViews>
  <mergeCells count="1">
    <mergeCell ref="Z3:Z4"/>
  </mergeCells>
  <phoneticPr fontId="0" type="noConversion"/>
  <hyperlinks>
    <hyperlink ref="Y1" location="Contents!B10" display="Back" xr:uid="{AC58B90F-B0A6-4600-B434-39C22E59D4C6}"/>
  </hyperlinks>
  <pageMargins left="0.25" right="0.25" top="0.5" bottom="0.25" header="0.3" footer="0.3"/>
  <pageSetup paperSize="9"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AF149212BDADD429E2028B87BF5C05A" ma:contentTypeVersion="6" ma:contentTypeDescription="Create a new document." ma:contentTypeScope="" ma:versionID="24eece339cc0664fd295c8aa396bcb29">
  <xsd:schema xmlns:xsd="http://www.w3.org/2001/XMLSchema" xmlns:xs="http://www.w3.org/2001/XMLSchema" xmlns:p="http://schemas.microsoft.com/office/2006/metadata/properties" xmlns:ns2="4da3ad68-5083-4f56-a2f3-b749011fc705" xmlns:ns3="8cf0e1d4-898c-4bee-a6ca-2316e1a8d012" targetNamespace="http://schemas.microsoft.com/office/2006/metadata/properties" ma:root="true" ma:fieldsID="d8eadf2dc43ba98d1ab84dd3c2630ab1" ns2:_="" ns3:_="">
    <xsd:import namespace="4da3ad68-5083-4f56-a2f3-b749011fc705"/>
    <xsd:import namespace="8cf0e1d4-898c-4bee-a6ca-2316e1a8d0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3ad68-5083-4f56-a2f3-b749011fc7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f0e1d4-898c-4bee-a6ca-2316e1a8d01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A66A77-F37E-4D49-8546-C41E555DE668}"/>
</file>

<file path=customXml/itemProps2.xml><?xml version="1.0" encoding="utf-8"?>
<ds:datastoreItem xmlns:ds="http://schemas.openxmlformats.org/officeDocument/2006/customXml" ds:itemID="{6AB40F80-3E7E-49B0-A888-94D80DA6B284}"/>
</file>

<file path=customXml/itemProps3.xml><?xml version="1.0" encoding="utf-8"?>
<ds:datastoreItem xmlns:ds="http://schemas.openxmlformats.org/officeDocument/2006/customXml" ds:itemID="{2C1E7D95-89FF-450B-B39E-4E735F07212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rahul13232</dc:creator>
  <cp:keywords/>
  <dc:description/>
  <cp:lastModifiedBy>Abhishek Gupta</cp:lastModifiedBy>
  <cp:revision/>
  <dcterms:created xsi:type="dcterms:W3CDTF">2009-03-23T17:27:54Z</dcterms:created>
  <dcterms:modified xsi:type="dcterms:W3CDTF">2025-10-27T17:36:38Z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0x010100EAF149212BDADD429E2028B87BF5C05A</vt:lpwstr>
  </property>
</Properties>
</file>