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Financial Planning &amp; Budgeting\2021\Q2 2021\Fact Sheet\"/>
    </mc:Choice>
  </mc:AlternateContent>
  <bookViews>
    <workbookView xWindow="0" yWindow="0" windowWidth="20490" windowHeight="7620" tabRatio="889" activeTab="1"/>
  </bookViews>
  <sheets>
    <sheet name="Contents" sheetId="9" r:id="rId1"/>
    <sheet name="Income Statement" sheetId="2" r:id="rId2"/>
    <sheet name="Balance Sheet" sheetId="6" r:id="rId3"/>
    <sheet name="Cashflow" sheetId="7" r:id="rId4"/>
    <sheet name="Revenues and Margins" sheetId="8" r:id="rId5"/>
    <sheet name="Other Metrics" sheetId="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_xlnm._FilterDatabase" localSheetId="1" hidden="1">'Income Statement'!#REF!</definedName>
    <definedName name="_xlnm.Print_Area" localSheetId="2">'Balance Sheet'!$A$1:$T$60</definedName>
    <definedName name="_xlnm.Print_Area" localSheetId="3">Cashflow!$A$1:$X$84</definedName>
    <definedName name="_xlnm.Print_Area" localSheetId="1">'Income Statement'!$A$1:$W$114</definedName>
    <definedName name="_xlnm.Print_Area" localSheetId="5">'Other Metrics'!$A$1:$X$33</definedName>
    <definedName name="_xlnm.Print_Area" localSheetId="4">'Revenues and Margins'!$A$1:$AH$105</definedName>
    <definedName name="_xlnm.Print_Titles" localSheetId="1">'Income Statement'!$A:$A,'Income Statement'!$4:$5</definedName>
    <definedName name="_xlnm.Print_Titles" localSheetId="5">'Other Metrics'!$B:$B</definedName>
    <definedName name="_xlnm.Print_Titles" localSheetId="4">'Revenues and Margins'!$1:$4</definedName>
    <definedName name="Z_168DC811_186D_42DC_8A72_3741D1063270_.wvu.PrintArea" localSheetId="5" hidden="1">'Other Metrics'!$A$1:$B$19</definedName>
    <definedName name="Z_168DC811_186D_42DC_8A72_3741D1063270_.wvu.PrintTitles" localSheetId="1" hidden="1">'Income Statement'!$A:$A,'Income Statement'!$4:$5</definedName>
    <definedName name="Z_168DC811_186D_42DC_8A72_3741D1063270_.wvu.PrintTitles" localSheetId="5" hidden="1">'Other Metrics'!$B:$B</definedName>
    <definedName name="Z_168DC811_186D_42DC_8A72_3741D1063270_.wvu.Rows" localSheetId="5" hidden="1">'Other Metrics'!#REF!</definedName>
  </definedNames>
  <calcPr calcId="162913"/>
  <customWorkbookViews>
    <customWorkbookView name="rahul13232 - Personal View" guid="{168DC811-186D-42DC-8A72-3741D1063270}" mergeInterval="0" personalView="1" maximized="1" xWindow="1" yWindow="1" windowWidth="1276" windowHeight="803"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9" i="7" l="1"/>
  <c r="AA40" i="7"/>
  <c r="AH100" i="8" l="1"/>
  <c r="AH65" i="8"/>
  <c r="AH40" i="8"/>
  <c r="AH34" i="8"/>
  <c r="AH27" i="8"/>
  <c r="X18" i="5" l="1"/>
  <c r="X6" i="5"/>
  <c r="V12" i="7" l="1"/>
  <c r="V26" i="7"/>
  <c r="T26" i="7"/>
  <c r="S12" i="7"/>
  <c r="T12" i="7" s="1"/>
  <c r="S26" i="7"/>
  <c r="R12" i="7"/>
  <c r="R26" i="7"/>
  <c r="W12" i="7"/>
  <c r="W26" i="7"/>
  <c r="X12" i="7" l="1"/>
  <c r="X26" i="7"/>
  <c r="W42" i="2" l="1"/>
  <c r="X14" i="5" l="1"/>
  <c r="X15" i="5"/>
  <c r="X16" i="5"/>
  <c r="X13" i="5"/>
  <c r="T14" i="6" l="1"/>
  <c r="AH101" i="8" l="1"/>
  <c r="AH99" i="8"/>
  <c r="AH85" i="8" l="1"/>
  <c r="AH81" i="8"/>
  <c r="AH77" i="8"/>
  <c r="AH63" i="8" l="1"/>
  <c r="AH38" i="8"/>
  <c r="AH32" i="8"/>
  <c r="AH25" i="8"/>
  <c r="AH19" i="8"/>
  <c r="AH64" i="8" l="1"/>
  <c r="AH61" i="8"/>
  <c r="AH39" i="8"/>
  <c r="AH36" i="8"/>
  <c r="AH33" i="8"/>
  <c r="AH30" i="8"/>
  <c r="AH26" i="8"/>
  <c r="AH23" i="8"/>
  <c r="AH88" i="8"/>
  <c r="AH84" i="8"/>
  <c r="AH80" i="8"/>
  <c r="AH20" i="8" l="1"/>
  <c r="AH17" i="8"/>
  <c r="AH67" i="8" l="1"/>
  <c r="AH21" i="8"/>
  <c r="AH82" i="8" l="1"/>
  <c r="AH78" i="8"/>
  <c r="AH86" i="8"/>
  <c r="X29" i="5" l="1"/>
  <c r="X25" i="5"/>
  <c r="X21" i="5"/>
  <c r="W101" i="2" l="1"/>
  <c r="X101" i="2" l="1"/>
  <c r="T57" i="6" l="1"/>
  <c r="T55" i="6"/>
  <c r="T52" i="6"/>
  <c r="T53" i="6"/>
  <c r="T47" i="6"/>
  <c r="T41" i="6"/>
  <c r="T42" i="6"/>
  <c r="T43" i="6"/>
  <c r="T44" i="6"/>
  <c r="T40" i="6"/>
  <c r="T38" i="6"/>
  <c r="T29" i="6"/>
  <c r="T30" i="6"/>
  <c r="T31" i="6"/>
  <c r="T32" i="6"/>
  <c r="T33" i="6"/>
  <c r="T34" i="6"/>
  <c r="T35" i="6"/>
  <c r="T17" i="6"/>
  <c r="T18" i="6"/>
  <c r="T19" i="6"/>
  <c r="T20" i="6"/>
  <c r="T21" i="6"/>
  <c r="T22" i="6"/>
  <c r="T23" i="6"/>
  <c r="T24" i="6"/>
  <c r="T8" i="6"/>
  <c r="T9" i="6"/>
  <c r="T10" i="6"/>
  <c r="T11" i="6"/>
  <c r="T13" i="6"/>
  <c r="X88" i="7" l="1"/>
  <c r="T15" i="6"/>
  <c r="T25" i="6" s="1"/>
  <c r="T36" i="6"/>
  <c r="T45" i="6" s="1"/>
  <c r="W84" i="2"/>
  <c r="W83" i="2"/>
  <c r="V83" i="2"/>
  <c r="W26" i="2"/>
  <c r="W73" i="2" s="1"/>
  <c r="W85" i="2" s="1"/>
  <c r="V26" i="2"/>
  <c r="W23" i="2"/>
  <c r="W12" i="2"/>
  <c r="W17" i="2"/>
  <c r="W20" i="2"/>
  <c r="W69" i="2"/>
  <c r="W41" i="2"/>
  <c r="W36" i="2"/>
  <c r="W35" i="2"/>
  <c r="W8" i="2"/>
  <c r="AH107" i="8" s="1"/>
  <c r="W93" i="2" l="1"/>
  <c r="X69" i="2"/>
  <c r="W80" i="2"/>
  <c r="W21" i="2"/>
  <c r="W18" i="2"/>
  <c r="W29" i="2"/>
  <c r="W81" i="2"/>
  <c r="X81" i="2" s="1"/>
  <c r="W27" i="2"/>
  <c r="W64" i="2"/>
  <c r="W66" i="2" s="1"/>
  <c r="W24" i="2"/>
  <c r="W13" i="2"/>
  <c r="AH108" i="8" s="1"/>
  <c r="V88" i="8"/>
  <c r="U88" i="8"/>
  <c r="T88" i="8"/>
  <c r="S88" i="8"/>
  <c r="R88" i="8"/>
  <c r="V84" i="8"/>
  <c r="U84" i="8"/>
  <c r="T84" i="8"/>
  <c r="S84" i="8"/>
  <c r="R84" i="8"/>
  <c r="V80" i="8"/>
  <c r="U80" i="8"/>
  <c r="T80" i="8"/>
  <c r="S80" i="8"/>
  <c r="R80" i="8"/>
  <c r="R87" i="8"/>
  <c r="R83" i="8"/>
  <c r="R79" i="8"/>
  <c r="U87" i="8"/>
  <c r="T87" i="8"/>
  <c r="S87" i="8"/>
  <c r="U83" i="8"/>
  <c r="T83" i="8"/>
  <c r="S83" i="8"/>
  <c r="U79" i="8"/>
  <c r="T79" i="8"/>
  <c r="S79" i="8"/>
  <c r="X93" i="2" l="1"/>
  <c r="W14" i="2"/>
  <c r="W31" i="2"/>
  <c r="W33" i="2" s="1"/>
  <c r="AC88" i="8"/>
  <c r="AB88" i="8"/>
  <c r="Z88" i="8"/>
  <c r="Y88" i="8"/>
  <c r="X88" i="8"/>
  <c r="W88" i="8"/>
  <c r="AC87" i="8"/>
  <c r="AB87" i="8"/>
  <c r="Z87" i="8"/>
  <c r="Y87" i="8"/>
  <c r="X87" i="8"/>
  <c r="W87" i="8"/>
  <c r="AC84" i="8"/>
  <c r="AB84" i="8"/>
  <c r="Z84" i="8"/>
  <c r="Y84" i="8"/>
  <c r="X84" i="8"/>
  <c r="W84" i="8"/>
  <c r="AC83" i="8"/>
  <c r="AB83" i="8"/>
  <c r="Z83" i="8"/>
  <c r="Y83" i="8"/>
  <c r="X83" i="8"/>
  <c r="W83" i="8"/>
  <c r="Z80" i="8"/>
  <c r="Y80" i="8"/>
  <c r="X80" i="8"/>
  <c r="W80" i="8"/>
  <c r="Z79" i="8"/>
  <c r="Y79" i="8"/>
  <c r="X79" i="8"/>
  <c r="W79" i="8"/>
  <c r="AA80" i="8"/>
  <c r="AB79" i="8"/>
  <c r="AB80" i="8"/>
  <c r="AC80" i="8"/>
  <c r="AC79" i="8"/>
  <c r="W6" i="5"/>
  <c r="W18" i="5"/>
  <c r="W39" i="2" l="1"/>
  <c r="W43" i="2" s="1"/>
  <c r="W68" i="2"/>
  <c r="R45" i="7"/>
  <c r="R32" i="7"/>
  <c r="R19" i="7"/>
  <c r="S45" i="7" l="1"/>
  <c r="T45" i="7" s="1"/>
  <c r="W46" i="2"/>
  <c r="W79" i="2"/>
  <c r="W14" i="5"/>
  <c r="W15" i="5"/>
  <c r="W16" i="5"/>
  <c r="W13" i="5"/>
  <c r="W91" i="2" l="1"/>
  <c r="W47" i="2"/>
  <c r="AG85" i="8"/>
  <c r="AH87" i="8" s="1"/>
  <c r="AG81" i="8"/>
  <c r="AH83" i="8" s="1"/>
  <c r="AG77" i="8"/>
  <c r="AH79" i="8" s="1"/>
  <c r="AG84" i="8" l="1"/>
  <c r="AG88" i="8"/>
  <c r="AG80" i="8"/>
  <c r="W10" i="5"/>
  <c r="AG101" i="8" l="1"/>
  <c r="AG100" i="8"/>
  <c r="AG99" i="8"/>
  <c r="AG63" i="8" l="1"/>
  <c r="AG38" i="8"/>
  <c r="AG32" i="8"/>
  <c r="AG25" i="8"/>
  <c r="AG19" i="8"/>
  <c r="W8" i="5" l="1"/>
  <c r="W29" i="5"/>
  <c r="X30" i="5" s="1"/>
  <c r="W25" i="5"/>
  <c r="X26" i="5" s="1"/>
  <c r="W21" i="5"/>
  <c r="X22" i="5" s="1"/>
  <c r="V105" i="2" l="1"/>
  <c r="V101" i="2"/>
  <c r="Y101" i="2" s="1"/>
  <c r="V97" i="2"/>
  <c r="V100" i="2" l="1"/>
  <c r="W17" i="7" l="1"/>
  <c r="X17" i="7" s="1"/>
  <c r="AG64" i="8" l="1"/>
  <c r="AG61" i="8"/>
  <c r="AG39" i="8"/>
  <c r="AG36" i="8"/>
  <c r="AG33" i="8"/>
  <c r="AG30" i="8"/>
  <c r="AG23" i="8"/>
  <c r="AG26" i="8"/>
  <c r="W60" i="7"/>
  <c r="X60" i="7" s="1"/>
  <c r="S40" i="6"/>
  <c r="S57" i="6"/>
  <c r="V1048576" i="2"/>
  <c r="V84" i="2"/>
  <c r="AG65" i="8" l="1"/>
  <c r="AG40" i="8"/>
  <c r="AG34" i="8"/>
  <c r="AG17" i="8"/>
  <c r="AG67" i="8" s="1"/>
  <c r="AG27" i="8"/>
  <c r="AG20" i="8"/>
  <c r="Q97" i="2"/>
  <c r="AG86" i="8" l="1"/>
  <c r="AG82" i="8"/>
  <c r="AG78" i="8"/>
  <c r="AG21" i="8"/>
  <c r="Q69" i="2" l="1"/>
  <c r="AF61" i="8" l="1"/>
  <c r="AF36" i="8"/>
  <c r="AF30" i="8"/>
  <c r="AF23" i="8"/>
  <c r="AF26" i="8"/>
  <c r="AF33" i="8"/>
  <c r="AF39" i="8"/>
  <c r="AF64" i="8"/>
  <c r="AD39" i="8"/>
  <c r="AD33" i="8"/>
  <c r="AD26" i="8"/>
  <c r="AF20" i="8" l="1"/>
  <c r="AE61" i="8"/>
  <c r="AF63" i="8" l="1"/>
  <c r="AF38" i="8"/>
  <c r="AF32" i="8"/>
  <c r="AF25" i="8"/>
  <c r="AF19" i="8"/>
  <c r="AE63" i="8"/>
  <c r="AE38" i="8"/>
  <c r="AE32" i="8"/>
  <c r="AE25" i="8"/>
  <c r="AE19" i="8"/>
  <c r="AF101" i="8"/>
  <c r="AF100" i="8"/>
  <c r="AF99" i="8"/>
  <c r="AE101" i="8"/>
  <c r="AE100" i="8"/>
  <c r="AE99" i="8"/>
  <c r="AE85" i="8" l="1"/>
  <c r="AE81" i="8"/>
  <c r="AE77" i="8"/>
  <c r="AE84" i="8" l="1"/>
  <c r="AG83" i="8"/>
  <c r="AG79" i="8"/>
  <c r="AE80" i="8"/>
  <c r="AE88" i="8"/>
  <c r="AG87" i="8"/>
  <c r="AF65" i="8"/>
  <c r="AF40" i="8"/>
  <c r="AF34" i="8"/>
  <c r="AF27" i="8"/>
  <c r="AF17" i="8"/>
  <c r="AF21" i="8" l="1"/>
  <c r="AF67" i="8"/>
  <c r="K45" i="7" l="1"/>
  <c r="J45" i="7" s="1"/>
  <c r="K44" i="7"/>
  <c r="P45" i="7"/>
  <c r="O45" i="7" s="1"/>
  <c r="U16" i="5" l="1"/>
  <c r="U15" i="5"/>
  <c r="U14" i="5"/>
  <c r="U13" i="5"/>
  <c r="V16" i="5"/>
  <c r="V15" i="5"/>
  <c r="V14" i="5"/>
  <c r="V13" i="5"/>
  <c r="U18" i="5" l="1"/>
  <c r="V18" i="5"/>
  <c r="U6" i="5" l="1"/>
  <c r="V10" i="5" l="1"/>
  <c r="V8" i="5"/>
  <c r="V6" i="5"/>
  <c r="V60" i="7" l="1"/>
  <c r="V17" i="7"/>
  <c r="V29" i="5" l="1"/>
  <c r="V25" i="5"/>
  <c r="V21" i="5"/>
  <c r="U29" i="5" l="1"/>
  <c r="W30" i="5" s="1"/>
  <c r="U25" i="5"/>
  <c r="W26" i="5" s="1"/>
  <c r="U21" i="5"/>
  <c r="W22" i="5" s="1"/>
  <c r="U106" i="2" l="1"/>
  <c r="U97" i="2" l="1"/>
  <c r="U104" i="2" l="1"/>
  <c r="U99" i="2" l="1"/>
  <c r="U105" i="2" l="1"/>
  <c r="U100" i="2" l="1"/>
  <c r="U61" i="2" l="1"/>
  <c r="T61" i="2"/>
  <c r="U60" i="2"/>
  <c r="T60" i="2"/>
  <c r="U94" i="2" l="1"/>
  <c r="U84" i="2"/>
  <c r="U71" i="2"/>
  <c r="U83" i="2" s="1"/>
  <c r="U57" i="2"/>
  <c r="U53" i="2"/>
  <c r="T96" i="2" l="1"/>
  <c r="T84" i="2"/>
  <c r="T83" i="2"/>
  <c r="T57" i="2"/>
  <c r="T53" i="2"/>
  <c r="R40" i="6"/>
  <c r="AD64" i="8" l="1"/>
  <c r="AD61" i="8"/>
  <c r="AD30" i="8"/>
  <c r="AD23" i="8"/>
  <c r="T18" i="5" l="1"/>
  <c r="T6" i="5"/>
  <c r="T16" i="5" l="1"/>
  <c r="T15" i="5"/>
  <c r="T14" i="5"/>
  <c r="T13" i="5"/>
  <c r="AD85" i="8" l="1"/>
  <c r="AD81" i="8"/>
  <c r="AD77" i="8"/>
  <c r="AD63" i="8"/>
  <c r="AD38" i="8"/>
  <c r="AD32" i="8"/>
  <c r="AD25" i="8"/>
  <c r="AD19" i="8"/>
  <c r="AF77" i="8" l="1"/>
  <c r="AF80" i="8" s="1"/>
  <c r="AD80" i="8"/>
  <c r="AD79" i="8"/>
  <c r="AE79" i="8"/>
  <c r="AF81" i="8"/>
  <c r="AF84" i="8" s="1"/>
  <c r="AD83" i="8"/>
  <c r="AD84" i="8"/>
  <c r="AE83" i="8"/>
  <c r="AF85" i="8"/>
  <c r="AF88" i="8" s="1"/>
  <c r="AD87" i="8"/>
  <c r="AD88" i="8"/>
  <c r="AE87" i="8"/>
  <c r="AF78" i="8"/>
  <c r="N44" i="7"/>
  <c r="AF82" i="8" l="1"/>
  <c r="AF86" i="8"/>
  <c r="AD101" i="8"/>
  <c r="AD100" i="8"/>
  <c r="AD99" i="8"/>
  <c r="AD65" i="8" l="1"/>
  <c r="AD34" i="8"/>
  <c r="AD27" i="8"/>
  <c r="T29" i="5" l="1"/>
  <c r="U30" i="5" s="1"/>
  <c r="T25" i="5"/>
  <c r="U26" i="5" s="1"/>
  <c r="T21" i="5"/>
  <c r="U22" i="5" s="1"/>
  <c r="N40" i="6" l="1"/>
  <c r="S106" i="2" l="1"/>
  <c r="P40" i="6" l="1"/>
  <c r="Q38" i="6" l="1"/>
  <c r="Q55" i="6"/>
  <c r="Q54" i="6"/>
  <c r="Q53" i="6"/>
  <c r="Q51" i="6"/>
  <c r="Q52" i="6"/>
  <c r="Q47" i="6"/>
  <c r="Q44" i="6"/>
  <c r="Q43" i="6"/>
  <c r="Q42" i="6"/>
  <c r="Q41" i="6"/>
  <c r="Q29" i="6"/>
  <c r="Q30" i="6"/>
  <c r="Q31" i="6"/>
  <c r="Q32" i="6"/>
  <c r="Q33" i="6"/>
  <c r="Q34" i="6"/>
  <c r="Q35" i="6"/>
  <c r="Q17" i="6"/>
  <c r="Q18" i="6"/>
  <c r="Q19" i="6"/>
  <c r="Q20" i="6"/>
  <c r="Q21" i="6"/>
  <c r="Q22" i="6"/>
  <c r="Q23" i="6"/>
  <c r="Q24" i="6"/>
  <c r="Q14" i="6"/>
  <c r="Q13" i="6"/>
  <c r="Q8" i="6"/>
  <c r="Q9" i="6"/>
  <c r="Q10" i="6"/>
  <c r="Q11" i="6"/>
  <c r="P55" i="6"/>
  <c r="P54" i="6"/>
  <c r="P53" i="6"/>
  <c r="P52" i="6"/>
  <c r="P51" i="6"/>
  <c r="P47" i="6"/>
  <c r="P44" i="6"/>
  <c r="P43" i="6"/>
  <c r="P42" i="6"/>
  <c r="P41" i="6"/>
  <c r="P38" i="6"/>
  <c r="P35" i="6"/>
  <c r="P34" i="6"/>
  <c r="P33" i="6"/>
  <c r="P32" i="6"/>
  <c r="P31" i="6"/>
  <c r="P30" i="6"/>
  <c r="P29" i="6"/>
  <c r="P24" i="6"/>
  <c r="P23" i="6"/>
  <c r="P22" i="6"/>
  <c r="P21" i="6"/>
  <c r="P20" i="6"/>
  <c r="P19" i="6"/>
  <c r="P18" i="6"/>
  <c r="P17" i="6"/>
  <c r="P14" i="6"/>
  <c r="P13" i="6"/>
  <c r="P11" i="6"/>
  <c r="P10" i="6"/>
  <c r="P9" i="6"/>
  <c r="P8" i="6"/>
  <c r="S104" i="2"/>
  <c r="S101" i="2"/>
  <c r="S99" i="2"/>
  <c r="T88" i="7" l="1"/>
  <c r="S88" i="7"/>
  <c r="P56" i="6"/>
  <c r="P58" i="6" s="1"/>
  <c r="P36" i="6"/>
  <c r="P45" i="6" s="1"/>
  <c r="P15" i="6"/>
  <c r="P25" i="6" s="1"/>
  <c r="P60" i="6" l="1"/>
  <c r="P66" i="6" s="1"/>
  <c r="R106" i="2"/>
  <c r="R105" i="2"/>
  <c r="R104" i="2"/>
  <c r="R101" i="2"/>
  <c r="R100" i="2"/>
  <c r="R99" i="2"/>
  <c r="R97" i="2"/>
  <c r="R84" i="2"/>
  <c r="R83" i="2"/>
  <c r="R70" i="2"/>
  <c r="R69" i="2"/>
  <c r="R61" i="2"/>
  <c r="R57" i="2" s="1"/>
  <c r="R60" i="2"/>
  <c r="R53" i="2" s="1"/>
  <c r="R42" i="2"/>
  <c r="R41" i="2"/>
  <c r="R36" i="2"/>
  <c r="R35" i="2"/>
  <c r="R26" i="2"/>
  <c r="R73" i="2" s="1"/>
  <c r="R85" i="2" s="1"/>
  <c r="R98" i="2" s="1"/>
  <c r="R107" i="2" s="1"/>
  <c r="R23" i="2"/>
  <c r="R20" i="2"/>
  <c r="R17" i="2"/>
  <c r="R12" i="2"/>
  <c r="R8" i="2"/>
  <c r="W10" i="2" s="1"/>
  <c r="T104" i="2" l="1"/>
  <c r="T99" i="2"/>
  <c r="T106" i="2"/>
  <c r="R82" i="2"/>
  <c r="R81" i="2"/>
  <c r="R18" i="2"/>
  <c r="R21" i="2"/>
  <c r="R92" i="2"/>
  <c r="R64" i="2"/>
  <c r="R66" i="2" s="1"/>
  <c r="R24" i="2"/>
  <c r="R27" i="2"/>
  <c r="R80" i="2"/>
  <c r="R93" i="2"/>
  <c r="R29" i="2"/>
  <c r="R13" i="2"/>
  <c r="R14" i="2" l="1"/>
  <c r="R31" i="2"/>
  <c r="R33" i="2" l="1"/>
  <c r="R39" i="2"/>
  <c r="R43" i="2" s="1"/>
  <c r="R68" i="2"/>
  <c r="R52" i="2" l="1"/>
  <c r="R54" i="2" s="1"/>
  <c r="R46" i="2"/>
  <c r="W49" i="2" s="1"/>
  <c r="R56" i="2"/>
  <c r="R58" i="2" s="1"/>
  <c r="R79" i="2"/>
  <c r="R86" i="2" s="1"/>
  <c r="R74" i="2"/>
  <c r="R87" i="2" l="1"/>
  <c r="R91" i="2"/>
  <c r="R109" i="2" s="1"/>
  <c r="R47" i="2"/>
  <c r="R75" i="2"/>
  <c r="R110" i="2" l="1"/>
  <c r="R112" i="2"/>
  <c r="AC63" i="8" l="1"/>
  <c r="AC38" i="8"/>
  <c r="AC32" i="8"/>
  <c r="AC25" i="8"/>
  <c r="AC19" i="8"/>
  <c r="S18" i="5" l="1"/>
  <c r="S6" i="5" l="1"/>
  <c r="AC64" i="8" l="1"/>
  <c r="AC39" i="8"/>
  <c r="AC33" i="8"/>
  <c r="AC26" i="8"/>
  <c r="AC61" i="8"/>
  <c r="AH62" i="8" s="1"/>
  <c r="AC36" i="8"/>
  <c r="AH37" i="8" s="1"/>
  <c r="AC30" i="8"/>
  <c r="AH31" i="8" s="1"/>
  <c r="AC23" i="8"/>
  <c r="AH24" i="8" s="1"/>
  <c r="AC27" i="8" l="1"/>
  <c r="AC34" i="8"/>
  <c r="AC20" i="8"/>
  <c r="AC108" i="8" s="1"/>
  <c r="AC65" i="8"/>
  <c r="AC40" i="8"/>
  <c r="AC17" i="8"/>
  <c r="AC107" i="8" l="1"/>
  <c r="AH18" i="8"/>
  <c r="AC21" i="8"/>
  <c r="AC67" i="8"/>
  <c r="AC86" i="8" l="1"/>
  <c r="AC78" i="8"/>
  <c r="AC82" i="8"/>
  <c r="S29" i="5" l="1"/>
  <c r="X31" i="5" s="1"/>
  <c r="S25" i="5"/>
  <c r="X27" i="5" s="1"/>
  <c r="S21" i="5"/>
  <c r="X23" i="5" s="1"/>
  <c r="S23" i="5" l="1"/>
  <c r="T22" i="5"/>
  <c r="S27" i="5"/>
  <c r="T26" i="5"/>
  <c r="S31" i="5"/>
  <c r="T30" i="5"/>
  <c r="S16" i="5"/>
  <c r="S15" i="5"/>
  <c r="S14" i="5"/>
  <c r="S13" i="5"/>
  <c r="S84" i="2" l="1"/>
  <c r="S83" i="2"/>
  <c r="Q36" i="6" l="1"/>
  <c r="Q45" i="6" l="1"/>
  <c r="Q15" i="6" l="1"/>
  <c r="Q25" i="6" s="1"/>
  <c r="F84" i="7" l="1"/>
  <c r="E84" i="7"/>
  <c r="D84" i="7"/>
  <c r="C84" i="7"/>
  <c r="B84" i="7"/>
  <c r="F72" i="7"/>
  <c r="F75" i="7" s="1"/>
  <c r="E72" i="7"/>
  <c r="E75" i="7" s="1"/>
  <c r="D72" i="7"/>
  <c r="D75" i="7" s="1"/>
  <c r="C72" i="7"/>
  <c r="C75" i="7" s="1"/>
  <c r="B72" i="7"/>
  <c r="B75" i="7" s="1"/>
  <c r="F51" i="7"/>
  <c r="F54" i="7" s="1"/>
  <c r="E51" i="7"/>
  <c r="E54" i="7" s="1"/>
  <c r="D51" i="7"/>
  <c r="D54" i="7" s="1"/>
  <c r="C51" i="7"/>
  <c r="C54" i="7" s="1"/>
  <c r="B51" i="7"/>
  <c r="B54" i="7" s="1"/>
  <c r="F39" i="7"/>
  <c r="F41" i="7" s="1"/>
  <c r="E39" i="7"/>
  <c r="E41" i="7" s="1"/>
  <c r="D39" i="7"/>
  <c r="D41" i="7" s="1"/>
  <c r="C39" i="7"/>
  <c r="C41" i="7" s="1"/>
  <c r="B39" i="7"/>
  <c r="B41" i="7" s="1"/>
  <c r="D79" i="7" l="1"/>
  <c r="E79" i="7"/>
  <c r="F79" i="7"/>
  <c r="B79" i="7"/>
  <c r="C79" i="7"/>
  <c r="U86" i="8"/>
  <c r="T86" i="8"/>
  <c r="S86" i="8"/>
  <c r="R86" i="8"/>
  <c r="AA88" i="8"/>
  <c r="U82" i="8"/>
  <c r="T82" i="8"/>
  <c r="S82" i="8"/>
  <c r="R82" i="8"/>
  <c r="AA84" i="8"/>
  <c r="U78" i="8"/>
  <c r="T78" i="8"/>
  <c r="S78" i="8"/>
  <c r="R78" i="8"/>
  <c r="V77" i="8"/>
  <c r="AB63" i="8"/>
  <c r="V78" i="8" l="1"/>
  <c r="V82" i="8"/>
  <c r="V86" i="8"/>
  <c r="R17" i="7" l="1"/>
  <c r="S17" i="7" s="1"/>
  <c r="T17" i="7" s="1"/>
  <c r="AA63" i="8" l="1"/>
  <c r="Z63" i="8"/>
  <c r="Y63" i="8"/>
  <c r="X63" i="8"/>
  <c r="W63" i="8"/>
  <c r="V63" i="8"/>
  <c r="U63" i="8"/>
  <c r="T63" i="8"/>
  <c r="S63" i="8"/>
  <c r="R63" i="8"/>
  <c r="V64" i="8"/>
  <c r="T64" i="8"/>
  <c r="S64" i="8"/>
  <c r="R64" i="8"/>
  <c r="V61" i="8"/>
  <c r="T61" i="8"/>
  <c r="S61" i="8"/>
  <c r="R61" i="8"/>
  <c r="AA36" i="8"/>
  <c r="AF37" i="8" s="1"/>
  <c r="Z36" i="8"/>
  <c r="Y36" i="8"/>
  <c r="X36" i="8"/>
  <c r="AC37" i="8" s="1"/>
  <c r="W36" i="8"/>
  <c r="AA30" i="8"/>
  <c r="AF31" i="8" s="1"/>
  <c r="Z30" i="8"/>
  <c r="Y30" i="8"/>
  <c r="AD31" i="8" s="1"/>
  <c r="X30" i="8"/>
  <c r="AC31" i="8" s="1"/>
  <c r="W30" i="8"/>
  <c r="AA23" i="8"/>
  <c r="AF24" i="8" s="1"/>
  <c r="Z23" i="8"/>
  <c r="Y23" i="8"/>
  <c r="AD24" i="8" s="1"/>
  <c r="X23" i="8"/>
  <c r="AC24" i="8" s="1"/>
  <c r="W23" i="8"/>
  <c r="V19" i="8"/>
  <c r="U19" i="8"/>
  <c r="T19" i="8"/>
  <c r="S19" i="8"/>
  <c r="R19" i="8"/>
  <c r="S36" i="8"/>
  <c r="V36" i="8"/>
  <c r="U18" i="8"/>
  <c r="R100" i="8"/>
  <c r="S100" i="8"/>
  <c r="T100" i="8"/>
  <c r="U100" i="8"/>
  <c r="V100" i="8"/>
  <c r="U101" i="8"/>
  <c r="V99" i="8"/>
  <c r="U99" i="8"/>
  <c r="T99" i="8"/>
  <c r="S99" i="8"/>
  <c r="R99" i="8"/>
  <c r="V24" i="8"/>
  <c r="U24" i="8"/>
  <c r="T24" i="8"/>
  <c r="S24" i="8"/>
  <c r="R24" i="8"/>
  <c r="T18" i="8"/>
  <c r="S18" i="8"/>
  <c r="R18" i="8"/>
  <c r="U36" i="8"/>
  <c r="T36" i="8"/>
  <c r="U33" i="8"/>
  <c r="T33" i="8"/>
  <c r="R33" i="8"/>
  <c r="U30" i="8"/>
  <c r="T30" i="8"/>
  <c r="S30" i="8"/>
  <c r="R30" i="8"/>
  <c r="V26" i="8"/>
  <c r="U26" i="8"/>
  <c r="T26" i="8"/>
  <c r="S26" i="8"/>
  <c r="R26" i="8"/>
  <c r="V23" i="8"/>
  <c r="U23" i="8"/>
  <c r="T23" i="8"/>
  <c r="S23" i="8"/>
  <c r="R23" i="8"/>
  <c r="U34" i="8" l="1"/>
  <c r="U27" i="8"/>
  <c r="R27" i="8"/>
  <c r="V27" i="8"/>
  <c r="R34" i="8"/>
  <c r="T27" i="8"/>
  <c r="S27" i="8"/>
  <c r="T34" i="8"/>
  <c r="R36" i="8"/>
  <c r="S33" i="8" l="1"/>
  <c r="S34" i="8" l="1"/>
  <c r="V30" i="8"/>
  <c r="U39" i="8"/>
  <c r="V39" i="8"/>
  <c r="V18" i="8"/>
  <c r="T39" i="8"/>
  <c r="S39" i="8"/>
  <c r="S20" i="8" s="1"/>
  <c r="R39" i="8"/>
  <c r="V33" i="8" l="1"/>
  <c r="V34" i="8" s="1"/>
  <c r="U20" i="8"/>
  <c r="U40" i="8"/>
  <c r="T20" i="8"/>
  <c r="T40" i="8"/>
  <c r="S40" i="8"/>
  <c r="R20" i="8"/>
  <c r="R40" i="8"/>
  <c r="V40" i="8"/>
  <c r="V20" i="8" l="1"/>
  <c r="S17" i="8"/>
  <c r="R17" i="8"/>
  <c r="R21" i="8" s="1"/>
  <c r="V17" i="8"/>
  <c r="U17" i="8"/>
  <c r="T17" i="8"/>
  <c r="T21" i="8" s="1"/>
  <c r="S21" i="8" l="1"/>
  <c r="S67" i="8"/>
  <c r="T67" i="8"/>
  <c r="R67" i="8"/>
  <c r="V67" i="8"/>
  <c r="V21" i="8"/>
  <c r="U21" i="8"/>
  <c r="AA37" i="8" l="1"/>
  <c r="Z37" i="8"/>
  <c r="Y37" i="8"/>
  <c r="X37" i="8"/>
  <c r="W37" i="8"/>
  <c r="AA31" i="8"/>
  <c r="Z31" i="8"/>
  <c r="Y31" i="8"/>
  <c r="X31" i="8"/>
  <c r="W31" i="8"/>
  <c r="AA24" i="8"/>
  <c r="Z24" i="8"/>
  <c r="Y24" i="8"/>
  <c r="X24" i="8"/>
  <c r="W24" i="8"/>
  <c r="AA18" i="8"/>
  <c r="Z18" i="8"/>
  <c r="Y18" i="8"/>
  <c r="X18" i="8"/>
  <c r="W18" i="8"/>
  <c r="R16" i="5" l="1"/>
  <c r="R15" i="5"/>
  <c r="R14" i="5"/>
  <c r="R13" i="5"/>
  <c r="AA19" i="8" l="1"/>
  <c r="Z19" i="8"/>
  <c r="Y19" i="8"/>
  <c r="X19" i="8"/>
  <c r="W19" i="8"/>
  <c r="X101" i="8" l="1"/>
  <c r="W101" i="8"/>
  <c r="X100" i="8"/>
  <c r="W100" i="8"/>
  <c r="X99" i="8"/>
  <c r="W99" i="8"/>
  <c r="X64" i="8" l="1"/>
  <c r="W64" i="8"/>
  <c r="X61" i="8"/>
  <c r="AC62" i="8" s="1"/>
  <c r="W61" i="8"/>
  <c r="AB38" i="8" l="1"/>
  <c r="AB32" i="8"/>
  <c r="AB25" i="8"/>
  <c r="AB19" i="8"/>
  <c r="N20" i="8" l="1"/>
  <c r="M20" i="8"/>
  <c r="N17" i="8"/>
  <c r="M17" i="8"/>
  <c r="Y17" i="8" l="1"/>
  <c r="X26" i="8" l="1"/>
  <c r="Z26" i="8"/>
  <c r="W26" i="8"/>
  <c r="Y26" i="8"/>
  <c r="Z17" i="8" l="1"/>
  <c r="W17" i="8"/>
  <c r="X17" i="8"/>
  <c r="AC18" i="8" s="1"/>
  <c r="Z33" i="8"/>
  <c r="W27" i="8"/>
  <c r="X33" i="8"/>
  <c r="X39" i="8"/>
  <c r="Y33" i="8"/>
  <c r="Z39" i="8"/>
  <c r="Y39" i="8"/>
  <c r="W39" i="8"/>
  <c r="Y27" i="8"/>
  <c r="W33" i="8"/>
  <c r="Z27" i="8"/>
  <c r="X27" i="8"/>
  <c r="AA26" i="8"/>
  <c r="W20" i="8" l="1"/>
  <c r="W67" i="8"/>
  <c r="Z20" i="8"/>
  <c r="X20" i="8"/>
  <c r="Y20" i="8"/>
  <c r="AA17" i="8"/>
  <c r="AF18" i="8" s="1"/>
  <c r="AA27" i="8"/>
  <c r="AA39" i="8"/>
  <c r="AA33" i="8"/>
  <c r="W86" i="8" l="1"/>
  <c r="W78" i="8"/>
  <c r="W82" i="8"/>
  <c r="AA20" i="8"/>
  <c r="X67" i="8"/>
  <c r="AA34" i="8"/>
  <c r="Z34" i="8"/>
  <c r="Y34" i="8"/>
  <c r="X34" i="8"/>
  <c r="AA40" i="8"/>
  <c r="Z40" i="8"/>
  <c r="Y40" i="8"/>
  <c r="X40" i="8"/>
  <c r="AB39" i="8"/>
  <c r="AE39" i="8" s="1"/>
  <c r="AB36" i="8"/>
  <c r="AG37" i="8" s="1"/>
  <c r="AB64" i="8"/>
  <c r="AB61" i="8"/>
  <c r="AG62" i="8" s="1"/>
  <c r="AB33" i="8"/>
  <c r="AB30" i="8"/>
  <c r="AG31" i="8" s="1"/>
  <c r="AB26" i="8"/>
  <c r="AB23" i="8"/>
  <c r="AG24" i="8" s="1"/>
  <c r="AE26" i="8" l="1"/>
  <c r="AE30" i="8"/>
  <c r="AE33" i="8"/>
  <c r="AE64" i="8"/>
  <c r="AE65" i="8" s="1"/>
  <c r="AE23" i="8"/>
  <c r="X86" i="8"/>
  <c r="X78" i="8"/>
  <c r="X82" i="8"/>
  <c r="AB20" i="8"/>
  <c r="AB17" i="8"/>
  <c r="AG18" i="8" s="1"/>
  <c r="Z21" i="8"/>
  <c r="AB40" i="8"/>
  <c r="AB31" i="8"/>
  <c r="AA21" i="8"/>
  <c r="Y21" i="8"/>
  <c r="W40" i="8"/>
  <c r="X21" i="8"/>
  <c r="W34" i="8"/>
  <c r="AB24" i="8"/>
  <c r="AB37" i="8"/>
  <c r="AB34" i="8"/>
  <c r="AB27" i="8"/>
  <c r="AB65" i="8"/>
  <c r="AB62" i="8"/>
  <c r="AE31" i="8" l="1"/>
  <c r="AB67" i="8"/>
  <c r="AB78" i="8" s="1"/>
  <c r="AE20" i="8"/>
  <c r="AE27" i="8"/>
  <c r="AE24" i="8"/>
  <c r="AE34" i="8"/>
  <c r="W21" i="8"/>
  <c r="AB82" i="8" l="1"/>
  <c r="AB86" i="8"/>
  <c r="AB18" i="8"/>
  <c r="AB21" i="8"/>
  <c r="R18" i="5" l="1"/>
  <c r="R6" i="5"/>
  <c r="Q100" i="2" l="1"/>
  <c r="R29" i="5" l="1"/>
  <c r="W31" i="5" s="1"/>
  <c r="R25" i="5"/>
  <c r="W27" i="5" s="1"/>
  <c r="R21" i="5"/>
  <c r="W23" i="5" s="1"/>
  <c r="R23" i="5" l="1"/>
  <c r="S22" i="5"/>
  <c r="R27" i="5"/>
  <c r="S26" i="5"/>
  <c r="R31" i="5"/>
  <c r="S30" i="5"/>
  <c r="R60" i="7"/>
  <c r="S60" i="7" l="1"/>
  <c r="T60" i="7" s="1"/>
  <c r="L8" i="6"/>
  <c r="Q84" i="2"/>
  <c r="Q83" i="2"/>
  <c r="O52" i="6" l="1"/>
  <c r="O21" i="6" l="1"/>
  <c r="Q93" i="2" l="1"/>
  <c r="Q81" i="2"/>
  <c r="Q42" i="2" l="1"/>
  <c r="Q41" i="2" l="1"/>
  <c r="Q36" i="2"/>
  <c r="Q26" i="2"/>
  <c r="Q8" i="2"/>
  <c r="O40" i="6"/>
  <c r="AB107" i="8" l="1"/>
  <c r="R9" i="2"/>
  <c r="Q17" i="2"/>
  <c r="Q35" i="2"/>
  <c r="Q20" i="2"/>
  <c r="Q64" i="2"/>
  <c r="Q66" i="2" s="1"/>
  <c r="Q23" i="2"/>
  <c r="Q12" i="2"/>
  <c r="Q73" i="2"/>
  <c r="Q27" i="2"/>
  <c r="O55" i="6"/>
  <c r="O51" i="6"/>
  <c r="O47" i="6"/>
  <c r="O44" i="6"/>
  <c r="O43" i="6"/>
  <c r="O38" i="6"/>
  <c r="O22" i="6"/>
  <c r="O32" i="6"/>
  <c r="O31" i="6"/>
  <c r="O30" i="6"/>
  <c r="O29" i="6"/>
  <c r="O24" i="6"/>
  <c r="O23" i="6"/>
  <c r="O19" i="6"/>
  <c r="O18" i="6"/>
  <c r="O17" i="6"/>
  <c r="Q21" i="2" l="1"/>
  <c r="Q13" i="2"/>
  <c r="AB108" i="8" s="1"/>
  <c r="Q85" i="2"/>
  <c r="Q98" i="2" s="1"/>
  <c r="Q107" i="2" s="1"/>
  <c r="Q80" i="2"/>
  <c r="Q24" i="2"/>
  <c r="O11" i="6"/>
  <c r="Q29" i="2"/>
  <c r="Q18" i="2"/>
  <c r="O14" i="6"/>
  <c r="O34" i="6"/>
  <c r="O33" i="6"/>
  <c r="O10" i="6"/>
  <c r="O9" i="6"/>
  <c r="O8" i="6"/>
  <c r="Q31" i="2" l="1"/>
  <c r="R32" i="2" s="1"/>
  <c r="Q14" i="2"/>
  <c r="R88" i="7"/>
  <c r="Q39" i="2" l="1"/>
  <c r="Q43" i="2" s="1"/>
  <c r="Q46" i="2" s="1"/>
  <c r="Q68" i="2"/>
  <c r="Q79" i="2" s="1"/>
  <c r="Q33" i="2"/>
  <c r="R48" i="2" l="1"/>
  <c r="Q91" i="2"/>
  <c r="Q47" i="2"/>
  <c r="Q70" i="2" l="1"/>
  <c r="Q92" i="2" l="1"/>
  <c r="Q82" i="2"/>
  <c r="Q86" i="2" s="1"/>
  <c r="Q74" i="2"/>
  <c r="R76" i="2" l="1"/>
  <c r="R88" i="2"/>
  <c r="Q75" i="2"/>
  <c r="Q87" i="2"/>
  <c r="R8" i="7" l="1"/>
  <c r="S8" i="7" l="1"/>
  <c r="T8" i="7" s="1"/>
  <c r="O42" i="6"/>
  <c r="O20" i="6"/>
  <c r="O35" i="6" l="1"/>
  <c r="O36" i="6" s="1"/>
  <c r="O41" i="6" l="1"/>
  <c r="O45" i="6" s="1"/>
  <c r="O13" i="6" l="1"/>
  <c r="O15" i="6" s="1"/>
  <c r="O25" i="6" s="1"/>
  <c r="P13" i="7" l="1"/>
  <c r="Q10" i="5" l="1"/>
  <c r="P107" i="2" l="1"/>
  <c r="P101" i="2" l="1"/>
  <c r="P6" i="5" l="1"/>
  <c r="Q18" i="5" l="1"/>
  <c r="P18" i="5"/>
  <c r="Q27" i="7" l="1"/>
  <c r="Q24" i="7"/>
  <c r="Q22" i="7"/>
  <c r="Q18" i="7"/>
  <c r="Q16" i="7"/>
  <c r="P13" i="5" l="1"/>
  <c r="P14" i="5"/>
  <c r="P15" i="5"/>
  <c r="P16" i="5"/>
  <c r="Q13" i="5" l="1"/>
  <c r="Q16" i="5"/>
  <c r="Q15" i="5"/>
  <c r="Q14" i="5"/>
  <c r="Q6" i="5" l="1"/>
  <c r="Q64" i="8" l="1"/>
  <c r="AA64" i="8" s="1"/>
  <c r="Q61" i="8"/>
  <c r="AA61" i="8" s="1"/>
  <c r="Q57" i="8"/>
  <c r="Q54" i="8"/>
  <c r="Q51" i="8"/>
  <c r="Q48" i="8"/>
  <c r="Q45" i="8"/>
  <c r="Q42" i="8"/>
  <c r="Q33" i="8"/>
  <c r="Q30" i="8"/>
  <c r="Q26" i="8"/>
  <c r="Q23" i="8"/>
  <c r="P104" i="2"/>
  <c r="P96" i="2"/>
  <c r="AA67" i="8" l="1"/>
  <c r="AA78" i="8" s="1"/>
  <c r="AF62" i="8"/>
  <c r="Q17" i="8"/>
  <c r="Q20" i="8"/>
  <c r="Q65" i="8"/>
  <c r="AA65" i="8" s="1"/>
  <c r="Q46" i="8"/>
  <c r="Q27" i="8"/>
  <c r="Q58" i="8"/>
  <c r="AA82" i="8" l="1"/>
  <c r="AA86" i="8"/>
  <c r="O95" i="2"/>
  <c r="O72" i="2"/>
  <c r="O70" i="7"/>
  <c r="Q70" i="7" s="1"/>
  <c r="O69" i="7"/>
  <c r="Q69" i="7" s="1"/>
  <c r="O68" i="7"/>
  <c r="Q68" i="7" s="1"/>
  <c r="O67" i="7"/>
  <c r="Q67" i="7" s="1"/>
  <c r="O65" i="7"/>
  <c r="Q65" i="7" s="1"/>
  <c r="O64" i="7"/>
  <c r="Q64" i="7" s="1"/>
  <c r="O63" i="7"/>
  <c r="Q63" i="7" s="1"/>
  <c r="O60" i="7"/>
  <c r="Q60" i="7" s="1"/>
  <c r="O57" i="7"/>
  <c r="Q57" i="7" s="1"/>
  <c r="O46" i="7"/>
  <c r="Q46" i="7" s="1"/>
  <c r="O30" i="7"/>
  <c r="P103" i="2" l="1"/>
  <c r="P94" i="2"/>
  <c r="P84" i="2"/>
  <c r="P71" i="2"/>
  <c r="O84" i="2"/>
  <c r="O83" i="2"/>
  <c r="Q62" i="8"/>
  <c r="AA62" i="8" s="1"/>
  <c r="Q43" i="8"/>
  <c r="Q55" i="8"/>
  <c r="Q52" i="8"/>
  <c r="Q49" i="8"/>
  <c r="Q34" i="8"/>
  <c r="Q31" i="8"/>
  <c r="Q24" i="8"/>
  <c r="P29" i="5"/>
  <c r="Q29" i="5"/>
  <c r="V31" i="5" s="1"/>
  <c r="Q25" i="5"/>
  <c r="V27" i="5" s="1"/>
  <c r="P25" i="5"/>
  <c r="Q21" i="5"/>
  <c r="V23" i="5" s="1"/>
  <c r="P21" i="5"/>
  <c r="Q8" i="5"/>
  <c r="R30" i="5" l="1"/>
  <c r="U31" i="5"/>
  <c r="R22" i="5"/>
  <c r="U23" i="5"/>
  <c r="R26" i="5"/>
  <c r="U27" i="5"/>
  <c r="P83" i="2"/>
  <c r="Q67" i="8"/>
  <c r="Q21" i="8"/>
  <c r="Q96" i="8" l="1"/>
  <c r="Q94" i="8"/>
  <c r="Q92" i="8"/>
  <c r="Q90" i="8"/>
  <c r="P31" i="5" l="1"/>
  <c r="P27" i="5"/>
  <c r="P23" i="5"/>
  <c r="O18" i="5" l="1"/>
  <c r="O6" i="5" l="1"/>
  <c r="O13" i="5" l="1"/>
  <c r="O14" i="5"/>
  <c r="O15" i="5"/>
  <c r="O16" i="5"/>
  <c r="N96" i="2" l="1"/>
  <c r="O96" i="2" l="1"/>
  <c r="N104" i="2"/>
  <c r="O104" i="2" l="1"/>
  <c r="N107" i="2"/>
  <c r="N106" i="2"/>
  <c r="N105" i="2"/>
  <c r="N101" i="2"/>
  <c r="N100" i="2"/>
  <c r="N97" i="2"/>
  <c r="O29" i="5" l="1"/>
  <c r="O25" i="5"/>
  <c r="O21" i="5"/>
  <c r="P22" i="5" l="1"/>
  <c r="T23" i="5"/>
  <c r="P26" i="5"/>
  <c r="T27" i="5"/>
  <c r="P30" i="5"/>
  <c r="T31" i="5"/>
  <c r="M8" i="7"/>
  <c r="O100" i="8" l="1"/>
  <c r="Y100" i="8" s="1"/>
  <c r="O101" i="8"/>
  <c r="Y101" i="8" s="1"/>
  <c r="O99" i="8"/>
  <c r="Y99" i="8" s="1"/>
  <c r="O64" i="8"/>
  <c r="O61" i="8"/>
  <c r="O57" i="8"/>
  <c r="P57" i="8" s="1"/>
  <c r="O54" i="8"/>
  <c r="P54" i="8" s="1"/>
  <c r="O51" i="8"/>
  <c r="P51" i="8" s="1"/>
  <c r="O48" i="8"/>
  <c r="P48" i="8" s="1"/>
  <c r="O45" i="8"/>
  <c r="P45" i="8" s="1"/>
  <c r="O42" i="8"/>
  <c r="P42" i="8" s="1"/>
  <c r="O33" i="8"/>
  <c r="P33" i="8" s="1"/>
  <c r="O30" i="8"/>
  <c r="P30" i="8" s="1"/>
  <c r="O26" i="8"/>
  <c r="O23" i="8"/>
  <c r="P61" i="8" l="1"/>
  <c r="Z61" i="8" s="1"/>
  <c r="Y61" i="8"/>
  <c r="P64" i="8"/>
  <c r="Z64" i="8" s="1"/>
  <c r="Y64" i="8"/>
  <c r="P23" i="8"/>
  <c r="P17" i="8" s="1"/>
  <c r="O17" i="8"/>
  <c r="P26" i="8"/>
  <c r="P20" i="8" s="1"/>
  <c r="O20" i="8"/>
  <c r="P46" i="8"/>
  <c r="P58" i="8"/>
  <c r="P52" i="8"/>
  <c r="P34" i="8"/>
  <c r="M8" i="2"/>
  <c r="R10" i="2" s="1"/>
  <c r="M12" i="2"/>
  <c r="M17" i="2"/>
  <c r="M20" i="2"/>
  <c r="M23" i="2"/>
  <c r="M26" i="2"/>
  <c r="M35" i="2"/>
  <c r="M36" i="2"/>
  <c r="N84" i="2"/>
  <c r="N83" i="2"/>
  <c r="P67" i="8" l="1"/>
  <c r="P96" i="8" s="1"/>
  <c r="Z67" i="8"/>
  <c r="Z78" i="8" s="1"/>
  <c r="AE62" i="8"/>
  <c r="Y67" i="8"/>
  <c r="Y86" i="8" s="1"/>
  <c r="AD62" i="8"/>
  <c r="Z86" i="8"/>
  <c r="P65" i="8"/>
  <c r="Z65" i="8" s="1"/>
  <c r="P27" i="8"/>
  <c r="P21" i="8"/>
  <c r="M77" i="7"/>
  <c r="M71" i="7"/>
  <c r="M66" i="7"/>
  <c r="M62" i="7"/>
  <c r="M61" i="7"/>
  <c r="M59" i="7"/>
  <c r="M58" i="7"/>
  <c r="M50" i="7"/>
  <c r="M49" i="7"/>
  <c r="M48" i="7"/>
  <c r="M47" i="7"/>
  <c r="M44" i="7"/>
  <c r="M38" i="7"/>
  <c r="M37" i="7"/>
  <c r="M36" i="7"/>
  <c r="M35" i="7"/>
  <c r="M34" i="7"/>
  <c r="M33" i="7"/>
  <c r="M32" i="7"/>
  <c r="M31" i="7"/>
  <c r="M28" i="7"/>
  <c r="Q26" i="7"/>
  <c r="M25" i="7"/>
  <c r="M23" i="7"/>
  <c r="M21" i="7"/>
  <c r="M20" i="7"/>
  <c r="M19" i="7"/>
  <c r="M15" i="7"/>
  <c r="M14" i="7"/>
  <c r="M13" i="7"/>
  <c r="M11" i="7"/>
  <c r="L57" i="6"/>
  <c r="L55" i="6"/>
  <c r="L54" i="6"/>
  <c r="L53" i="6"/>
  <c r="L52" i="6"/>
  <c r="L51" i="6"/>
  <c r="L47" i="6"/>
  <c r="L44" i="6"/>
  <c r="L43" i="6"/>
  <c r="L42" i="6"/>
  <c r="L41" i="6"/>
  <c r="L40" i="6"/>
  <c r="L38" i="6"/>
  <c r="L35" i="6"/>
  <c r="L34" i="6"/>
  <c r="L33" i="6"/>
  <c r="L32" i="6"/>
  <c r="L31" i="6"/>
  <c r="L30" i="6"/>
  <c r="L29" i="6"/>
  <c r="L24" i="6"/>
  <c r="L23" i="6"/>
  <c r="L22" i="6"/>
  <c r="L21" i="6"/>
  <c r="L20" i="6"/>
  <c r="L19" i="6"/>
  <c r="L18" i="6"/>
  <c r="L17" i="6"/>
  <c r="L14" i="6"/>
  <c r="L13" i="6"/>
  <c r="L11" i="6"/>
  <c r="L10" i="6"/>
  <c r="L9" i="6"/>
  <c r="M107" i="2"/>
  <c r="M106" i="2"/>
  <c r="M105" i="2"/>
  <c r="M101" i="2"/>
  <c r="M100" i="2"/>
  <c r="M97" i="2"/>
  <c r="M84" i="2"/>
  <c r="M83" i="2"/>
  <c r="M73" i="2"/>
  <c r="M70" i="2"/>
  <c r="M69" i="2"/>
  <c r="M61" i="2"/>
  <c r="M57" i="2" s="1"/>
  <c r="M60" i="2"/>
  <c r="M53" i="2" s="1"/>
  <c r="M42" i="2"/>
  <c r="M41" i="2"/>
  <c r="M27" i="2"/>
  <c r="M21" i="2"/>
  <c r="M18" i="2"/>
  <c r="M64" i="2"/>
  <c r="M66" i="2" s="1"/>
  <c r="Z82" i="8" l="1"/>
  <c r="Y82" i="8"/>
  <c r="Y78" i="8"/>
  <c r="M93" i="2"/>
  <c r="M82" i="2"/>
  <c r="M85" i="2"/>
  <c r="M98" i="2" s="1"/>
  <c r="P94" i="8"/>
  <c r="P92" i="8"/>
  <c r="P90" i="8"/>
  <c r="M80" i="2"/>
  <c r="M81" i="2"/>
  <c r="M88" i="7"/>
  <c r="M72" i="7"/>
  <c r="L15" i="6"/>
  <c r="L25" i="6" s="1"/>
  <c r="M51" i="7"/>
  <c r="M54" i="7" s="1"/>
  <c r="M39" i="7"/>
  <c r="M41" i="7" s="1"/>
  <c r="L56" i="6"/>
  <c r="L58" i="6" s="1"/>
  <c r="L36" i="6"/>
  <c r="L45" i="6" s="1"/>
  <c r="M24" i="2"/>
  <c r="M92" i="2"/>
  <c r="M10" i="2"/>
  <c r="M13" i="2"/>
  <c r="X108" i="8" s="1"/>
  <c r="M29" i="2"/>
  <c r="M75" i="7" l="1"/>
  <c r="M79" i="7" s="1"/>
  <c r="L60" i="6"/>
  <c r="L66" i="6" s="1"/>
  <c r="M31" i="2"/>
  <c r="M14" i="2"/>
  <c r="M68" i="2" l="1"/>
  <c r="M39" i="2"/>
  <c r="M33" i="2"/>
  <c r="M43" i="2" l="1"/>
  <c r="M56" i="2" s="1"/>
  <c r="M58" i="2" s="1"/>
  <c r="M79" i="2"/>
  <c r="M86" i="2" s="1"/>
  <c r="R89" i="2" s="1"/>
  <c r="M74" i="2"/>
  <c r="R77" i="2" s="1"/>
  <c r="M46" i="2" l="1"/>
  <c r="R49" i="2" s="1"/>
  <c r="M52" i="2"/>
  <c r="M54" i="2" s="1"/>
  <c r="M75" i="2"/>
  <c r="M87" i="2"/>
  <c r="M47" i="2" l="1"/>
  <c r="M91" i="2"/>
  <c r="M109" i="2" s="1"/>
  <c r="M112" i="2" s="1"/>
  <c r="R114" i="2" l="1"/>
  <c r="M110" i="2"/>
  <c r="O58" i="8" l="1"/>
  <c r="O55" i="8"/>
  <c r="O52" i="8"/>
  <c r="O43" i="8"/>
  <c r="O34" i="8"/>
  <c r="O31" i="8"/>
  <c r="O27" i="8"/>
  <c r="O24" i="8"/>
  <c r="O46" i="8" l="1"/>
  <c r="O49" i="8"/>
  <c r="O62" i="8"/>
  <c r="Y62" i="8" s="1"/>
  <c r="O65" i="8"/>
  <c r="Y65" i="8" s="1"/>
  <c r="O22" i="5"/>
  <c r="O31" i="5"/>
  <c r="O26" i="5"/>
  <c r="O67" i="8" l="1"/>
  <c r="O21" i="8"/>
  <c r="O27" i="5"/>
  <c r="O30" i="5"/>
  <c r="O23" i="5"/>
  <c r="O90" i="8" l="1"/>
  <c r="O96" i="8"/>
  <c r="O94" i="8"/>
  <c r="O92" i="8"/>
  <c r="L39" i="7"/>
  <c r="K39" i="7"/>
  <c r="I39" i="7"/>
  <c r="H17" i="2" l="1"/>
  <c r="N62" i="8"/>
  <c r="X62" i="8" s="1"/>
  <c r="N55" i="8"/>
  <c r="N49" i="8"/>
  <c r="N43" i="8"/>
  <c r="N31" i="8"/>
  <c r="N30" i="5"/>
  <c r="N26" i="5"/>
  <c r="N22" i="5"/>
  <c r="N34" i="8"/>
  <c r="N31" i="5"/>
  <c r="N27" i="5"/>
  <c r="N23" i="5"/>
  <c r="L26" i="2"/>
  <c r="L101" i="2"/>
  <c r="L105" i="2"/>
  <c r="L97" i="2"/>
  <c r="L83" i="2"/>
  <c r="L84" i="2"/>
  <c r="L35" i="2"/>
  <c r="L42" i="2"/>
  <c r="L41" i="2"/>
  <c r="L36" i="2"/>
  <c r="L23" i="2"/>
  <c r="L20" i="2"/>
  <c r="L17" i="2"/>
  <c r="L12" i="2"/>
  <c r="L8" i="2"/>
  <c r="K36" i="6"/>
  <c r="K45" i="6" s="1"/>
  <c r="K60" i="6" s="1"/>
  <c r="K66" i="6" s="1"/>
  <c r="L69" i="2"/>
  <c r="L93" i="2" s="1"/>
  <c r="L70" i="2"/>
  <c r="L92" i="2" s="1"/>
  <c r="M31" i="5"/>
  <c r="M27" i="5"/>
  <c r="M23" i="5"/>
  <c r="M58" i="8"/>
  <c r="M55" i="8"/>
  <c r="M46" i="8"/>
  <c r="M34" i="8"/>
  <c r="M27" i="8"/>
  <c r="M24" i="8"/>
  <c r="L72" i="7"/>
  <c r="L75" i="7" s="1"/>
  <c r="L51" i="7"/>
  <c r="L54" i="7" s="1"/>
  <c r="L88" i="7"/>
  <c r="K15" i="6"/>
  <c r="K25" i="6"/>
  <c r="M67" i="8"/>
  <c r="M43" i="8"/>
  <c r="L41" i="7"/>
  <c r="M52" i="8"/>
  <c r="M49" i="8"/>
  <c r="M62" i="8"/>
  <c r="W62" i="8" s="1"/>
  <c r="M31" i="8"/>
  <c r="M65" i="8"/>
  <c r="W65" i="8" s="1"/>
  <c r="E36" i="2"/>
  <c r="E35" i="2"/>
  <c r="C36" i="6"/>
  <c r="D36" i="6"/>
  <c r="E36" i="6"/>
  <c r="F36" i="6"/>
  <c r="G36" i="6"/>
  <c r="H36" i="6"/>
  <c r="I36" i="6"/>
  <c r="I45" i="6" s="1"/>
  <c r="K95" i="2"/>
  <c r="J95" i="2" s="1"/>
  <c r="K104" i="2"/>
  <c r="J108" i="2"/>
  <c r="J99" i="2"/>
  <c r="J13" i="7"/>
  <c r="J22" i="7"/>
  <c r="I29" i="2"/>
  <c r="H29" i="2"/>
  <c r="G29" i="2"/>
  <c r="F29" i="2"/>
  <c r="D29" i="2"/>
  <c r="C29" i="2"/>
  <c r="B29" i="2"/>
  <c r="J106" i="2"/>
  <c r="J43" i="8"/>
  <c r="K71" i="2"/>
  <c r="K83" i="2" s="1"/>
  <c r="M30" i="5"/>
  <c r="M26" i="5"/>
  <c r="M22" i="5"/>
  <c r="E17" i="2"/>
  <c r="K72" i="2"/>
  <c r="K96" i="2" s="1"/>
  <c r="J61" i="2"/>
  <c r="J57" i="2" s="1"/>
  <c r="J60" i="2"/>
  <c r="J53" i="2" s="1"/>
  <c r="J70" i="7"/>
  <c r="J69" i="7"/>
  <c r="J68" i="7"/>
  <c r="J67" i="7"/>
  <c r="J65" i="7"/>
  <c r="J64" i="7"/>
  <c r="J63" i="7"/>
  <c r="J30" i="7"/>
  <c r="J27" i="7"/>
  <c r="J24" i="7"/>
  <c r="J18" i="7"/>
  <c r="J16" i="7"/>
  <c r="J83" i="2"/>
  <c r="L95" i="8"/>
  <c r="L93" i="8"/>
  <c r="L91" i="8"/>
  <c r="L89" i="8"/>
  <c r="L81" i="8"/>
  <c r="L77" i="8"/>
  <c r="L29" i="5"/>
  <c r="Q31" i="5" s="1"/>
  <c r="L25" i="5"/>
  <c r="Q27" i="5" s="1"/>
  <c r="K22" i="5"/>
  <c r="L8" i="5"/>
  <c r="L21" i="5"/>
  <c r="Q23" i="5" s="1"/>
  <c r="K26" i="5"/>
  <c r="K30" i="5"/>
  <c r="I72" i="2"/>
  <c r="H88" i="7"/>
  <c r="G88" i="7"/>
  <c r="H19" i="7"/>
  <c r="G19" i="7"/>
  <c r="J44" i="8"/>
  <c r="J32" i="8"/>
  <c r="J25" i="8"/>
  <c r="I100" i="2"/>
  <c r="I101" i="2"/>
  <c r="J30" i="5"/>
  <c r="J26" i="5"/>
  <c r="J22" i="5"/>
  <c r="I83" i="2"/>
  <c r="I31" i="5"/>
  <c r="I27" i="5"/>
  <c r="I23" i="5"/>
  <c r="I30" i="5"/>
  <c r="I26" i="5"/>
  <c r="I22" i="5"/>
  <c r="C25" i="5"/>
  <c r="E23" i="6"/>
  <c r="D23" i="6"/>
  <c r="D25" i="6" s="1"/>
  <c r="D66" i="6" s="1"/>
  <c r="C23" i="6"/>
  <c r="F23" i="6"/>
  <c r="H96" i="2"/>
  <c r="H84" i="2"/>
  <c r="H83" i="2"/>
  <c r="E96" i="2"/>
  <c r="E104" i="2" s="1"/>
  <c r="E84" i="2"/>
  <c r="F96" i="2"/>
  <c r="F104" i="2" s="1"/>
  <c r="F84" i="2"/>
  <c r="G83" i="2"/>
  <c r="G94" i="2" s="1"/>
  <c r="G103" i="2" s="1"/>
  <c r="K103" i="2" s="1"/>
  <c r="D84" i="2"/>
  <c r="D96" i="2" s="1"/>
  <c r="D104" i="2" s="1"/>
  <c r="G53" i="2"/>
  <c r="G57" i="2"/>
  <c r="G93" i="2"/>
  <c r="G92" i="2"/>
  <c r="G64" i="2"/>
  <c r="G66" i="2" s="1"/>
  <c r="G80" i="2"/>
  <c r="C96" i="2"/>
  <c r="C104" i="2" s="1"/>
  <c r="C84" i="2"/>
  <c r="G96" i="2"/>
  <c r="G84" i="2"/>
  <c r="G21" i="2"/>
  <c r="G18" i="2"/>
  <c r="G24" i="2"/>
  <c r="G13" i="2"/>
  <c r="G82" i="2"/>
  <c r="G81" i="2"/>
  <c r="G57" i="8"/>
  <c r="E64" i="8"/>
  <c r="E65" i="8" s="1"/>
  <c r="E57" i="8"/>
  <c r="E58" i="8" s="1"/>
  <c r="E33" i="8"/>
  <c r="E34" i="8" s="1"/>
  <c r="G26" i="8"/>
  <c r="G33" i="8"/>
  <c r="G34" i="8" s="1"/>
  <c r="G45" i="8"/>
  <c r="G51" i="8"/>
  <c r="G52" i="8" s="1"/>
  <c r="E26" i="8"/>
  <c r="E45" i="8"/>
  <c r="E46" i="8" s="1"/>
  <c r="E51" i="8"/>
  <c r="E52" i="8" s="1"/>
  <c r="C57" i="8"/>
  <c r="C58" i="8" s="1"/>
  <c r="C51" i="8"/>
  <c r="C52" i="8" s="1"/>
  <c r="C45" i="8"/>
  <c r="C46" i="8" s="1"/>
  <c r="C33" i="8"/>
  <c r="C34" i="8" s="1"/>
  <c r="C26" i="8"/>
  <c r="C27" i="8" s="1"/>
  <c r="G64" i="8"/>
  <c r="G65" i="8" s="1"/>
  <c r="D64" i="8"/>
  <c r="D65" i="8" s="1"/>
  <c r="C64" i="8"/>
  <c r="C65" i="8" s="1"/>
  <c r="D20" i="8"/>
  <c r="G95" i="8"/>
  <c r="G93" i="8"/>
  <c r="G91" i="8"/>
  <c r="G89" i="8"/>
  <c r="G81" i="8"/>
  <c r="G77" i="8"/>
  <c r="F61" i="8"/>
  <c r="F54" i="8"/>
  <c r="F48" i="8"/>
  <c r="F42" i="8"/>
  <c r="F30" i="8"/>
  <c r="F23" i="8"/>
  <c r="E101" i="2"/>
  <c r="E100" i="2"/>
  <c r="E102" i="2"/>
  <c r="E95" i="2"/>
  <c r="E94" i="2"/>
  <c r="E70" i="2"/>
  <c r="E92" i="2" s="1"/>
  <c r="E69" i="2"/>
  <c r="E81" i="2" s="1"/>
  <c r="E44" i="2"/>
  <c r="E57" i="2" s="1"/>
  <c r="E42" i="2"/>
  <c r="G17" i="8"/>
  <c r="G67" i="8" s="1"/>
  <c r="E41" i="2"/>
  <c r="G10" i="2"/>
  <c r="E23" i="2"/>
  <c r="E8" i="2"/>
  <c r="E64" i="2" s="1"/>
  <c r="E66" i="2" s="1"/>
  <c r="E20" i="2"/>
  <c r="F93" i="2"/>
  <c r="F92" i="2"/>
  <c r="F82" i="2"/>
  <c r="F81" i="2"/>
  <c r="F80" i="2"/>
  <c r="F64" i="2"/>
  <c r="F66" i="2" s="1"/>
  <c r="F57" i="2"/>
  <c r="F53" i="2"/>
  <c r="F24" i="2"/>
  <c r="F21" i="2"/>
  <c r="F18" i="2"/>
  <c r="F13" i="2"/>
  <c r="H43" i="8"/>
  <c r="H49" i="8"/>
  <c r="H24" i="8"/>
  <c r="H55" i="8"/>
  <c r="H31" i="8"/>
  <c r="H62" i="8"/>
  <c r="R62" i="8" s="1"/>
  <c r="H20" i="8"/>
  <c r="H27" i="8"/>
  <c r="H58" i="8"/>
  <c r="H34" i="8"/>
  <c r="H65" i="8"/>
  <c r="R65" i="8" s="1"/>
  <c r="H46" i="8"/>
  <c r="H52" i="8"/>
  <c r="H17" i="8"/>
  <c r="G8" i="5"/>
  <c r="E17" i="8"/>
  <c r="D58" i="8"/>
  <c r="D52" i="8"/>
  <c r="D46" i="8"/>
  <c r="D34" i="8"/>
  <c r="D27" i="8"/>
  <c r="D17" i="8"/>
  <c r="D67" i="8" s="1"/>
  <c r="C17" i="8"/>
  <c r="E67" i="8"/>
  <c r="E96" i="8" s="1"/>
  <c r="D93" i="2"/>
  <c r="D92" i="2"/>
  <c r="D82" i="2"/>
  <c r="D81" i="2"/>
  <c r="D57" i="2"/>
  <c r="D53" i="2"/>
  <c r="C93" i="2"/>
  <c r="C92" i="2"/>
  <c r="C82" i="2"/>
  <c r="C81" i="2"/>
  <c r="C57" i="2"/>
  <c r="C53" i="2"/>
  <c r="B93" i="2"/>
  <c r="B92" i="2"/>
  <c r="B82" i="2"/>
  <c r="B81" i="2"/>
  <c r="B57" i="2"/>
  <c r="B53" i="2"/>
  <c r="D24" i="2"/>
  <c r="B80" i="2"/>
  <c r="C24" i="2"/>
  <c r="C18" i="2"/>
  <c r="C64" i="2"/>
  <c r="C66" i="2" s="1"/>
  <c r="D18" i="2"/>
  <c r="C80" i="2"/>
  <c r="D21" i="2"/>
  <c r="D13" i="2"/>
  <c r="D64" i="2"/>
  <c r="D66" i="2" s="1"/>
  <c r="D80" i="2"/>
  <c r="B18" i="2"/>
  <c r="B24" i="2"/>
  <c r="B64" i="2"/>
  <c r="B66" i="2" s="1"/>
  <c r="B21" i="2"/>
  <c r="C21" i="2"/>
  <c r="C13" i="2"/>
  <c r="B13" i="2"/>
  <c r="F29" i="5"/>
  <c r="K31" i="5" s="1"/>
  <c r="F25" i="5"/>
  <c r="K27" i="5" s="1"/>
  <c r="F21" i="5"/>
  <c r="H22" i="5"/>
  <c r="K23" i="5"/>
  <c r="E29" i="5"/>
  <c r="J31" i="5" s="1"/>
  <c r="E25" i="5"/>
  <c r="J27" i="5"/>
  <c r="E21" i="5"/>
  <c r="J23" i="5" s="1"/>
  <c r="D15" i="6"/>
  <c r="D45" i="6"/>
  <c r="D56" i="6"/>
  <c r="D58" i="6"/>
  <c r="C29" i="5"/>
  <c r="C21" i="5"/>
  <c r="C45" i="6"/>
  <c r="C56" i="6"/>
  <c r="C58" i="6"/>
  <c r="C60" i="6" s="1"/>
  <c r="C15" i="6"/>
  <c r="C25" i="6" s="1"/>
  <c r="C66" i="6" s="1"/>
  <c r="H31" i="5"/>
  <c r="H23" i="5"/>
  <c r="G21" i="5"/>
  <c r="L23" i="5" s="1"/>
  <c r="H27" i="5"/>
  <c r="D60" i="6"/>
  <c r="E45" i="6"/>
  <c r="E60" i="6" s="1"/>
  <c r="E15" i="6"/>
  <c r="E25" i="6"/>
  <c r="E56" i="6"/>
  <c r="E58" i="6"/>
  <c r="F45" i="6"/>
  <c r="F15" i="6"/>
  <c r="F25" i="6"/>
  <c r="F56" i="6"/>
  <c r="F58" i="6" s="1"/>
  <c r="F60" i="6" s="1"/>
  <c r="G15" i="6"/>
  <c r="G25" i="6" s="1"/>
  <c r="G45" i="6"/>
  <c r="G56" i="6"/>
  <c r="G58" i="6"/>
  <c r="G60" i="6" s="1"/>
  <c r="I55" i="8"/>
  <c r="I49" i="8"/>
  <c r="I43" i="8"/>
  <c r="I31" i="8"/>
  <c r="I62" i="8"/>
  <c r="S62" i="8" s="1"/>
  <c r="I24" i="8"/>
  <c r="I17" i="8"/>
  <c r="I52" i="8"/>
  <c r="I65" i="8"/>
  <c r="S65" i="8" s="1"/>
  <c r="I58" i="8"/>
  <c r="I27" i="8"/>
  <c r="I34" i="8"/>
  <c r="I46" i="8"/>
  <c r="I20" i="8"/>
  <c r="H15" i="6"/>
  <c r="H25" i="6"/>
  <c r="H45" i="6"/>
  <c r="H56" i="6"/>
  <c r="H58" i="6" s="1"/>
  <c r="H60" i="6" s="1"/>
  <c r="H66" i="6" s="1"/>
  <c r="G72" i="7"/>
  <c r="G75" i="7" s="1"/>
  <c r="G51" i="7"/>
  <c r="G54" i="7" s="1"/>
  <c r="H72" i="7"/>
  <c r="H75" i="7" s="1"/>
  <c r="H57" i="2"/>
  <c r="H53" i="2"/>
  <c r="H93" i="2"/>
  <c r="H81" i="2"/>
  <c r="H82" i="2"/>
  <c r="H92" i="2"/>
  <c r="H18" i="2"/>
  <c r="H80" i="2"/>
  <c r="H24" i="2"/>
  <c r="H21" i="2"/>
  <c r="H64" i="2"/>
  <c r="H66" i="2" s="1"/>
  <c r="H9" i="2"/>
  <c r="H13" i="2"/>
  <c r="S108" i="8" s="1"/>
  <c r="H10" i="2"/>
  <c r="H51" i="7"/>
  <c r="H54" i="7" s="1"/>
  <c r="I104" i="2"/>
  <c r="J49" i="8"/>
  <c r="J55" i="8"/>
  <c r="J31" i="8"/>
  <c r="J62" i="8"/>
  <c r="T62" i="8" s="1"/>
  <c r="J24" i="8"/>
  <c r="J17" i="8"/>
  <c r="J65" i="8"/>
  <c r="T65" i="8" s="1"/>
  <c r="J52" i="8"/>
  <c r="J27" i="8"/>
  <c r="J34" i="8"/>
  <c r="J58" i="8"/>
  <c r="J20" i="8"/>
  <c r="J46" i="8"/>
  <c r="I53" i="2"/>
  <c r="I57" i="2"/>
  <c r="I15" i="6"/>
  <c r="I25" i="6" s="1"/>
  <c r="I72" i="7"/>
  <c r="I75" i="7" s="1"/>
  <c r="I21" i="2"/>
  <c r="I24" i="2"/>
  <c r="I10" i="2"/>
  <c r="I64" i="2"/>
  <c r="I66" i="2" s="1"/>
  <c r="I9" i="2"/>
  <c r="I13" i="2"/>
  <c r="I18" i="2"/>
  <c r="I88" i="7"/>
  <c r="I93" i="2"/>
  <c r="I81" i="2"/>
  <c r="I80" i="2"/>
  <c r="I92" i="2"/>
  <c r="I82" i="2"/>
  <c r="I51" i="7"/>
  <c r="I54" i="7" s="1"/>
  <c r="I56" i="6"/>
  <c r="I58" i="6"/>
  <c r="I41" i="7"/>
  <c r="J57" i="7"/>
  <c r="L31" i="8"/>
  <c r="K30" i="8"/>
  <c r="L55" i="8"/>
  <c r="K54" i="8"/>
  <c r="P55" i="8" s="1"/>
  <c r="L24" i="8"/>
  <c r="K23" i="8"/>
  <c r="L17" i="8"/>
  <c r="L67" i="8" s="1"/>
  <c r="K48" i="8"/>
  <c r="P49" i="8" s="1"/>
  <c r="L49" i="8"/>
  <c r="L43" i="8"/>
  <c r="K42" i="8"/>
  <c r="P43" i="8" s="1"/>
  <c r="K61" i="8"/>
  <c r="U61" i="8" s="1"/>
  <c r="U67" i="8" s="1"/>
  <c r="L62" i="8"/>
  <c r="V62" i="8" s="1"/>
  <c r="K64" i="8"/>
  <c r="U64" i="8" s="1"/>
  <c r="L65" i="8"/>
  <c r="V65" i="8" s="1"/>
  <c r="L58" i="8"/>
  <c r="K57" i="8"/>
  <c r="K51" i="8"/>
  <c r="L52" i="8"/>
  <c r="L46" i="8"/>
  <c r="K45" i="8"/>
  <c r="K33" i="8"/>
  <c r="K34" i="8" s="1"/>
  <c r="L34" i="8"/>
  <c r="L20" i="8"/>
  <c r="K26" i="8"/>
  <c r="L27" i="8"/>
  <c r="K107" i="2"/>
  <c r="J107" i="2" s="1"/>
  <c r="J41" i="2"/>
  <c r="J35" i="2"/>
  <c r="J56" i="6"/>
  <c r="J58" i="6"/>
  <c r="J60" i="6" s="1"/>
  <c r="J66" i="6" s="1"/>
  <c r="J20" i="2"/>
  <c r="K21" i="2"/>
  <c r="K18" i="2"/>
  <c r="J17" i="2"/>
  <c r="K64" i="2"/>
  <c r="K66" i="2" s="1"/>
  <c r="K10" i="2"/>
  <c r="J8" i="2"/>
  <c r="J9" i="2" s="1"/>
  <c r="J12" i="2"/>
  <c r="K13" i="2"/>
  <c r="V108" i="8" s="1"/>
  <c r="K88" i="7"/>
  <c r="J88" i="7"/>
  <c r="J70" i="2"/>
  <c r="J92" i="2" s="1"/>
  <c r="K92" i="2"/>
  <c r="K82" i="2"/>
  <c r="J36" i="6"/>
  <c r="J45" i="6"/>
  <c r="J15" i="6"/>
  <c r="J25" i="6"/>
  <c r="J26" i="2"/>
  <c r="K27" i="2"/>
  <c r="K93" i="2"/>
  <c r="J69" i="2"/>
  <c r="J93" i="2" s="1"/>
  <c r="K81" i="2"/>
  <c r="J42" i="2"/>
  <c r="J36" i="2"/>
  <c r="J23" i="2"/>
  <c r="K24" i="2"/>
  <c r="K80" i="2"/>
  <c r="K29" i="2"/>
  <c r="J8" i="7"/>
  <c r="J77" i="7"/>
  <c r="J71" i="7"/>
  <c r="J61" i="7"/>
  <c r="J60" i="7"/>
  <c r="J62" i="7"/>
  <c r="J50" i="7"/>
  <c r="J49" i="7"/>
  <c r="J46" i="7"/>
  <c r="J15" i="7"/>
  <c r="J25" i="7"/>
  <c r="J21" i="7"/>
  <c r="J20" i="7"/>
  <c r="J14" i="7"/>
  <c r="J11" i="7"/>
  <c r="K53" i="2"/>
  <c r="K57" i="2"/>
  <c r="J19" i="7"/>
  <c r="J23" i="7"/>
  <c r="J58" i="7"/>
  <c r="J59" i="7"/>
  <c r="J33" i="7"/>
  <c r="J44" i="7"/>
  <c r="J66" i="7"/>
  <c r="K72" i="7"/>
  <c r="K75" i="7" s="1"/>
  <c r="J37" i="7"/>
  <c r="J35" i="7"/>
  <c r="J36" i="7"/>
  <c r="J34" i="7"/>
  <c r="J32" i="7"/>
  <c r="J31" i="7"/>
  <c r="K41" i="7"/>
  <c r="J47" i="7"/>
  <c r="K51" i="7"/>
  <c r="K54" i="7" s="1"/>
  <c r="K105" i="2"/>
  <c r="J105" i="2" s="1"/>
  <c r="K73" i="2"/>
  <c r="K85" i="2" s="1"/>
  <c r="K98" i="2" s="1"/>
  <c r="K97" i="2"/>
  <c r="J97" i="2" s="1"/>
  <c r="K100" i="2"/>
  <c r="K101" i="2"/>
  <c r="K56" i="6"/>
  <c r="K58" i="6"/>
  <c r="L100" i="2"/>
  <c r="J39" i="7" l="1"/>
  <c r="J41" i="7" s="1"/>
  <c r="J72" i="7"/>
  <c r="J75" i="7" s="1"/>
  <c r="J51" i="7"/>
  <c r="J54" i="7" s="1"/>
  <c r="G39" i="7"/>
  <c r="G41" i="7" s="1"/>
  <c r="G79" i="7" s="1"/>
  <c r="H39" i="7"/>
  <c r="H41" i="7" s="1"/>
  <c r="H79" i="7" s="1"/>
  <c r="G25" i="5"/>
  <c r="L27" i="5" s="1"/>
  <c r="H26" i="5"/>
  <c r="H30" i="5"/>
  <c r="G29" i="5"/>
  <c r="L31" i="5" s="1"/>
  <c r="K79" i="7"/>
  <c r="F66" i="6"/>
  <c r="E66" i="6"/>
  <c r="I60" i="6"/>
  <c r="I66" i="6" s="1"/>
  <c r="G66" i="6"/>
  <c r="J101" i="2"/>
  <c r="E53" i="2"/>
  <c r="J24" i="2"/>
  <c r="J13" i="2"/>
  <c r="U108" i="8" s="1"/>
  <c r="E80" i="2"/>
  <c r="J18" i="2"/>
  <c r="E93" i="2"/>
  <c r="J27" i="2"/>
  <c r="J21" i="2"/>
  <c r="E24" i="2"/>
  <c r="G31" i="2"/>
  <c r="G39" i="2" s="1"/>
  <c r="G43" i="2" s="1"/>
  <c r="G14" i="2"/>
  <c r="R108" i="8"/>
  <c r="I14" i="2"/>
  <c r="T108" i="8"/>
  <c r="H21" i="8"/>
  <c r="L21" i="8"/>
  <c r="K62" i="8"/>
  <c r="U62" i="8" s="1"/>
  <c r="F45" i="8"/>
  <c r="F46" i="8" s="1"/>
  <c r="D21" i="8"/>
  <c r="G46" i="8"/>
  <c r="E90" i="8"/>
  <c r="K52" i="8"/>
  <c r="K58" i="8"/>
  <c r="E78" i="8"/>
  <c r="I21" i="8"/>
  <c r="F57" i="8"/>
  <c r="F58" i="8" s="1"/>
  <c r="F51" i="8"/>
  <c r="F52" i="8" s="1"/>
  <c r="K55" i="8"/>
  <c r="E20" i="8"/>
  <c r="E21" i="8" s="1"/>
  <c r="F26" i="8"/>
  <c r="F27" i="8" s="1"/>
  <c r="K20" i="8"/>
  <c r="G58" i="8"/>
  <c r="G20" i="8"/>
  <c r="G108" i="8" s="1"/>
  <c r="K46" i="8"/>
  <c r="P24" i="8"/>
  <c r="K65" i="8"/>
  <c r="U65" i="8" s="1"/>
  <c r="K43" i="8"/>
  <c r="J21" i="8"/>
  <c r="I108" i="8"/>
  <c r="E92" i="8"/>
  <c r="G27" i="8"/>
  <c r="F64" i="8"/>
  <c r="F65" i="8" s="1"/>
  <c r="D96" i="8"/>
  <c r="D78" i="8"/>
  <c r="D94" i="8"/>
  <c r="P62" i="8"/>
  <c r="Z62" i="8" s="1"/>
  <c r="Q18" i="8"/>
  <c r="F17" i="8"/>
  <c r="F33" i="8"/>
  <c r="F34" i="8" s="1"/>
  <c r="O18" i="8"/>
  <c r="I18" i="8"/>
  <c r="C20" i="8"/>
  <c r="C21" i="8" s="1"/>
  <c r="K27" i="8"/>
  <c r="L18" i="8"/>
  <c r="K49" i="8"/>
  <c r="J67" i="8"/>
  <c r="E94" i="8"/>
  <c r="L96" i="8"/>
  <c r="P31" i="8"/>
  <c r="J18" i="8"/>
  <c r="E82" i="8"/>
  <c r="H18" i="8"/>
  <c r="E27" i="8"/>
  <c r="H67" i="8"/>
  <c r="G90" i="8"/>
  <c r="G96" i="8"/>
  <c r="G94" i="8"/>
  <c r="G78" i="8"/>
  <c r="G82" i="8"/>
  <c r="G92" i="8"/>
  <c r="D90" i="8"/>
  <c r="L90" i="8"/>
  <c r="D92" i="8"/>
  <c r="C67" i="8"/>
  <c r="K17" i="8"/>
  <c r="L92" i="8"/>
  <c r="I67" i="8"/>
  <c r="L108" i="8"/>
  <c r="K24" i="8"/>
  <c r="L94" i="8"/>
  <c r="K31" i="8"/>
  <c r="D82" i="8"/>
  <c r="L9" i="2"/>
  <c r="Q10" i="2"/>
  <c r="J100" i="2"/>
  <c r="J10" i="2"/>
  <c r="H14" i="2"/>
  <c r="J81" i="2"/>
  <c r="J108" i="8"/>
  <c r="C31" i="2"/>
  <c r="C68" i="2" s="1"/>
  <c r="G9" i="2"/>
  <c r="J73" i="2"/>
  <c r="J85" i="2" s="1"/>
  <c r="J98" i="2" s="1"/>
  <c r="J64" i="2"/>
  <c r="J66" i="2" s="1"/>
  <c r="J29" i="2"/>
  <c r="I31" i="2"/>
  <c r="I33" i="2" s="1"/>
  <c r="J104" i="2"/>
  <c r="H31" i="2"/>
  <c r="E82" i="2"/>
  <c r="E21" i="2"/>
  <c r="E13" i="2"/>
  <c r="E29" i="2"/>
  <c r="J80" i="2"/>
  <c r="J82" i="2"/>
  <c r="E18" i="2"/>
  <c r="C14" i="2"/>
  <c r="D108" i="8"/>
  <c r="D14" i="2"/>
  <c r="D31" i="2"/>
  <c r="B31" i="2"/>
  <c r="F14" i="2"/>
  <c r="F31" i="2"/>
  <c r="B14" i="2"/>
  <c r="K94" i="2"/>
  <c r="L73" i="2"/>
  <c r="L85" i="2" s="1"/>
  <c r="L98" i="2" s="1"/>
  <c r="L107" i="2" s="1"/>
  <c r="J72" i="2"/>
  <c r="J84" i="2" s="1"/>
  <c r="K84" i="2"/>
  <c r="I84" i="2"/>
  <c r="I96" i="2"/>
  <c r="K31" i="2"/>
  <c r="K14" i="2"/>
  <c r="L18" i="2"/>
  <c r="L21" i="2"/>
  <c r="L24" i="2"/>
  <c r="L13" i="2"/>
  <c r="W108" i="8" s="1"/>
  <c r="M9" i="2"/>
  <c r="I79" i="7"/>
  <c r="L27" i="2"/>
  <c r="L79" i="7"/>
  <c r="L64" i="2"/>
  <c r="L66" i="2" s="1"/>
  <c r="L80" i="2"/>
  <c r="L29" i="2"/>
  <c r="L82" i="2"/>
  <c r="L10" i="2"/>
  <c r="L81" i="2"/>
  <c r="N58" i="8"/>
  <c r="N65" i="8"/>
  <c r="X65" i="8" s="1"/>
  <c r="M90" i="8"/>
  <c r="M92" i="8"/>
  <c r="N52" i="8"/>
  <c r="N27" i="8"/>
  <c r="M18" i="8"/>
  <c r="M21" i="8"/>
  <c r="N46" i="8"/>
  <c r="N18" i="8"/>
  <c r="N67" i="8"/>
  <c r="M94" i="8"/>
  <c r="N24" i="8"/>
  <c r="M96" i="8"/>
  <c r="J79" i="7" l="1"/>
  <c r="G68" i="2"/>
  <c r="J31" i="2"/>
  <c r="J33" i="2" s="1"/>
  <c r="C39" i="2"/>
  <c r="C43" i="2" s="1"/>
  <c r="J14" i="2"/>
  <c r="K108" i="8"/>
  <c r="G21" i="8"/>
  <c r="H96" i="8"/>
  <c r="E108" i="8"/>
  <c r="C108" i="8"/>
  <c r="J94" i="8"/>
  <c r="J96" i="8"/>
  <c r="J90" i="8"/>
  <c r="J92" i="8"/>
  <c r="H90" i="8"/>
  <c r="F20" i="8"/>
  <c r="F21" i="8" s="1"/>
  <c r="H94" i="8"/>
  <c r="H92" i="8"/>
  <c r="F67" i="8"/>
  <c r="I94" i="8"/>
  <c r="I96" i="8"/>
  <c r="I90" i="8"/>
  <c r="I92" i="8"/>
  <c r="C96" i="8"/>
  <c r="C82" i="8"/>
  <c r="C94" i="8"/>
  <c r="C78" i="8"/>
  <c r="C92" i="8"/>
  <c r="C90" i="8"/>
  <c r="P18" i="8"/>
  <c r="K18" i="8"/>
  <c r="K67" i="8"/>
  <c r="K21" i="8"/>
  <c r="I39" i="2"/>
  <c r="I43" i="2" s="1"/>
  <c r="I46" i="2" s="1"/>
  <c r="I68" i="2"/>
  <c r="I79" i="2" s="1"/>
  <c r="I86" i="2" s="1"/>
  <c r="H33" i="2"/>
  <c r="H39" i="2"/>
  <c r="H43" i="2" s="1"/>
  <c r="H68" i="2"/>
  <c r="H32" i="2"/>
  <c r="E31" i="2"/>
  <c r="E14" i="2"/>
  <c r="I32" i="2"/>
  <c r="J32" i="2"/>
  <c r="J39" i="2"/>
  <c r="J43" i="2" s="1"/>
  <c r="J68" i="2"/>
  <c r="J79" i="2" s="1"/>
  <c r="J86" i="2" s="1"/>
  <c r="C74" i="2"/>
  <c r="C79" i="2"/>
  <c r="C86" i="2" s="1"/>
  <c r="B68" i="2"/>
  <c r="B39" i="2"/>
  <c r="B43" i="2" s="1"/>
  <c r="G56" i="2"/>
  <c r="G58" i="2" s="1"/>
  <c r="G46" i="2"/>
  <c r="G52" i="2"/>
  <c r="G54" i="2" s="1"/>
  <c r="C52" i="2"/>
  <c r="C54" i="2" s="1"/>
  <c r="C56" i="2"/>
  <c r="C58" i="2" s="1"/>
  <c r="C46" i="2"/>
  <c r="D68" i="2"/>
  <c r="D39" i="2"/>
  <c r="D43" i="2" s="1"/>
  <c r="F68" i="2"/>
  <c r="F39" i="2"/>
  <c r="F43" i="2" s="1"/>
  <c r="G79" i="2"/>
  <c r="G86" i="2" s="1"/>
  <c r="G74" i="2"/>
  <c r="J96" i="2"/>
  <c r="L14" i="2"/>
  <c r="L31" i="2"/>
  <c r="M108" i="8"/>
  <c r="K33" i="2"/>
  <c r="K68" i="2"/>
  <c r="K32" i="2"/>
  <c r="K39" i="2"/>
  <c r="K43" i="2" s="1"/>
  <c r="N92" i="8"/>
  <c r="N90" i="8"/>
  <c r="N96" i="8"/>
  <c r="N94" i="8"/>
  <c r="N21" i="8"/>
  <c r="I74" i="2" l="1"/>
  <c r="I52" i="2"/>
  <c r="I54" i="2" s="1"/>
  <c r="J74" i="2"/>
  <c r="J75" i="2" s="1"/>
  <c r="I56" i="2"/>
  <c r="I58" i="2" s="1"/>
  <c r="F108" i="8"/>
  <c r="F94" i="8"/>
  <c r="F96" i="8"/>
  <c r="F78" i="8"/>
  <c r="F82" i="8"/>
  <c r="F92" i="8"/>
  <c r="F90" i="8"/>
  <c r="K94" i="8"/>
  <c r="K96" i="8"/>
  <c r="K90" i="8"/>
  <c r="K92" i="8"/>
  <c r="E39" i="2"/>
  <c r="G32" i="2"/>
  <c r="E68" i="2"/>
  <c r="H56" i="2"/>
  <c r="H58" i="2" s="1"/>
  <c r="H46" i="2"/>
  <c r="I48" i="2" s="1"/>
  <c r="H52" i="2"/>
  <c r="H54" i="2" s="1"/>
  <c r="H74" i="2"/>
  <c r="H76" i="2" s="1"/>
  <c r="H79" i="2"/>
  <c r="H86" i="2" s="1"/>
  <c r="H89" i="2" s="1"/>
  <c r="J88" i="2"/>
  <c r="J87" i="2"/>
  <c r="D74" i="2"/>
  <c r="D79" i="2"/>
  <c r="D86" i="2" s="1"/>
  <c r="G75" i="2"/>
  <c r="F74" i="2"/>
  <c r="F79" i="2"/>
  <c r="F86" i="2" s="1"/>
  <c r="I91" i="2"/>
  <c r="I109" i="2" s="1"/>
  <c r="I47" i="2"/>
  <c r="G87" i="2"/>
  <c r="D46" i="2"/>
  <c r="I49" i="2" s="1"/>
  <c r="D52" i="2"/>
  <c r="D54" i="2" s="1"/>
  <c r="D56" i="2"/>
  <c r="D58" i="2" s="1"/>
  <c r="C47" i="2"/>
  <c r="C91" i="2"/>
  <c r="C109" i="2" s="1"/>
  <c r="B79" i="2"/>
  <c r="B86" i="2" s="1"/>
  <c r="B74" i="2"/>
  <c r="G77" i="2" s="1"/>
  <c r="J46" i="2"/>
  <c r="J52" i="2"/>
  <c r="J54" i="2" s="1"/>
  <c r="J56" i="2"/>
  <c r="J58" i="2" s="1"/>
  <c r="G47" i="2"/>
  <c r="G91" i="2"/>
  <c r="G109" i="2" s="1"/>
  <c r="B56" i="2"/>
  <c r="B58" i="2" s="1"/>
  <c r="B52" i="2"/>
  <c r="B54" i="2" s="1"/>
  <c r="B46" i="2"/>
  <c r="I87" i="2"/>
  <c r="H48" i="2"/>
  <c r="I75" i="2"/>
  <c r="F56" i="2"/>
  <c r="F58" i="2" s="1"/>
  <c r="E43" i="2"/>
  <c r="F46" i="2"/>
  <c r="F52" i="2"/>
  <c r="F54" i="2" s="1"/>
  <c r="M32" i="2"/>
  <c r="L39" i="2"/>
  <c r="L68" i="2"/>
  <c r="L79" i="2" s="1"/>
  <c r="L86" i="2" s="1"/>
  <c r="L33" i="2"/>
  <c r="L32" i="2"/>
  <c r="K52" i="2"/>
  <c r="K54" i="2" s="1"/>
  <c r="K56" i="2"/>
  <c r="K58" i="2" s="1"/>
  <c r="K46" i="2"/>
  <c r="K74" i="2"/>
  <c r="K79" i="2"/>
  <c r="K86" i="2" s="1"/>
  <c r="K80" i="7"/>
  <c r="K82" i="7" s="1"/>
  <c r="K84" i="7" s="1"/>
  <c r="K89" i="7" s="1"/>
  <c r="G80" i="7"/>
  <c r="G82" i="7" s="1"/>
  <c r="G84" i="7" s="1"/>
  <c r="I77" i="2" l="1"/>
  <c r="J76" i="2"/>
  <c r="H77" i="2"/>
  <c r="M88" i="2"/>
  <c r="Q89" i="2"/>
  <c r="E74" i="2"/>
  <c r="E79" i="2"/>
  <c r="E86" i="2" s="1"/>
  <c r="M89" i="2"/>
  <c r="H88" i="2"/>
  <c r="H87" i="2"/>
  <c r="G49" i="2"/>
  <c r="H75" i="2"/>
  <c r="M77" i="2"/>
  <c r="M49" i="2"/>
  <c r="H49" i="2"/>
  <c r="H91" i="2"/>
  <c r="H109" i="2" s="1"/>
  <c r="H47" i="2"/>
  <c r="I76" i="2"/>
  <c r="I88" i="2"/>
  <c r="I112" i="2"/>
  <c r="I110" i="2"/>
  <c r="E46" i="2"/>
  <c r="J49" i="2" s="1"/>
  <c r="E52" i="2"/>
  <c r="E54" i="2" s="1"/>
  <c r="E56" i="2"/>
  <c r="E58" i="2" s="1"/>
  <c r="F91" i="2"/>
  <c r="F109" i="2" s="1"/>
  <c r="F47" i="2"/>
  <c r="D91" i="2"/>
  <c r="D109" i="2" s="1"/>
  <c r="D47" i="2"/>
  <c r="B91" i="2"/>
  <c r="B109" i="2" s="1"/>
  <c r="B47" i="2"/>
  <c r="G112" i="2"/>
  <c r="G110" i="2"/>
  <c r="J47" i="2"/>
  <c r="J48" i="2"/>
  <c r="J91" i="2"/>
  <c r="J109" i="2" s="1"/>
  <c r="C112" i="2"/>
  <c r="G89" i="2"/>
  <c r="I89" i="2"/>
  <c r="L43" i="2"/>
  <c r="L46" i="2" s="1"/>
  <c r="L74" i="2"/>
  <c r="K75" i="2"/>
  <c r="K77" i="2"/>
  <c r="K91" i="2"/>
  <c r="K109" i="2" s="1"/>
  <c r="K49" i="2"/>
  <c r="K47" i="2"/>
  <c r="K87" i="2"/>
  <c r="K89" i="2"/>
  <c r="L87" i="2"/>
  <c r="L88" i="2"/>
  <c r="L89" i="2"/>
  <c r="H80" i="7"/>
  <c r="H82" i="7" s="1"/>
  <c r="H84" i="7" s="1"/>
  <c r="G89" i="7"/>
  <c r="Q49" i="2" l="1"/>
  <c r="M76" i="2"/>
  <c r="Q77" i="2"/>
  <c r="L77" i="2"/>
  <c r="L76" i="2"/>
  <c r="G88" i="2"/>
  <c r="J89" i="2"/>
  <c r="H112" i="2"/>
  <c r="I113" i="2" s="1"/>
  <c r="H110" i="2"/>
  <c r="J77" i="2"/>
  <c r="G76" i="2"/>
  <c r="B112" i="2"/>
  <c r="D112" i="2"/>
  <c r="F112" i="2"/>
  <c r="J112" i="2"/>
  <c r="J110" i="2"/>
  <c r="E91" i="2"/>
  <c r="E109" i="2" s="1"/>
  <c r="E47" i="2"/>
  <c r="G48" i="2"/>
  <c r="L75" i="2"/>
  <c r="M48" i="2"/>
  <c r="L48" i="2"/>
  <c r="L49" i="2"/>
  <c r="L91" i="2"/>
  <c r="L109" i="2" s="1"/>
  <c r="L47" i="2"/>
  <c r="K112" i="2"/>
  <c r="K110" i="2"/>
  <c r="H89" i="7"/>
  <c r="I80" i="7"/>
  <c r="I82" i="7" s="1"/>
  <c r="I84" i="7" s="1"/>
  <c r="M114" i="2" l="1"/>
  <c r="H113" i="2"/>
  <c r="K114" i="2"/>
  <c r="H114" i="2"/>
  <c r="G114" i="2"/>
  <c r="E112" i="2"/>
  <c r="J113" i="2"/>
  <c r="I114" i="2"/>
  <c r="L110" i="2"/>
  <c r="I89" i="7"/>
  <c r="J80" i="7"/>
  <c r="J82" i="7" s="1"/>
  <c r="P80" i="7" s="1"/>
  <c r="G113" i="2" l="1"/>
  <c r="J114" i="2"/>
  <c r="J84" i="7"/>
  <c r="J89" i="7" s="1"/>
  <c r="L80" i="7"/>
  <c r="L82" i="7" s="1"/>
  <c r="M80" i="7" s="1"/>
  <c r="M82" i="7" s="1"/>
  <c r="M84" i="7" l="1"/>
  <c r="M89" i="7" s="1"/>
  <c r="N80" i="7"/>
  <c r="L84" i="7"/>
  <c r="L89" i="7" s="1"/>
  <c r="N108" i="8" l="1"/>
  <c r="N88" i="7" l="1"/>
  <c r="M36" i="6" l="1"/>
  <c r="M45" i="6" l="1"/>
  <c r="M15" i="6" l="1"/>
  <c r="M25" i="6" s="1"/>
  <c r="N69" i="2" l="1"/>
  <c r="N93" i="2" l="1"/>
  <c r="N81" i="2"/>
  <c r="N42" i="2" l="1"/>
  <c r="N12" i="2" l="1"/>
  <c r="N41" i="2"/>
  <c r="N36" i="2"/>
  <c r="N20" i="2"/>
  <c r="N8" i="2"/>
  <c r="N23" i="2"/>
  <c r="N26" i="2"/>
  <c r="N17" i="2"/>
  <c r="N35" i="2"/>
  <c r="N21" i="2" l="1"/>
  <c r="N18" i="2"/>
  <c r="N29" i="2"/>
  <c r="N73" i="2"/>
  <c r="N27" i="2"/>
  <c r="N80" i="2"/>
  <c r="N24" i="2"/>
  <c r="N10" i="2"/>
  <c r="N13" i="2"/>
  <c r="Y108" i="8" s="1"/>
  <c r="N9" i="2"/>
  <c r="N64" i="2"/>
  <c r="N66" i="2" s="1"/>
  <c r="N85" i="2" l="1"/>
  <c r="N98" i="2" s="1"/>
  <c r="O108" i="8"/>
  <c r="N31" i="2"/>
  <c r="N14" i="2"/>
  <c r="N68" i="2" l="1"/>
  <c r="N79" i="2" s="1"/>
  <c r="N33" i="2"/>
  <c r="N39" i="2"/>
  <c r="N32" i="2"/>
  <c r="N43" i="2" l="1"/>
  <c r="N46" i="2" l="1"/>
  <c r="N60" i="2"/>
  <c r="N61" i="2"/>
  <c r="N48" i="2" l="1"/>
  <c r="N49" i="2"/>
  <c r="N47" i="2"/>
  <c r="N91" i="2"/>
  <c r="N57" i="2"/>
  <c r="N56" i="2"/>
  <c r="N53" i="2"/>
  <c r="N52" i="2"/>
  <c r="N58" i="2" l="1"/>
  <c r="N54" i="2"/>
  <c r="M56" i="6" l="1"/>
  <c r="M58" i="6" s="1"/>
  <c r="M60" i="6" s="1"/>
  <c r="M66" i="6" s="1"/>
  <c r="N72" i="7" l="1"/>
  <c r="N75" i="7" l="1"/>
  <c r="N70" i="2"/>
  <c r="N92" i="2" l="1"/>
  <c r="N109" i="2" s="1"/>
  <c r="N74" i="2"/>
  <c r="N82" i="2"/>
  <c r="N86" i="2" s="1"/>
  <c r="N89" i="2" l="1"/>
  <c r="N88" i="2"/>
  <c r="N87" i="2"/>
  <c r="N77" i="2"/>
  <c r="N75" i="2"/>
  <c r="N76" i="2"/>
  <c r="N110" i="2"/>
  <c r="N112" i="2"/>
  <c r="N114" i="2" l="1"/>
  <c r="N113" i="2"/>
  <c r="N39" i="7" l="1"/>
  <c r="N41" i="7" s="1"/>
  <c r="N51" i="7"/>
  <c r="N54" i="7" s="1"/>
  <c r="N79" i="7" l="1"/>
  <c r="N82" i="7" s="1"/>
  <c r="O80" i="7" s="1"/>
  <c r="N84" i="7" l="1"/>
  <c r="N89" i="7" s="1"/>
  <c r="Q12" i="7" l="1"/>
  <c r="O13" i="7"/>
  <c r="Q13" i="7" s="1"/>
  <c r="Q17" i="7"/>
  <c r="P106" i="2" l="1"/>
  <c r="O106" i="2" s="1"/>
  <c r="O107" i="2" l="1"/>
  <c r="O101" i="2" l="1"/>
  <c r="P97" i="2" l="1"/>
  <c r="O97" i="2" l="1"/>
  <c r="P100" i="2" l="1"/>
  <c r="O100" i="2" l="1"/>
  <c r="P105" i="2" l="1"/>
  <c r="O105" i="2" l="1"/>
  <c r="O60" i="2" l="1"/>
  <c r="P60" i="2"/>
  <c r="P61" i="2" l="1"/>
  <c r="O53" i="2"/>
  <c r="O61" i="2"/>
  <c r="P53" i="2"/>
  <c r="P57" i="2" l="1"/>
  <c r="O57" i="2"/>
  <c r="L61" i="2" l="1"/>
  <c r="L60" i="2"/>
  <c r="L57" i="2" l="1"/>
  <c r="L56" i="2"/>
  <c r="L112" i="2"/>
  <c r="L53" i="2"/>
  <c r="L52" i="2"/>
  <c r="L54" i="2" l="1"/>
  <c r="M113" i="2"/>
  <c r="M1048576" i="2" s="1"/>
  <c r="L114" i="2"/>
  <c r="L113" i="2"/>
  <c r="L58" i="2"/>
  <c r="L1048576" i="2" l="1"/>
  <c r="N1048576" i="2" s="1"/>
  <c r="N23" i="6"/>
  <c r="N35" i="6" l="1"/>
  <c r="N41" i="6"/>
  <c r="N24" i="6" l="1"/>
  <c r="P42" i="2"/>
  <c r="O42" i="2" s="1"/>
  <c r="N51" i="6" l="1"/>
  <c r="N52" i="6"/>
  <c r="N34" i="6" l="1"/>
  <c r="P69" i="2" l="1"/>
  <c r="P20" i="2" l="1"/>
  <c r="P17" i="2"/>
  <c r="P23" i="2"/>
  <c r="P8" i="2"/>
  <c r="P36" i="2"/>
  <c r="O36" i="2" s="1"/>
  <c r="P12" i="2"/>
  <c r="O12" i="2" s="1"/>
  <c r="P26" i="2"/>
  <c r="P41" i="2"/>
  <c r="O41" i="2" s="1"/>
  <c r="P35" i="2"/>
  <c r="O35" i="2" s="1"/>
  <c r="P81" i="2"/>
  <c r="P93" i="2"/>
  <c r="O69" i="2"/>
  <c r="N43" i="6" l="1"/>
  <c r="N57" i="6"/>
  <c r="O81" i="2"/>
  <c r="O93" i="2"/>
  <c r="P73" i="2"/>
  <c r="P27" i="2"/>
  <c r="O26" i="2"/>
  <c r="O17" i="2"/>
  <c r="P18" i="2"/>
  <c r="P29" i="2"/>
  <c r="N38" i="6"/>
  <c r="N55" i="6"/>
  <c r="P64" i="2"/>
  <c r="P66" i="2" s="1"/>
  <c r="O8" i="2"/>
  <c r="P13" i="2"/>
  <c r="AA108" i="8" s="1"/>
  <c r="P10" i="2"/>
  <c r="P80" i="2"/>
  <c r="P24" i="2"/>
  <c r="O23" i="2"/>
  <c r="P21" i="2"/>
  <c r="O20" i="2"/>
  <c r="O21" i="2" l="1"/>
  <c r="N47" i="6"/>
  <c r="N11" i="6"/>
  <c r="N19" i="6"/>
  <c r="N30" i="6"/>
  <c r="O29" i="2"/>
  <c r="O18" i="2"/>
  <c r="N8" i="6"/>
  <c r="N14" i="6"/>
  <c r="N21" i="6"/>
  <c r="N31" i="6"/>
  <c r="O80" i="2"/>
  <c r="O24" i="2"/>
  <c r="P31" i="2"/>
  <c r="P14" i="2"/>
  <c r="Q108" i="8"/>
  <c r="O27" i="2"/>
  <c r="N9" i="6"/>
  <c r="N17" i="6"/>
  <c r="N22" i="6"/>
  <c r="Q9" i="2"/>
  <c r="O9" i="2"/>
  <c r="O13" i="2"/>
  <c r="O10" i="2"/>
  <c r="O64" i="2"/>
  <c r="O66" i="2" s="1"/>
  <c r="N10" i="6"/>
  <c r="N18" i="6"/>
  <c r="N29" i="6"/>
  <c r="O73" i="2"/>
  <c r="P85" i="2"/>
  <c r="P98" i="2" s="1"/>
  <c r="Z108" i="8" l="1"/>
  <c r="O85" i="2"/>
  <c r="O14" i="2"/>
  <c r="P108" i="8"/>
  <c r="O31" i="2"/>
  <c r="P39" i="2"/>
  <c r="P43" i="2" s="1"/>
  <c r="P33" i="2"/>
  <c r="P32" i="2"/>
  <c r="P68" i="2"/>
  <c r="O88" i="7"/>
  <c r="P88" i="7"/>
  <c r="O98" i="2" l="1"/>
  <c r="P46" i="2"/>
  <c r="P52" i="2"/>
  <c r="P54" i="2" s="1"/>
  <c r="P56" i="2"/>
  <c r="P58" i="2" s="1"/>
  <c r="Q32" i="2"/>
  <c r="O39" i="2"/>
  <c r="O43" i="2" s="1"/>
  <c r="O32" i="2"/>
  <c r="O68" i="2"/>
  <c r="O33" i="2"/>
  <c r="P79" i="2"/>
  <c r="O46" i="2" l="1"/>
  <c r="O52" i="2"/>
  <c r="O54" i="2" s="1"/>
  <c r="O56" i="2"/>
  <c r="O58" i="2" s="1"/>
  <c r="P49" i="2"/>
  <c r="P47" i="2"/>
  <c r="P91" i="2"/>
  <c r="O79" i="2"/>
  <c r="Q48" i="2" l="1"/>
  <c r="O48" i="2"/>
  <c r="O49" i="2"/>
  <c r="O91" i="2"/>
  <c r="O47" i="2"/>
  <c r="P8" i="7" l="1"/>
  <c r="O8" i="7" s="1"/>
  <c r="Q8" i="7" s="1"/>
  <c r="P70" i="2" l="1"/>
  <c r="P82" i="2" l="1"/>
  <c r="P86" i="2" s="1"/>
  <c r="O70" i="2"/>
  <c r="P92" i="2"/>
  <c r="P109" i="2" s="1"/>
  <c r="P74" i="2"/>
  <c r="P75" i="2" l="1"/>
  <c r="P77" i="2"/>
  <c r="O92" i="2"/>
  <c r="O82" i="2"/>
  <c r="O74" i="2"/>
  <c r="P110" i="2"/>
  <c r="P112" i="2"/>
  <c r="P89" i="2"/>
  <c r="P87" i="2"/>
  <c r="P114" i="2" l="1"/>
  <c r="P1048576" i="2" s="1"/>
  <c r="Q76" i="2"/>
  <c r="O75" i="2"/>
  <c r="O77" i="2"/>
  <c r="O76" i="2"/>
  <c r="O86" i="2"/>
  <c r="O109" i="2"/>
  <c r="Q88" i="2" l="1"/>
  <c r="O87" i="2"/>
  <c r="O89" i="2"/>
  <c r="O88" i="2"/>
  <c r="O110" i="2"/>
  <c r="O112" i="2"/>
  <c r="O113" i="2" l="1"/>
  <c r="O114" i="2"/>
  <c r="O1048576" i="2" l="1"/>
  <c r="Q1048576" i="2" s="1"/>
  <c r="N42" i="6"/>
  <c r="N20" i="6" l="1"/>
  <c r="N13" i="6" l="1"/>
  <c r="N15" i="6" s="1"/>
  <c r="N25" i="6" s="1"/>
  <c r="N54" i="6" l="1"/>
  <c r="N53" i="6" l="1"/>
  <c r="N56" i="6" s="1"/>
  <c r="N58" i="6" s="1"/>
  <c r="Q105" i="2" l="1"/>
  <c r="Q101" i="2" l="1"/>
  <c r="Q109" i="2" l="1"/>
  <c r="Q110" i="2" s="1"/>
  <c r="O57" i="6" l="1"/>
  <c r="Q60" i="2" l="1"/>
  <c r="Q61" i="2"/>
  <c r="Q57" i="2" l="1"/>
  <c r="Q56" i="2"/>
  <c r="Q112" i="2"/>
  <c r="Q53" i="2"/>
  <c r="Q52" i="2"/>
  <c r="R113" i="2" l="1"/>
  <c r="Q58" i="2"/>
  <c r="Q114" i="2"/>
  <c r="Q113" i="2"/>
  <c r="Q54" i="2"/>
  <c r="O54" i="6" l="1"/>
  <c r="O53" i="6" l="1"/>
  <c r="O56" i="6" s="1"/>
  <c r="O58" i="6" s="1"/>
  <c r="O60" i="6" s="1"/>
  <c r="O66" i="6" s="1"/>
  <c r="Q56" i="6" l="1"/>
  <c r="Q58" i="6" s="1"/>
  <c r="Q60" i="6" l="1"/>
  <c r="Q66" i="6" s="1"/>
  <c r="S97" i="2"/>
  <c r="T97" i="2" s="1"/>
  <c r="S100" i="2" l="1"/>
  <c r="T100" i="2" s="1"/>
  <c r="S105" i="2" l="1"/>
  <c r="T105" i="2" l="1"/>
  <c r="P21" i="7" l="1"/>
  <c r="O21" i="7" s="1"/>
  <c r="Q21" i="7" s="1"/>
  <c r="P66" i="7" l="1"/>
  <c r="O66" i="7" s="1"/>
  <c r="Q66" i="7" s="1"/>
  <c r="P15" i="7" l="1"/>
  <c r="O15" i="7" s="1"/>
  <c r="Q15" i="7" s="1"/>
  <c r="P14" i="7" l="1"/>
  <c r="O14" i="7" s="1"/>
  <c r="Q14" i="7" s="1"/>
  <c r="P11" i="7" l="1"/>
  <c r="P31" i="7"/>
  <c r="O31" i="7" s="1"/>
  <c r="Q31" i="7" s="1"/>
  <c r="P47" i="7"/>
  <c r="O47" i="7" s="1"/>
  <c r="Q47" i="7" s="1"/>
  <c r="P58" i="7"/>
  <c r="P20" i="7"/>
  <c r="O20" i="7" s="1"/>
  <c r="Q20" i="7" s="1"/>
  <c r="P33" i="7"/>
  <c r="O33" i="7" s="1"/>
  <c r="Q33" i="7" s="1"/>
  <c r="P49" i="7"/>
  <c r="O49" i="7" s="1"/>
  <c r="Q49" i="7" s="1"/>
  <c r="P59" i="7"/>
  <c r="O59" i="7" s="1"/>
  <c r="Q59" i="7" s="1"/>
  <c r="P19" i="7"/>
  <c r="O19" i="7" s="1"/>
  <c r="Q19" i="7" s="1"/>
  <c r="P34" i="7"/>
  <c r="O34" i="7" s="1"/>
  <c r="Q34" i="7" s="1"/>
  <c r="P50" i="7"/>
  <c r="O50" i="7" s="1"/>
  <c r="Q50" i="7" s="1"/>
  <c r="P61" i="7"/>
  <c r="O61" i="7" s="1"/>
  <c r="Q61" i="7" s="1"/>
  <c r="P25" i="7"/>
  <c r="O25" i="7" s="1"/>
  <c r="Q25" i="7" s="1"/>
  <c r="P48" i="7"/>
  <c r="O48" i="7" s="1"/>
  <c r="Q48" i="7" s="1"/>
  <c r="P62" i="7"/>
  <c r="O62" i="7" s="1"/>
  <c r="Q62" i="7" s="1"/>
  <c r="P71" i="7"/>
  <c r="O71" i="7" s="1"/>
  <c r="Q71" i="7" s="1"/>
  <c r="O58" i="7" l="1"/>
  <c r="O72" i="7" s="1"/>
  <c r="O75" i="7" s="1"/>
  <c r="P72" i="7"/>
  <c r="O11" i="7"/>
  <c r="Q11" i="7" s="1"/>
  <c r="Q58" i="7" l="1"/>
  <c r="P75" i="7"/>
  <c r="Q72" i="7"/>
  <c r="P101" i="8" l="1"/>
  <c r="Z101" i="8" s="1"/>
  <c r="P99" i="8"/>
  <c r="Z99" i="8" s="1"/>
  <c r="P100" i="8"/>
  <c r="Z100" i="8" s="1"/>
  <c r="Q100" i="8" l="1"/>
  <c r="AA100" i="8" s="1"/>
  <c r="Q101" i="8"/>
  <c r="AA101" i="8" s="1"/>
  <c r="Q99" i="8"/>
  <c r="AA99" i="8" s="1"/>
  <c r="P28" i="7" l="1"/>
  <c r="O28" i="7" s="1"/>
  <c r="Q28" i="7" s="1"/>
  <c r="P38" i="7" l="1"/>
  <c r="O38" i="7" s="1"/>
  <c r="Q38" i="7" s="1"/>
  <c r="P23" i="7" l="1"/>
  <c r="O23" i="7" l="1"/>
  <c r="Q23" i="7" s="1"/>
  <c r="P35" i="7" l="1"/>
  <c r="O35" i="7" s="1"/>
  <c r="Q35" i="7" s="1"/>
  <c r="P37" i="7"/>
  <c r="O37" i="7" s="1"/>
  <c r="Q37" i="7" s="1"/>
  <c r="P36" i="7" l="1"/>
  <c r="O36" i="7" s="1"/>
  <c r="Q36" i="7" s="1"/>
  <c r="P32" i="7" l="1"/>
  <c r="O32" i="7" l="1"/>
  <c r="O39" i="7" s="1"/>
  <c r="O41" i="7" s="1"/>
  <c r="P39" i="7"/>
  <c r="Q32" i="7" l="1"/>
  <c r="P41" i="7"/>
  <c r="Q39" i="7"/>
  <c r="P77" i="7" l="1"/>
  <c r="O77" i="7" l="1"/>
  <c r="Q77" i="7" l="1"/>
  <c r="U12" i="7" l="1"/>
  <c r="U17" i="7"/>
  <c r="U60" i="7"/>
  <c r="AD36" i="8" l="1"/>
  <c r="AE36" i="8" l="1"/>
  <c r="AD17" i="8"/>
  <c r="AD37" i="8"/>
  <c r="AE37" i="8" l="1"/>
  <c r="AE40" i="8"/>
  <c r="AE17" i="8"/>
  <c r="AD67" i="8"/>
  <c r="AD18" i="8"/>
  <c r="AE21" i="8" l="1"/>
  <c r="AE67" i="8"/>
  <c r="AE18" i="8"/>
  <c r="AD82" i="8"/>
  <c r="AD86" i="8"/>
  <c r="AD78" i="8"/>
  <c r="AE82" i="8" l="1"/>
  <c r="AE78" i="8"/>
  <c r="AE86" i="8"/>
  <c r="AD20" i="8" l="1"/>
  <c r="AD40" i="8"/>
  <c r="AD21" i="8" l="1"/>
  <c r="S42" i="2" l="1"/>
  <c r="S69" i="2" l="1"/>
  <c r="S93" i="2" l="1"/>
  <c r="S81" i="2"/>
  <c r="S36" i="2" l="1"/>
  <c r="S12" i="2"/>
  <c r="S17" i="2"/>
  <c r="S20" i="2"/>
  <c r="S23" i="2"/>
  <c r="S26" i="2"/>
  <c r="S8" i="2"/>
  <c r="AD107" i="8" s="1"/>
  <c r="S73" i="2" l="1"/>
  <c r="S85" i="2" s="1"/>
  <c r="S98" i="2" s="1"/>
  <c r="S107" i="2" s="1"/>
  <c r="S27" i="2"/>
  <c r="S80" i="2"/>
  <c r="S24" i="2"/>
  <c r="S21" i="2"/>
  <c r="S41" i="2"/>
  <c r="S9" i="2"/>
  <c r="S10" i="2"/>
  <c r="S13" i="2"/>
  <c r="S64" i="2"/>
  <c r="S66" i="2" s="1"/>
  <c r="S18" i="2"/>
  <c r="S29" i="2"/>
  <c r="S35" i="2"/>
  <c r="S14" i="2" l="1"/>
  <c r="S31" i="2"/>
  <c r="AD108" i="8"/>
  <c r="S33" i="2" l="1"/>
  <c r="S32" i="2"/>
  <c r="S68" i="2"/>
  <c r="S39" i="2"/>
  <c r="S43" i="2" s="1"/>
  <c r="S79" i="2" l="1"/>
  <c r="S46" i="2"/>
  <c r="S49" i="2" l="1"/>
  <c r="S91" i="2"/>
  <c r="S47" i="2"/>
  <c r="S48" i="2"/>
  <c r="N32" i="6" l="1"/>
  <c r="N33" i="6"/>
  <c r="N36" i="6" l="1"/>
  <c r="N44" i="6"/>
  <c r="N45" i="6" l="1"/>
  <c r="N60" i="6" s="1"/>
  <c r="N66" i="6" s="1"/>
  <c r="S70" i="2"/>
  <c r="S92" i="2" l="1"/>
  <c r="S109" i="2" s="1"/>
  <c r="S82" i="2"/>
  <c r="S86" i="2" s="1"/>
  <c r="S74" i="2"/>
  <c r="S77" i="2" l="1"/>
  <c r="S75" i="2"/>
  <c r="S76" i="2"/>
  <c r="S88" i="2"/>
  <c r="S87" i="2"/>
  <c r="S89" i="2"/>
  <c r="S110" i="2"/>
  <c r="S60" i="2" l="1"/>
  <c r="S53" i="2" l="1"/>
  <c r="S52" i="2"/>
  <c r="S54" i="2" l="1"/>
  <c r="S61" i="2"/>
  <c r="S57" i="2" l="1"/>
  <c r="S56" i="2"/>
  <c r="S112" i="2"/>
  <c r="S113" i="2" l="1"/>
  <c r="S114" i="2"/>
  <c r="S58" i="2"/>
  <c r="R23" i="6" l="1"/>
  <c r="R52" i="6" l="1"/>
  <c r="R44" i="6"/>
  <c r="R43" i="6"/>
  <c r="U42" i="2" l="1"/>
  <c r="T42" i="2" s="1"/>
  <c r="R34" i="6" l="1"/>
  <c r="U69" i="2" l="1"/>
  <c r="U93" i="2" l="1"/>
  <c r="U81" i="2"/>
  <c r="T69" i="2"/>
  <c r="T93" i="2" l="1"/>
  <c r="T81" i="2"/>
  <c r="U41" i="2" l="1"/>
  <c r="T41" i="2" s="1"/>
  <c r="U35" i="2"/>
  <c r="T35" i="2" s="1"/>
  <c r="U26" i="2"/>
  <c r="U23" i="2"/>
  <c r="U20" i="2"/>
  <c r="U17" i="2"/>
  <c r="U12" i="2"/>
  <c r="T12" i="2" s="1"/>
  <c r="U8" i="2"/>
  <c r="U21" i="2" l="1"/>
  <c r="T20" i="2"/>
  <c r="U73" i="2"/>
  <c r="U85" i="2" s="1"/>
  <c r="U98" i="2" s="1"/>
  <c r="U107" i="2" s="1"/>
  <c r="U27" i="2"/>
  <c r="T26" i="2"/>
  <c r="U18" i="2"/>
  <c r="U29" i="2"/>
  <c r="T17" i="2"/>
  <c r="AF107" i="8"/>
  <c r="U13" i="2"/>
  <c r="U64" i="2"/>
  <c r="U66" i="2" s="1"/>
  <c r="U10" i="2"/>
  <c r="T8" i="2"/>
  <c r="U80" i="2"/>
  <c r="U24" i="2"/>
  <c r="T23" i="2"/>
  <c r="U36" i="2"/>
  <c r="T36" i="2" s="1"/>
  <c r="AF108" i="8" l="1"/>
  <c r="U31" i="2"/>
  <c r="U14" i="2"/>
  <c r="T21" i="2"/>
  <c r="T80" i="2"/>
  <c r="T24" i="2"/>
  <c r="T18" i="2"/>
  <c r="T29" i="2"/>
  <c r="AE107" i="8"/>
  <c r="T10" i="2"/>
  <c r="T13" i="2"/>
  <c r="T9" i="2"/>
  <c r="T64" i="2"/>
  <c r="T66" i="2" s="1"/>
  <c r="T73" i="2"/>
  <c r="T27" i="2"/>
  <c r="T85" i="2" l="1"/>
  <c r="T98" i="2" s="1"/>
  <c r="T107" i="2" s="1"/>
  <c r="T14" i="2"/>
  <c r="AE108" i="8"/>
  <c r="T31" i="2"/>
  <c r="U33" i="2"/>
  <c r="U39" i="2"/>
  <c r="U43" i="2" s="1"/>
  <c r="U68" i="2"/>
  <c r="U32" i="2"/>
  <c r="R55" i="6"/>
  <c r="R51" i="6"/>
  <c r="R47" i="6"/>
  <c r="R38" i="6"/>
  <c r="R33" i="6"/>
  <c r="T33" i="2" l="1"/>
  <c r="T39" i="2"/>
  <c r="T43" i="2" s="1"/>
  <c r="T32" i="2"/>
  <c r="T68" i="2"/>
  <c r="U79" i="2"/>
  <c r="U52" i="2"/>
  <c r="U54" i="2" s="1"/>
  <c r="U56" i="2"/>
  <c r="U58" i="2" s="1"/>
  <c r="U46" i="2"/>
  <c r="R32" i="6"/>
  <c r="R31" i="6"/>
  <c r="R30" i="6"/>
  <c r="R24" i="6"/>
  <c r="R22" i="6"/>
  <c r="R21" i="6"/>
  <c r="R19" i="6"/>
  <c r="R18" i="6"/>
  <c r="R17" i="6"/>
  <c r="R14" i="6"/>
  <c r="R11" i="6"/>
  <c r="R10" i="6"/>
  <c r="R9" i="6"/>
  <c r="R8" i="6"/>
  <c r="T79" i="2" l="1"/>
  <c r="U88" i="7"/>
  <c r="V88" i="7"/>
  <c r="T56" i="2"/>
  <c r="T52" i="2"/>
  <c r="T46" i="2"/>
  <c r="U47" i="2"/>
  <c r="U91" i="2"/>
  <c r="U49" i="2"/>
  <c r="T54" i="2" l="1"/>
  <c r="T58" i="2"/>
  <c r="T47" i="2"/>
  <c r="T48" i="2"/>
  <c r="T49" i="2"/>
  <c r="T91" i="2"/>
  <c r="U70" i="2" l="1"/>
  <c r="U92" i="2" l="1"/>
  <c r="U82" i="2"/>
  <c r="U86" i="2" s="1"/>
  <c r="T70" i="2"/>
  <c r="U74" i="2"/>
  <c r="U75" i="2" l="1"/>
  <c r="U77" i="2"/>
  <c r="T82" i="2"/>
  <c r="T86" i="2" s="1"/>
  <c r="T92" i="2"/>
  <c r="T74" i="2"/>
  <c r="U87" i="2"/>
  <c r="U89" i="2"/>
  <c r="T87" i="2" l="1"/>
  <c r="T88" i="2"/>
  <c r="T89" i="2"/>
  <c r="T75" i="2"/>
  <c r="T77" i="2"/>
  <c r="T76" i="2"/>
  <c r="V8" i="7" l="1"/>
  <c r="U8" i="7" s="1"/>
  <c r="R29" i="6" l="1"/>
  <c r="R20" i="6" l="1"/>
  <c r="R42" i="6"/>
  <c r="R13" i="6"/>
  <c r="R15" i="6" s="1"/>
  <c r="R25" i="6" l="1"/>
  <c r="R41" i="6"/>
  <c r="R35" i="6" l="1"/>
  <c r="R36" i="6" s="1"/>
  <c r="R45" i="6" s="1"/>
  <c r="R54" i="6" l="1"/>
  <c r="R53" i="6" l="1"/>
  <c r="R56" i="6" s="1"/>
  <c r="R58" i="6" s="1"/>
  <c r="R60" i="6" s="1"/>
  <c r="R66" i="6" s="1"/>
  <c r="R66" i="7" l="1"/>
  <c r="R71" i="7"/>
  <c r="R61" i="7"/>
  <c r="R59" i="7"/>
  <c r="R58" i="7"/>
  <c r="R62" i="7"/>
  <c r="R50" i="7"/>
  <c r="R49" i="7"/>
  <c r="R47" i="7"/>
  <c r="R48" i="7"/>
  <c r="R46" i="7"/>
  <c r="R34" i="7"/>
  <c r="R33" i="7"/>
  <c r="R31" i="7"/>
  <c r="R23" i="7"/>
  <c r="R15" i="7"/>
  <c r="R25" i="7"/>
  <c r="R21" i="7"/>
  <c r="R20" i="7"/>
  <c r="R14" i="7"/>
  <c r="R11" i="7"/>
  <c r="S14" i="7" l="1"/>
  <c r="T14" i="7" s="1"/>
  <c r="S21" i="7"/>
  <c r="T21" i="7" s="1"/>
  <c r="S23" i="7"/>
  <c r="T23" i="7" s="1"/>
  <c r="S46" i="7"/>
  <c r="T46" i="7" s="1"/>
  <c r="S50" i="7"/>
  <c r="T50" i="7" s="1"/>
  <c r="S61" i="7"/>
  <c r="T61" i="7" s="1"/>
  <c r="S25" i="7"/>
  <c r="T25" i="7" s="1"/>
  <c r="S48" i="7"/>
  <c r="T48" i="7" s="1"/>
  <c r="S62" i="7"/>
  <c r="T62" i="7" s="1"/>
  <c r="S71" i="7"/>
  <c r="T71" i="7" s="1"/>
  <c r="S20" i="7"/>
  <c r="T20" i="7" s="1"/>
  <c r="S15" i="7"/>
  <c r="T15" i="7" s="1"/>
  <c r="S31" i="7"/>
  <c r="T31" i="7" s="1"/>
  <c r="S33" i="7"/>
  <c r="T33" i="7" s="1"/>
  <c r="S47" i="7"/>
  <c r="T47" i="7" s="1"/>
  <c r="R72" i="7"/>
  <c r="R75" i="7" s="1"/>
  <c r="S58" i="7"/>
  <c r="T58" i="7" s="1"/>
  <c r="S66" i="7"/>
  <c r="T66" i="7" s="1"/>
  <c r="S11" i="7"/>
  <c r="T11" i="7" s="1"/>
  <c r="S19" i="7"/>
  <c r="T19" i="7" s="1"/>
  <c r="S34" i="7"/>
  <c r="T34" i="7" s="1"/>
  <c r="S49" i="7"/>
  <c r="T49" i="7" s="1"/>
  <c r="S59" i="7"/>
  <c r="T59" i="7" s="1"/>
  <c r="T72" i="7" l="1"/>
  <c r="T75" i="7" s="1"/>
  <c r="S72" i="7"/>
  <c r="S75" i="7" s="1"/>
  <c r="U101" i="2" l="1"/>
  <c r="T101" i="2" l="1"/>
  <c r="T109" i="2" s="1"/>
  <c r="U109" i="2"/>
  <c r="U112" i="2" l="1"/>
  <c r="U110" i="2"/>
  <c r="T112" i="2"/>
  <c r="T110" i="2"/>
  <c r="U114" i="2" l="1"/>
  <c r="T114" i="2"/>
  <c r="T113" i="2"/>
  <c r="P44" i="7" l="1"/>
  <c r="O44" i="7" l="1"/>
  <c r="O51" i="7" s="1"/>
  <c r="O54" i="7" s="1"/>
  <c r="O79" i="7" s="1"/>
  <c r="O82" i="7" s="1"/>
  <c r="P51" i="7"/>
  <c r="Q44" i="7" l="1"/>
  <c r="P54" i="7"/>
  <c r="Q51" i="7"/>
  <c r="O84" i="7"/>
  <c r="O89" i="7" s="1"/>
  <c r="R80" i="7"/>
  <c r="Q54" i="7" l="1"/>
  <c r="P79" i="7"/>
  <c r="P82" i="7" s="1"/>
  <c r="P84" i="7" l="1"/>
  <c r="P89" i="7" s="1"/>
  <c r="V80" i="7"/>
  <c r="R13" i="7" l="1"/>
  <c r="S13" i="7" l="1"/>
  <c r="T13" i="7" s="1"/>
  <c r="R37" i="7" l="1"/>
  <c r="R35" i="7"/>
  <c r="S35" i="7" l="1"/>
  <c r="T35" i="7" s="1"/>
  <c r="R36" i="7"/>
  <c r="S37" i="7"/>
  <c r="T37" i="7" s="1"/>
  <c r="S36" i="7" l="1"/>
  <c r="T36" i="7" l="1"/>
  <c r="S32" i="7" l="1"/>
  <c r="T32" i="7" s="1"/>
  <c r="R77" i="7" l="1"/>
  <c r="S77" i="7" l="1"/>
  <c r="T77" i="7" s="1"/>
  <c r="R38" i="7" l="1"/>
  <c r="S38" i="7" l="1"/>
  <c r="T38" i="7" s="1"/>
  <c r="R28" i="7" l="1"/>
  <c r="S28" i="7" l="1"/>
  <c r="T28" i="7" s="1"/>
  <c r="R39" i="7" l="1"/>
  <c r="R41" i="7" s="1"/>
  <c r="T39" i="7" l="1"/>
  <c r="T41" i="7" s="1"/>
  <c r="S39" i="7"/>
  <c r="S41" i="7" s="1"/>
  <c r="U26" i="7" l="1"/>
  <c r="V42" i="2"/>
  <c r="V35" i="2" l="1"/>
  <c r="S34" i="6" l="1"/>
  <c r="V36" i="2" l="1"/>
  <c r="V41" i="2"/>
  <c r="V17" i="2"/>
  <c r="V20" i="2"/>
  <c r="V8" i="2" l="1"/>
  <c r="W9" i="2" s="1"/>
  <c r="V23" i="2"/>
  <c r="V12" i="2"/>
  <c r="V73" i="2" l="1"/>
  <c r="V85" i="2" s="1"/>
  <c r="V98" i="2" s="1"/>
  <c r="V107" i="2" s="1"/>
  <c r="V27" i="2"/>
  <c r="V18" i="2"/>
  <c r="V64" i="2"/>
  <c r="V66" i="2" s="1"/>
  <c r="V13" i="2"/>
  <c r="AG107" i="8"/>
  <c r="V10" i="2"/>
  <c r="V9" i="2"/>
  <c r="V21" i="2"/>
  <c r="V24" i="2"/>
  <c r="V29" i="2"/>
  <c r="V31" i="2" l="1"/>
  <c r="V14" i="2"/>
  <c r="AG108" i="8"/>
  <c r="V68" i="2" l="1"/>
  <c r="W32" i="2"/>
  <c r="V79" i="2"/>
  <c r="V33" i="2"/>
  <c r="V39" i="2"/>
  <c r="V43" i="2" s="1"/>
  <c r="V32" i="2"/>
  <c r="V46" i="2" l="1"/>
  <c r="W48" i="2" s="1"/>
  <c r="V47" i="2" l="1"/>
  <c r="V91" i="2"/>
  <c r="V49" i="2"/>
  <c r="V48" i="2"/>
  <c r="V69" i="2" l="1"/>
  <c r="Y69" i="2" s="1"/>
  <c r="V81" i="2" l="1"/>
  <c r="V80" i="2"/>
  <c r="Y80" i="2" s="1"/>
  <c r="V93" i="2"/>
  <c r="V61" i="2" l="1"/>
  <c r="V60" i="2"/>
  <c r="V57" i="2" l="1"/>
  <c r="V53" i="2"/>
  <c r="V56" i="2"/>
  <c r="V52" i="2"/>
  <c r="V54" i="2" l="1"/>
  <c r="V58" i="2"/>
  <c r="V70" i="2"/>
  <c r="V74" i="2" l="1"/>
  <c r="V92" i="2"/>
  <c r="V82" i="2"/>
  <c r="V86" i="2" s="1"/>
  <c r="V109" i="2" l="1"/>
  <c r="V87" i="2"/>
  <c r="V89" i="2"/>
  <c r="V88" i="2"/>
  <c r="V75" i="2"/>
  <c r="V77" i="2"/>
  <c r="V76" i="2"/>
  <c r="V110" i="2" l="1"/>
  <c r="V112" i="2"/>
  <c r="V113" i="2" l="1"/>
  <c r="V114" i="2"/>
  <c r="W8" i="7"/>
  <c r="X8" i="7" s="1"/>
  <c r="S21" i="6" l="1"/>
  <c r="S30" i="6"/>
  <c r="S32" i="6"/>
  <c r="S8" i="6"/>
  <c r="S9" i="6" l="1"/>
  <c r="S17" i="6"/>
  <c r="S44" i="6"/>
  <c r="S24" i="6"/>
  <c r="S31" i="6"/>
  <c r="S47" i="6"/>
  <c r="S33" i="6"/>
  <c r="S11" i="6"/>
  <c r="S22" i="6"/>
  <c r="S18" i="6"/>
  <c r="S23" i="6"/>
  <c r="S43" i="6"/>
  <c r="S14" i="6"/>
  <c r="S19" i="6"/>
  <c r="S55" i="6"/>
  <c r="S38" i="6" l="1"/>
  <c r="S10" i="6"/>
  <c r="W88" i="7" s="1"/>
  <c r="S29" i="6"/>
  <c r="S35" i="6" l="1"/>
  <c r="S36" i="6" s="1"/>
  <c r="S53" i="6" l="1"/>
  <c r="S52" i="6" l="1"/>
  <c r="S42" i="6" l="1"/>
  <c r="S13" i="6" l="1"/>
  <c r="S15" i="6" s="1"/>
  <c r="S20" i="6" l="1"/>
  <c r="S25" i="6" s="1"/>
  <c r="S41" i="6" l="1"/>
  <c r="S45" i="6" s="1"/>
  <c r="V13" i="7" l="1"/>
  <c r="U13" i="7" l="1"/>
  <c r="S51" i="6" l="1"/>
  <c r="S54" i="6" l="1"/>
  <c r="S56" i="6" s="1"/>
  <c r="S58" i="6" s="1"/>
  <c r="S60" i="6" s="1"/>
  <c r="S66" i="6" s="1"/>
  <c r="W13" i="7" l="1"/>
  <c r="X13" i="7" s="1"/>
  <c r="V14" i="7" l="1"/>
  <c r="U14" i="7" s="1"/>
  <c r="V66" i="7" l="1"/>
  <c r="U66" i="7" s="1"/>
  <c r="V71" i="7"/>
  <c r="U71" i="7" s="1"/>
  <c r="V61" i="7"/>
  <c r="U61" i="7" s="1"/>
  <c r="V59" i="7"/>
  <c r="U59" i="7" s="1"/>
  <c r="V58" i="7"/>
  <c r="V62" i="7"/>
  <c r="U62" i="7" s="1"/>
  <c r="V50" i="7"/>
  <c r="U50" i="7" s="1"/>
  <c r="V49" i="7"/>
  <c r="U49" i="7" s="1"/>
  <c r="V47" i="7"/>
  <c r="U47" i="7" s="1"/>
  <c r="V48" i="7"/>
  <c r="U48" i="7" s="1"/>
  <c r="V46" i="7"/>
  <c r="U46" i="7" s="1"/>
  <c r="V45" i="7"/>
  <c r="U45" i="7" s="1"/>
  <c r="V34" i="7"/>
  <c r="U34" i="7" s="1"/>
  <c r="V33" i="7"/>
  <c r="U33" i="7" s="1"/>
  <c r="V31" i="7"/>
  <c r="U31" i="7" s="1"/>
  <c r="V23" i="7"/>
  <c r="U23" i="7" s="1"/>
  <c r="V15" i="7"/>
  <c r="U15" i="7" s="1"/>
  <c r="V25" i="7"/>
  <c r="U25" i="7" s="1"/>
  <c r="V21" i="7"/>
  <c r="U21" i="7" s="1"/>
  <c r="V20" i="7"/>
  <c r="U20" i="7" s="1"/>
  <c r="V28" i="7"/>
  <c r="U28" i="7" s="1"/>
  <c r="V11" i="7"/>
  <c r="U58" i="7" l="1"/>
  <c r="U72" i="7" s="1"/>
  <c r="U75" i="7" s="1"/>
  <c r="V72" i="7"/>
  <c r="V75" i="7" s="1"/>
  <c r="U11" i="7"/>
  <c r="V19" i="7" l="1"/>
  <c r="U19" i="7" l="1"/>
  <c r="V35" i="7" l="1"/>
  <c r="U35" i="7" s="1"/>
  <c r="V37" i="7"/>
  <c r="U37" i="7" s="1"/>
  <c r="V36" i="7" l="1"/>
  <c r="U36" i="7" s="1"/>
  <c r="V32" i="7" l="1"/>
  <c r="U32" i="7" l="1"/>
  <c r="V44" i="7"/>
  <c r="V51" i="7" l="1"/>
  <c r="V54" i="7" s="1"/>
  <c r="V77" i="7"/>
  <c r="U77" i="7" s="1"/>
  <c r="V38" i="7" l="1"/>
  <c r="U38" i="7" l="1"/>
  <c r="U39" i="7" s="1"/>
  <c r="U41" i="7" s="1"/>
  <c r="V39" i="7"/>
  <c r="V41" i="7" s="1"/>
  <c r="V79" i="7" s="1"/>
  <c r="V82" i="7" s="1"/>
  <c r="V84" i="7" s="1"/>
  <c r="V89" i="7" s="1"/>
  <c r="X80" i="2" l="1"/>
  <c r="W70" i="2" l="1"/>
  <c r="X70" i="2" l="1"/>
  <c r="W92" i="2"/>
  <c r="W82" i="2"/>
  <c r="W74" i="2"/>
  <c r="Y70" i="2"/>
  <c r="W75" i="2" l="1"/>
  <c r="W77" i="2"/>
  <c r="W76" i="2"/>
  <c r="X82" i="2"/>
  <c r="W86" i="2"/>
  <c r="X92" i="2"/>
  <c r="W87" i="2" l="1"/>
  <c r="W89" i="2"/>
  <c r="W88" i="2"/>
  <c r="W60" i="2" l="1"/>
  <c r="W52" i="2" s="1"/>
  <c r="W61" i="2" l="1"/>
  <c r="W57" i="2" l="1"/>
  <c r="W53" i="2"/>
  <c r="W54" i="2" s="1"/>
  <c r="W56" i="2"/>
  <c r="W58" i="2" l="1"/>
  <c r="W97" i="2" l="1"/>
  <c r="Y97" i="2" l="1"/>
  <c r="X97" i="2"/>
  <c r="W105" i="2" l="1"/>
  <c r="X105" i="2" l="1"/>
  <c r="Y105" i="2" l="1"/>
  <c r="Y91" i="2" l="1"/>
  <c r="X91" i="2" l="1"/>
  <c r="W100" i="2" l="1"/>
  <c r="X100" i="2" l="1"/>
  <c r="W109" i="2"/>
  <c r="Y100" i="2"/>
  <c r="W112" i="2" l="1"/>
  <c r="W110" i="2"/>
  <c r="X109" i="2"/>
  <c r="Y109" i="2"/>
  <c r="W114" i="2" l="1"/>
  <c r="W113" i="2"/>
  <c r="T51" i="6" l="1"/>
  <c r="T54" i="6" l="1"/>
  <c r="T56" i="6" s="1"/>
  <c r="T58" i="6" s="1"/>
  <c r="T60" i="6" s="1"/>
  <c r="X46" i="7" l="1"/>
  <c r="X47" i="7"/>
  <c r="X48" i="7"/>
  <c r="W15" i="7" l="1"/>
  <c r="X15" i="7" s="1"/>
  <c r="W66" i="7" l="1"/>
  <c r="X66" i="7" s="1"/>
  <c r="W71" i="7"/>
  <c r="X71" i="7" s="1"/>
  <c r="W59" i="7"/>
  <c r="X59" i="7" s="1"/>
  <c r="W58" i="7"/>
  <c r="W50" i="7"/>
  <c r="X50" i="7" s="1"/>
  <c r="W48" i="7"/>
  <c r="W46" i="7"/>
  <c r="W23" i="7"/>
  <c r="X23" i="7" s="1"/>
  <c r="W25" i="7"/>
  <c r="X25" i="7" s="1"/>
  <c r="W21" i="7"/>
  <c r="X21" i="7" s="1"/>
  <c r="W20" i="7"/>
  <c r="X20" i="7" s="1"/>
  <c r="W11" i="7"/>
  <c r="W14" i="7"/>
  <c r="X14" i="7" s="1"/>
  <c r="X11" i="7" l="1"/>
  <c r="X58" i="7"/>
  <c r="R44" i="7" l="1"/>
  <c r="S44" i="7" l="1"/>
  <c r="S51" i="7" s="1"/>
  <c r="S54" i="7" s="1"/>
  <c r="S79" i="7" s="1"/>
  <c r="T44" i="7"/>
  <c r="T51" i="7" s="1"/>
  <c r="T54" i="7" s="1"/>
  <c r="T79" i="7" s="1"/>
  <c r="R51" i="7"/>
  <c r="R54" i="7" s="1"/>
  <c r="R79" i="7" s="1"/>
  <c r="R82" i="7" s="1"/>
  <c r="U44" i="7"/>
  <c r="U51" i="7" s="1"/>
  <c r="U54" i="7" s="1"/>
  <c r="U79" i="7" s="1"/>
  <c r="R84" i="7" l="1"/>
  <c r="R89" i="7" s="1"/>
  <c r="S80" i="7"/>
  <c r="S82" i="7" s="1"/>
  <c r="T80" i="7" l="1"/>
  <c r="T82" i="7" s="1"/>
  <c r="S84" i="7"/>
  <c r="S89" i="7" s="1"/>
  <c r="T84" i="7" l="1"/>
  <c r="T89" i="7" s="1"/>
  <c r="U80" i="7"/>
  <c r="U82" i="7" s="1"/>
  <c r="U84" i="7" l="1"/>
  <c r="U89" i="7" s="1"/>
  <c r="W80" i="7"/>
  <c r="W61" i="7" l="1"/>
  <c r="X61" i="7" l="1"/>
  <c r="W45" i="7" l="1"/>
  <c r="X45" i="7" s="1"/>
  <c r="W49" i="7" l="1"/>
  <c r="X49" i="7" s="1"/>
  <c r="W19" i="7" l="1"/>
  <c r="W62" i="7"/>
  <c r="X62" i="7" l="1"/>
  <c r="X72" i="7" s="1"/>
  <c r="X75" i="7" s="1"/>
  <c r="W72" i="7"/>
  <c r="W75" i="7" s="1"/>
  <c r="X19" i="7"/>
  <c r="W35" i="7" l="1"/>
  <c r="X35" i="7" s="1"/>
  <c r="W37" i="7"/>
  <c r="X37" i="7" s="1"/>
  <c r="W36" i="7" l="1"/>
  <c r="X36" i="7" s="1"/>
  <c r="W34" i="7" l="1"/>
  <c r="X34" i="7" s="1"/>
  <c r="W33" i="7" l="1"/>
  <c r="X33" i="7" s="1"/>
  <c r="W31" i="7"/>
  <c r="X31" i="7" s="1"/>
  <c r="W44" i="7" l="1"/>
  <c r="X44" i="7" s="1"/>
  <c r="X51" i="7" s="1"/>
  <c r="X54" i="7" s="1"/>
  <c r="W32" i="7"/>
  <c r="X32" i="7" s="1"/>
  <c r="W47" i="7" l="1"/>
  <c r="W51" i="7" s="1"/>
  <c r="W54" i="7" s="1"/>
  <c r="W77" i="7" l="1"/>
  <c r="X77" i="7" s="1"/>
  <c r="W38" i="7" l="1"/>
  <c r="X38" i="7" s="1"/>
  <c r="W28" i="7" l="1"/>
  <c r="X28" i="7" l="1"/>
  <c r="X39" i="7" s="1"/>
  <c r="X41" i="7" s="1"/>
  <c r="X79" i="7" s="1"/>
  <c r="W39" i="7"/>
  <c r="W41" i="7" s="1"/>
  <c r="W79" i="7" s="1"/>
  <c r="W82" i="7" s="1"/>
  <c r="W84" i="7" l="1"/>
  <c r="W89" i="7" s="1"/>
  <c r="X80" i="7"/>
  <c r="X82" i="7"/>
  <c r="X84" i="7" s="1"/>
  <c r="X89" i="7" s="1"/>
</calcChain>
</file>

<file path=xl/sharedStrings.xml><?xml version="1.0" encoding="utf-8"?>
<sst xmlns="http://schemas.openxmlformats.org/spreadsheetml/2006/main" count="554" uniqueCount="272">
  <si>
    <t>Headcount</t>
  </si>
  <si>
    <t>Revenues</t>
  </si>
  <si>
    <t>Gross profit</t>
  </si>
  <si>
    <t>General and administrative expenses</t>
  </si>
  <si>
    <t>Selling and marketing expenses</t>
  </si>
  <si>
    <t>Depreciation and amortization</t>
  </si>
  <si>
    <t>Total operating expenses</t>
  </si>
  <si>
    <t>Other income/ (expense)</t>
  </si>
  <si>
    <t>Interest on redeemable preferred stock</t>
  </si>
  <si>
    <t>Q1</t>
  </si>
  <si>
    <t>Q2</t>
  </si>
  <si>
    <t>Q3</t>
  </si>
  <si>
    <t>Q4</t>
  </si>
  <si>
    <t>FY</t>
  </si>
  <si>
    <t>Income Statement</t>
  </si>
  <si>
    <t>Balance Sheet</t>
  </si>
  <si>
    <t>Foreign Exchange Gain / (Loss)</t>
  </si>
  <si>
    <t>Assets</t>
  </si>
  <si>
    <t>Current assets:</t>
  </si>
  <si>
    <t>Restricted cash</t>
  </si>
  <si>
    <t>Accounts receivable</t>
  </si>
  <si>
    <t/>
  </si>
  <si>
    <t>Goodwill</t>
  </si>
  <si>
    <t>Liabilities and Stockholders Equity</t>
  </si>
  <si>
    <t>Current liabilities:</t>
  </si>
  <si>
    <t>Accounts payable</t>
  </si>
  <si>
    <t>Deferred revenue</t>
  </si>
  <si>
    <t>Accrued employee cost</t>
  </si>
  <si>
    <t>Income taxes payable</t>
  </si>
  <si>
    <t>Total current liabilities</t>
  </si>
  <si>
    <t>Additional paid-in capital</t>
  </si>
  <si>
    <t>Other assets</t>
  </si>
  <si>
    <t>Other non-current liabilities</t>
  </si>
  <si>
    <t>Retained earnings</t>
  </si>
  <si>
    <t>Net income</t>
  </si>
  <si>
    <t>Amortization of deferred financing costs</t>
  </si>
  <si>
    <t>Non-employee stock options</t>
  </si>
  <si>
    <t>Foreign exchange (gain)/loss (unrealized)</t>
  </si>
  <si>
    <t>Prepaid expenses and other current assets</t>
  </si>
  <si>
    <t>Accrued expenses and other liabilities</t>
  </si>
  <si>
    <t>Repayment of senior long-term debt</t>
  </si>
  <si>
    <t>Principal payments on capital lease obligations</t>
  </si>
  <si>
    <t>Repayment on redemption of preferred stock</t>
  </si>
  <si>
    <t>Proceeds from exercise of stock options</t>
  </si>
  <si>
    <t>Acquisition of treasury stock</t>
  </si>
  <si>
    <t>Cash and cash equivalents, end of year</t>
  </si>
  <si>
    <t>Cash Flow Statement</t>
  </si>
  <si>
    <t>Top - 3</t>
  </si>
  <si>
    <t>Top - 5</t>
  </si>
  <si>
    <t>Top - 10</t>
  </si>
  <si>
    <t>Top - 1</t>
  </si>
  <si>
    <t>Cashflow Statement</t>
  </si>
  <si>
    <t>Income from discontinued operations, net of taxes</t>
  </si>
  <si>
    <t>Adjustments to reconcile net income to net cash provided by operating activities:</t>
  </si>
  <si>
    <t>Repayment of bank borrowings and other long term debt</t>
  </si>
  <si>
    <t>Proceeds from sale of common stock, net of issuance costs</t>
  </si>
  <si>
    <t>Excess tax benefit/(deficiency) from stock-based compensation</t>
  </si>
  <si>
    <t>Effect of exchange rate changes on cash and cash equivalents</t>
  </si>
  <si>
    <t>GM</t>
  </si>
  <si>
    <t>Other metrics</t>
  </si>
  <si>
    <t>GM%</t>
  </si>
  <si>
    <t>Income tax (provision)/benefit</t>
  </si>
  <si>
    <t>Adjusted Operating Margin</t>
  </si>
  <si>
    <t>Operating expenses</t>
  </si>
  <si>
    <t>Accrued expenses and other current liabilities</t>
  </si>
  <si>
    <t>Non-current liabilities</t>
  </si>
  <si>
    <t>($ in thousands)</t>
  </si>
  <si>
    <t>Gross Margin</t>
  </si>
  <si>
    <t>Operating Margin</t>
  </si>
  <si>
    <t>Change in operating assets and liabilities (net of effect of acquisitions)</t>
  </si>
  <si>
    <t>EBIT</t>
  </si>
  <si>
    <t>Adjusted EBIT</t>
  </si>
  <si>
    <t>($ in thousands, except per share amounts)</t>
  </si>
  <si>
    <t>Total Liabilities</t>
  </si>
  <si>
    <t>Preferred Stock $0.001 par value; 15,000,000 shares authorized</t>
  </si>
  <si>
    <t>Common Stock</t>
  </si>
  <si>
    <t>Net Cash Flows from Financing</t>
  </si>
  <si>
    <t>Cash and Cash Equivalents from Continuing Operations, end of period</t>
  </si>
  <si>
    <t>Cash Flows from Investing (continuing operations)</t>
  </si>
  <si>
    <t>Cash Flows from Investing (discontinued operations)</t>
  </si>
  <si>
    <t>Cash Flows from Financing (continuing operations)</t>
  </si>
  <si>
    <t>Cash Flows from Financing (discontinued operations)</t>
  </si>
  <si>
    <t>Total Workstations</t>
  </si>
  <si>
    <t>NA</t>
  </si>
  <si>
    <t>Total Revenues</t>
  </si>
  <si>
    <t>Utilities</t>
  </si>
  <si>
    <t>Banking and Financial Services</t>
  </si>
  <si>
    <t>Other</t>
  </si>
  <si>
    <t>Revenue by Geography</t>
  </si>
  <si>
    <t>United States</t>
  </si>
  <si>
    <t>United Kingdom</t>
  </si>
  <si>
    <t>Reconciliation of GAAP to Non-GAAP Measures</t>
  </si>
  <si>
    <t>Cost of revenues (exclusive of depreciation and amortization)</t>
  </si>
  <si>
    <t>Interest and other income, net</t>
  </si>
  <si>
    <t>Income from continuing operations</t>
  </si>
  <si>
    <t>Income/(loss) from continuing operations before income taxes</t>
  </si>
  <si>
    <t>Income/(loss) from discontinued operations, net of taxes</t>
  </si>
  <si>
    <t>Net income/(loss) to common stockholders</t>
  </si>
  <si>
    <t>Diluted</t>
  </si>
  <si>
    <t>Continuing operations</t>
  </si>
  <si>
    <t>Discontinued operations</t>
  </si>
  <si>
    <t>Basic</t>
  </si>
  <si>
    <t>Total</t>
  </si>
  <si>
    <t>Weighted-average number of shares used in computing earnings per share</t>
  </si>
  <si>
    <t>Short-term investments</t>
  </si>
  <si>
    <t>Cash and cash equivalents</t>
  </si>
  <si>
    <t>Total current assets</t>
  </si>
  <si>
    <t>Total assets</t>
  </si>
  <si>
    <t>Stockholders' equity:</t>
  </si>
  <si>
    <t>Total Liabilities and Stockholders' Equity</t>
  </si>
  <si>
    <t>Cash flows from operating activities</t>
  </si>
  <si>
    <t>Share-based compensation expense</t>
  </si>
  <si>
    <t>Net cash provided by operating activities - continuing operations</t>
  </si>
  <si>
    <t>Net cash provided by operating activities</t>
  </si>
  <si>
    <t>Cash flows from investing activities:</t>
  </si>
  <si>
    <t>Cash flows from financing activities:</t>
  </si>
  <si>
    <t>Net increase/(decrease) in cash and cash equivalents</t>
  </si>
  <si>
    <t xml:space="preserve">Cash and cash equivalents, beginning of period </t>
  </si>
  <si>
    <t>Less cash and equivalents of discontinued operations, end of period</t>
  </si>
  <si>
    <t xml:space="preserve">Purchase of short-term investments </t>
  </si>
  <si>
    <t>Proceeds from Redemption of short-term investments</t>
  </si>
  <si>
    <t>Exl Service Holdings, Inc. stockholders' equity</t>
  </si>
  <si>
    <t>Total stockholders' equity</t>
  </si>
  <si>
    <t>Proceeds from issuance of stock to minority shareholders</t>
  </si>
  <si>
    <t>Noncontrolling interest</t>
  </si>
  <si>
    <t>Adjusted EBITDA</t>
  </si>
  <si>
    <t>Adjusted EBITDA Margin</t>
  </si>
  <si>
    <t>Net Income</t>
  </si>
  <si>
    <t>add: Depreciation</t>
  </si>
  <si>
    <t>subtract: Tax impact on stock compensation expense</t>
  </si>
  <si>
    <t>Accumulated other comprehensive Income/(loss)</t>
  </si>
  <si>
    <t>Sequential Growth</t>
  </si>
  <si>
    <t>Year-Over-Year Growth</t>
  </si>
  <si>
    <t>% of revenue</t>
  </si>
  <si>
    <t>Adjusted Net Income</t>
  </si>
  <si>
    <t>Adjusted Net Income Margin</t>
  </si>
  <si>
    <t>Adjusted Diluted earnings per share</t>
  </si>
  <si>
    <t>Non-controlling Interest</t>
  </si>
  <si>
    <t>Payment of debt issuance cost</t>
  </si>
  <si>
    <t>Proceeds from issuance of common stock from public offering, net of issuance costs</t>
  </si>
  <si>
    <t>Gain on bargain purchase</t>
  </si>
  <si>
    <t>Rest of world</t>
  </si>
  <si>
    <t>U.K. pound sterling / U.S. dollar</t>
  </si>
  <si>
    <t>Philippine peso / U.S. dollar</t>
  </si>
  <si>
    <t>Indian rupee / U.S. dollar</t>
  </si>
  <si>
    <t>Exchange Rates (average of month end exchange rates)</t>
  </si>
  <si>
    <t xml:space="preserve">    Q/Q Appreciation / (Depreciation)</t>
  </si>
  <si>
    <t xml:space="preserve">    Y/Y Appreciation / (Depreciation)</t>
  </si>
  <si>
    <t>Y/Y revenue growth</t>
  </si>
  <si>
    <t>Travel, Transportation and Logistics</t>
  </si>
  <si>
    <t>Loss on sale of business unit</t>
  </si>
  <si>
    <t>Healthcare</t>
  </si>
  <si>
    <t>Insurance</t>
  </si>
  <si>
    <t>add: Reimbursement of transition and disentanglement costs</t>
  </si>
  <si>
    <t>Adjusted Revenues</t>
  </si>
  <si>
    <t>Proceeds from long-term borrowings</t>
  </si>
  <si>
    <t>Cash received from non-controlling interest shareholders</t>
  </si>
  <si>
    <t>Operations Management</t>
  </si>
  <si>
    <t>Analytics and Business Transformation</t>
  </si>
  <si>
    <t xml:space="preserve">Y/Y constant currency revenue growth % </t>
  </si>
  <si>
    <t>Q01</t>
  </si>
  <si>
    <t>Change in fair value of Earn-out consideration</t>
  </si>
  <si>
    <t>Q02</t>
  </si>
  <si>
    <t>subtract: Changes in fair value of Earn-out consideration, net of tax</t>
  </si>
  <si>
    <t>Q03</t>
  </si>
  <si>
    <t xml:space="preserve">    Q/Q (Appreciation) / Depreciation</t>
  </si>
  <si>
    <t xml:space="preserve">    Y/Y (Appreciation) / Depreciation</t>
  </si>
  <si>
    <t>Q04</t>
  </si>
  <si>
    <t>Finance &amp; Accounting</t>
  </si>
  <si>
    <t>All Other</t>
  </si>
  <si>
    <t>Revenues and Margins</t>
  </si>
  <si>
    <t xml:space="preserve">Attrition </t>
  </si>
  <si>
    <t>For example, Insurance will include BPM, Finance and Accounting, Analytics and Consulting work.</t>
  </si>
  <si>
    <t>Business acquisition (net of cash acquired)</t>
  </si>
  <si>
    <t xml:space="preserve"> </t>
  </si>
  <si>
    <t>Revised</t>
  </si>
  <si>
    <t>Accounts receivable, net</t>
  </si>
  <si>
    <t>Advance income tax, net</t>
  </si>
  <si>
    <t>Property and equipment, net</t>
  </si>
  <si>
    <t>Deferred taxes, net</t>
  </si>
  <si>
    <t>Investment in equity affiliate</t>
  </si>
  <si>
    <t>Current portion of long-term borrowings</t>
  </si>
  <si>
    <t>Deferred income tax (benefit)/expense</t>
  </si>
  <si>
    <t>Excess tax benefit from stock-based compensation</t>
  </si>
  <si>
    <t>Purchase of property and equipment</t>
  </si>
  <si>
    <t>Proceeds from borrowings</t>
  </si>
  <si>
    <t>Repayment of borrowings</t>
  </si>
  <si>
    <t>add: Amortization of acquisition-related intangibles</t>
  </si>
  <si>
    <t>add: Stock-based compensation expense</t>
  </si>
  <si>
    <t>subtract: Tax impact on amortization of acquisition-related intangibles</t>
  </si>
  <si>
    <t>Less: Shares held in treasury</t>
  </si>
  <si>
    <t>Loss from equity-method investment</t>
  </si>
  <si>
    <t>FY 17</t>
  </si>
  <si>
    <t>add: Provision for litigation settlement</t>
  </si>
  <si>
    <t>add: provision for litigation settlement</t>
  </si>
  <si>
    <r>
      <t>Q2 2017</t>
    </r>
    <r>
      <rPr>
        <b/>
        <vertAlign val="superscript"/>
        <sz val="10"/>
        <rFont val="Arial"/>
        <family val="2"/>
      </rPr>
      <t>(1)</t>
    </r>
  </si>
  <si>
    <r>
      <t>Q1 2017</t>
    </r>
    <r>
      <rPr>
        <b/>
        <vertAlign val="superscript"/>
        <sz val="10"/>
        <rFont val="Arial"/>
        <family val="2"/>
      </rPr>
      <t>(1)</t>
    </r>
  </si>
  <si>
    <r>
      <t>Q3 2017</t>
    </r>
    <r>
      <rPr>
        <b/>
        <vertAlign val="superscript"/>
        <sz val="10"/>
        <rFont val="Arial"/>
        <family val="2"/>
      </rPr>
      <t>(1)</t>
    </r>
  </si>
  <si>
    <r>
      <t>Q4 2017</t>
    </r>
    <r>
      <rPr>
        <b/>
        <vertAlign val="superscript"/>
        <sz val="10"/>
        <rFont val="Arial"/>
        <family val="2"/>
      </rPr>
      <t>(1)</t>
    </r>
  </si>
  <si>
    <r>
      <t>FY 2017</t>
    </r>
    <r>
      <rPr>
        <b/>
        <vertAlign val="superscript"/>
        <sz val="10"/>
        <rFont val="Arial"/>
        <family val="2"/>
      </rPr>
      <t>(1)</t>
    </r>
  </si>
  <si>
    <t>add: Acquisition-related expenses</t>
  </si>
  <si>
    <t>subtract: Tax impact on provision for litigation settlement</t>
  </si>
  <si>
    <t>Proceeds from convertible notes</t>
  </si>
  <si>
    <t>Impairment charges</t>
  </si>
  <si>
    <t>add: Non-cash interest expense related to convertible senior notes</t>
  </si>
  <si>
    <t>subtract: Tax impact non-cash interest expense related to convertible senior notes</t>
  </si>
  <si>
    <t>Amortization of non-cash interest expense related to convertible senior notes</t>
  </si>
  <si>
    <t>Net Cash Flows from Investing activities</t>
  </si>
  <si>
    <t>subtract: One-time tax expenses/(benefits)</t>
  </si>
  <si>
    <t>add: Acquisition-related expenses/(income)</t>
  </si>
  <si>
    <t>add/(subtract): Effect of Tax Reform Act and other one-time tax expenses/(benefits)</t>
  </si>
  <si>
    <t>Current portion of operating lease liabilities</t>
  </si>
  <si>
    <t>Operating lease liabilities, less current portion</t>
  </si>
  <si>
    <t>add: Impairment of acquisition-related intangibles, goodwill and long-lived assets and restructuring costs</t>
  </si>
  <si>
    <t>subtract: Tax impact on impairment of long lived assets and acquisition-related goodwill and intangibles and restructuring costs</t>
  </si>
  <si>
    <t>Impairment and restructuring charges</t>
  </si>
  <si>
    <t>add: Impairment of acquisition-related intangibles, goodwill and long-lived assets and restructuring charges</t>
  </si>
  <si>
    <t>Payment for purchase of non-controlling interest</t>
  </si>
  <si>
    <t>Amortization of operating lease right-of-use assets</t>
  </si>
  <si>
    <t>Operating lease liabilities</t>
  </si>
  <si>
    <t>Long-term borrowings, less current portion</t>
  </si>
  <si>
    <t>Finance lease liabilities, less current portion</t>
  </si>
  <si>
    <t>Depreciation and amortization expense</t>
  </si>
  <si>
    <t>Operating lease right-of-use assets</t>
  </si>
  <si>
    <t>Income taxes payable, net</t>
  </si>
  <si>
    <t>Deferred tax assets, net</t>
  </si>
  <si>
    <t>Intangible assets, net</t>
  </si>
  <si>
    <t>Deferred tax liabilities, net</t>
  </si>
  <si>
    <t>FY 19</t>
  </si>
  <si>
    <t>Emerging Business</t>
  </si>
  <si>
    <t>FY 18</t>
  </si>
  <si>
    <r>
      <t xml:space="preserve">Revised </t>
    </r>
    <r>
      <rPr>
        <b/>
        <vertAlign val="superscript"/>
        <sz val="16"/>
        <color theme="1"/>
        <rFont val="Calibri"/>
        <family val="2"/>
        <scheme val="minor"/>
      </rPr>
      <t>(2)</t>
    </r>
  </si>
  <si>
    <t xml:space="preserve">Seat Utilization </t>
  </si>
  <si>
    <t>Client Concentration</t>
  </si>
  <si>
    <t xml:space="preserve">Operations Management </t>
  </si>
  <si>
    <t xml:space="preserve">Analytics </t>
  </si>
  <si>
    <r>
      <t xml:space="preserve">Revised </t>
    </r>
    <r>
      <rPr>
        <b/>
        <vertAlign val="superscript"/>
        <sz val="16"/>
        <color theme="1"/>
        <rFont val="Calibri"/>
        <family val="2"/>
        <scheme val="minor"/>
      </rPr>
      <t xml:space="preserve">(1) </t>
    </r>
  </si>
  <si>
    <r>
      <t xml:space="preserve">Revised </t>
    </r>
    <r>
      <rPr>
        <b/>
        <vertAlign val="superscript"/>
        <sz val="16"/>
        <color theme="1"/>
        <rFont val="Calibri"/>
        <family val="2"/>
        <scheme val="minor"/>
      </rPr>
      <t>(1)</t>
    </r>
  </si>
  <si>
    <r>
      <t>2020</t>
    </r>
    <r>
      <rPr>
        <b/>
        <vertAlign val="superscript"/>
        <sz val="16"/>
        <rFont val="Calibri"/>
        <family val="2"/>
        <scheme val="minor"/>
      </rPr>
      <t>(2)</t>
    </r>
  </si>
  <si>
    <t>Refer Form 10-K for the fiscal year ended December 31, 2018 for details.</t>
  </si>
  <si>
    <t xml:space="preserve">(1) Effective from January 1, 2017, On January 1, 2018, the Company adopted ASU 2017-07, Compensation-Retirement Benefits (Topic 715), Improving the Presentation of Net Periodic Pension Cost and Net Periodic Post Retirement Benefit Cost. </t>
  </si>
  <si>
    <t>(2) Effective January 1, 2020, the Company made certain operational and structural changes to more closely integrate its businesses and to simplify its organizational structure and accordingly new reportable segments are as follows</t>
  </si>
  <si>
    <t>Insurance, Healthcare, Emerging Business and Analytics.</t>
  </si>
  <si>
    <t xml:space="preserve">     Refer Form 10-K for the fiscal year ended December 31, 2018 for details.</t>
  </si>
  <si>
    <t>and non-recurring benefits pertaining to successful acquisitions from its non-GAAP financial measures. The previously reported periods presented have been adjusted with the effects of exclusion.</t>
  </si>
  <si>
    <r>
      <t>(c) To exclude</t>
    </r>
    <r>
      <rPr>
        <b/>
        <i/>
        <sz val="10"/>
        <rFont val="Arial"/>
        <family val="2"/>
      </rPr>
      <t xml:space="preserve"> acquisition related expenses</t>
    </r>
    <r>
      <rPr>
        <i/>
        <sz val="10"/>
        <rFont val="Arial"/>
        <family val="2"/>
      </rPr>
      <t xml:space="preserve"> and </t>
    </r>
    <r>
      <rPr>
        <b/>
        <i/>
        <sz val="10"/>
        <rFont val="Arial"/>
        <family val="2"/>
      </rPr>
      <t>one-time benefits</t>
    </r>
    <r>
      <rPr>
        <i/>
        <sz val="10"/>
        <rFont val="Arial"/>
        <family val="2"/>
      </rPr>
      <t xml:space="preserve">. Effective in the second quarter of 2018, EXL excludes acquisition-related costs such as external deal costs, integration expenses, direct and incremental travel costs </t>
    </r>
  </si>
  <si>
    <r>
      <t>Q1</t>
    </r>
    <r>
      <rPr>
        <b/>
        <vertAlign val="superscript"/>
        <sz val="10"/>
        <rFont val="Arial"/>
        <family val="2"/>
      </rPr>
      <t>(b)</t>
    </r>
  </si>
  <si>
    <r>
      <t>Q2</t>
    </r>
    <r>
      <rPr>
        <b/>
        <vertAlign val="superscript"/>
        <sz val="10"/>
        <rFont val="Arial"/>
        <family val="2"/>
      </rPr>
      <t>(b)(c)</t>
    </r>
  </si>
  <si>
    <r>
      <t>Q3</t>
    </r>
    <r>
      <rPr>
        <b/>
        <vertAlign val="superscript"/>
        <sz val="10"/>
        <rFont val="Arial"/>
        <family val="2"/>
      </rPr>
      <t>(b)(c)</t>
    </r>
  </si>
  <si>
    <r>
      <t>Q4</t>
    </r>
    <r>
      <rPr>
        <b/>
        <vertAlign val="superscript"/>
        <sz val="10"/>
        <rFont val="Arial"/>
        <family val="2"/>
      </rPr>
      <t>(b)(c)</t>
    </r>
  </si>
  <si>
    <r>
      <t>FY</t>
    </r>
    <r>
      <rPr>
        <b/>
        <vertAlign val="superscript"/>
        <sz val="10"/>
        <rFont val="Arial"/>
        <family val="2"/>
      </rPr>
      <t>(b)(c)</t>
    </r>
  </si>
  <si>
    <t>(a) Per share amounts may not foot due to rounding.</t>
  </si>
  <si>
    <t>(1) Effective from January 1, 2017, On January 1, 2018, The Company adopted the guidance in ASU 2016-18 "Statement of Cash Flows". Refer Form 10-K for the fiscal year ended December 31, 2018 for details.</t>
  </si>
  <si>
    <t>Unrealized (gain) on short term investments</t>
  </si>
  <si>
    <t xml:space="preserve">subtract: Other non-recurring (benefits)/expense </t>
  </si>
  <si>
    <t>add/(subtract): Tax impact on other non-recurring (benefits)/expense</t>
  </si>
  <si>
    <t>add/(subtract): Non-recurring tax expense/(benefits)</t>
  </si>
  <si>
    <r>
      <t>NA</t>
    </r>
    <r>
      <rPr>
        <b/>
        <vertAlign val="superscript"/>
        <sz val="10"/>
        <rFont val="Arial"/>
        <family val="2"/>
      </rPr>
      <t>(1)</t>
    </r>
  </si>
  <si>
    <t>Proceeds from sale of property and equipment</t>
  </si>
  <si>
    <t>b</t>
  </si>
  <si>
    <r>
      <t>Q1</t>
    </r>
    <r>
      <rPr>
        <b/>
        <vertAlign val="superscript"/>
        <sz val="10"/>
        <rFont val="Arial"/>
        <family val="2"/>
      </rPr>
      <t>(c)</t>
    </r>
  </si>
  <si>
    <t>(b) On January 1, 2018, the Company adopted ASU 2017-07, Compensation-Retirement Benefits (Topic 715), Improving the Presentation of Net Periodic Pension Cost and Net Periodic Post Retirement Benefit Cost. This was retrospectively effective from January 1, 2017.</t>
  </si>
  <si>
    <t>Checks</t>
  </si>
  <si>
    <t>FY 20</t>
  </si>
  <si>
    <r>
      <t xml:space="preserve">Revenue by Industry </t>
    </r>
    <r>
      <rPr>
        <b/>
        <vertAlign val="superscript"/>
        <sz val="16"/>
        <color indexed="8"/>
        <rFont val="Arial"/>
        <family val="2"/>
      </rPr>
      <t>(3)</t>
    </r>
  </si>
  <si>
    <t xml:space="preserve">(3)  Revenue by Industry includes all solutions offered by EXL for each vertical listed.  </t>
  </si>
  <si>
    <t>NA(1)</t>
  </si>
  <si>
    <t>(Loss)/Gain from equity-method investment</t>
  </si>
  <si>
    <r>
      <t>Earnings/(loss)  per share</t>
    </r>
    <r>
      <rPr>
        <vertAlign val="superscript"/>
        <sz val="10"/>
        <rFont val="Arial"/>
        <family val="2"/>
      </rPr>
      <t xml:space="preserve"> (a)</t>
    </r>
  </si>
  <si>
    <t>(1) Due to country wide lockdowns, we moved to the “Work from home” operational model in second half of March 2020 for most of our business.</t>
  </si>
  <si>
    <t>Allowance for expected credit losses</t>
  </si>
  <si>
    <t>Others,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</si>
</sst>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42" formatCode="_(&quot;$&quot;* #,##0_);_(&quot;$&quot;* \(#,##0\);_(&quot;$&quot;* &quot;-&quot;_);_(@_)"/>
    <numFmt numFmtId="43" formatCode="_(* #,##0.00_);_(* \(#,##0.00\);_(* &quot;-&quot;??_);_(@_)"/>
    <numFmt numFmtId="164" formatCode="_(* #,##0_);_(* \(#,##0\);_(* &quot;-&quot;??_);_(@_)"/>
    <numFmt numFmtId="165" formatCode="0.0%"/>
    <numFmt numFmtId="166" formatCode="_(* #,##0.0_);_(* \(#,##0.0\);_(* &quot;-&quot;??_);_(@_)"/>
    <numFmt numFmtId="167" formatCode="#,##0.0"/>
    <numFmt numFmtId="168" formatCode="&quot;$&quot;#,##0.000_);\(&quot;$&quot;#,##0.000\)"/>
  </numFmts>
  <fonts count="42" x14ac:knownFonts="1">
    <font>
      <sz val="11"/>
      <color theme="1"/>
      <name val="Calibri"/>
      <family val="2"/>
      <scheme val="minor"/>
    </font>
    <font>
      <sz val="11"/>
      <color indexed="8"/>
      <name val="Calibri"/>
      <family val="2"/>
    </font>
    <font>
      <sz val="10"/>
      <name val="Arial"/>
      <family val="2"/>
    </font>
    <font>
      <b/>
      <sz val="10"/>
      <color indexed="8"/>
      <name val="Arial"/>
      <family val="2"/>
    </font>
    <font>
      <sz val="10"/>
      <color indexed="8"/>
      <name val="Arial"/>
      <family val="2"/>
    </font>
    <font>
      <b/>
      <sz val="10"/>
      <name val="Arial"/>
      <family val="2"/>
    </font>
    <font>
      <sz val="10"/>
      <color indexed="8"/>
      <name val="Arial"/>
      <family val="2"/>
    </font>
    <font>
      <b/>
      <sz val="10"/>
      <color indexed="20"/>
      <name val="Arial"/>
      <family val="2"/>
    </font>
    <font>
      <b/>
      <sz val="10"/>
      <color indexed="0"/>
      <name val="Arial"/>
      <family val="2"/>
    </font>
    <font>
      <sz val="10"/>
      <color indexed="0"/>
      <name val="Arial"/>
      <family val="2"/>
    </font>
    <font>
      <i/>
      <sz val="10"/>
      <name val="Arial"/>
      <family val="2"/>
    </font>
    <font>
      <sz val="10"/>
      <color indexed="28"/>
      <name val="Arial"/>
      <family val="2"/>
    </font>
    <font>
      <b/>
      <sz val="10"/>
      <color indexed="28"/>
      <name val="Arial"/>
      <family val="2"/>
    </font>
    <font>
      <sz val="10"/>
      <color indexed="10"/>
      <name val="Arial"/>
      <family val="2"/>
    </font>
    <font>
      <b/>
      <sz val="12"/>
      <color indexed="8"/>
      <name val="Arial"/>
      <family val="2"/>
    </font>
    <font>
      <strike/>
      <sz val="10"/>
      <color indexed="10"/>
      <name val="Arial"/>
      <family val="2"/>
    </font>
    <font>
      <sz val="11"/>
      <color indexed="8"/>
      <name val="Calibri"/>
      <family val="2"/>
    </font>
    <font>
      <sz val="8"/>
      <name val="Calibri"/>
      <family val="2"/>
    </font>
    <font>
      <i/>
      <sz val="10"/>
      <color indexed="8"/>
      <name val="Arial"/>
      <family val="2"/>
    </font>
    <font>
      <b/>
      <u/>
      <sz val="10"/>
      <name val="Arial"/>
      <family val="2"/>
    </font>
    <font>
      <u/>
      <sz val="11"/>
      <color theme="10"/>
      <name val="Calibri"/>
      <family val="2"/>
    </font>
    <font>
      <sz val="11"/>
      <color theme="1"/>
      <name val="Calibri"/>
      <family val="2"/>
      <scheme val="minor"/>
    </font>
    <font>
      <sz val="16"/>
      <color indexed="8"/>
      <name val="Arial"/>
      <family val="2"/>
    </font>
    <font>
      <sz val="16"/>
      <name val="Arial"/>
      <family val="2"/>
    </font>
    <font>
      <sz val="16"/>
      <color theme="1"/>
      <name val="Calibri"/>
      <family val="2"/>
      <scheme val="minor"/>
    </font>
    <font>
      <b/>
      <sz val="16"/>
      <name val="Arial"/>
      <family val="2"/>
    </font>
    <font>
      <b/>
      <sz val="16"/>
      <color indexed="8"/>
      <name val="Arial"/>
      <family val="2"/>
    </font>
    <font>
      <sz val="16"/>
      <color rgb="FFFF0000"/>
      <name val="Arial"/>
      <family val="2"/>
    </font>
    <font>
      <b/>
      <sz val="16"/>
      <color theme="1"/>
      <name val="Calibri"/>
      <family val="2"/>
      <scheme val="minor"/>
    </font>
    <font>
      <b/>
      <vertAlign val="superscript"/>
      <sz val="10"/>
      <name val="Arial"/>
      <family val="2"/>
    </font>
    <font>
      <b/>
      <vertAlign val="superscript"/>
      <sz val="16"/>
      <color theme="1"/>
      <name val="Calibri"/>
      <family val="2"/>
      <scheme val="minor"/>
    </font>
    <font>
      <sz val="16"/>
      <color theme="0"/>
      <name val="Calibri"/>
      <family val="2"/>
      <scheme val="minor"/>
    </font>
    <font>
      <sz val="10"/>
      <color rgb="FFFF0000"/>
      <name val="Arial"/>
      <family val="2"/>
    </font>
    <font>
      <b/>
      <i/>
      <sz val="10"/>
      <name val="Arial"/>
      <family val="2"/>
    </font>
    <font>
      <sz val="16"/>
      <name val="Calibri"/>
      <family val="2"/>
      <scheme val="minor"/>
    </font>
    <font>
      <b/>
      <sz val="16"/>
      <name val="Calibri"/>
      <family val="2"/>
      <scheme val="minor"/>
    </font>
    <font>
      <b/>
      <vertAlign val="superscript"/>
      <sz val="16"/>
      <name val="Calibri"/>
      <family val="2"/>
      <scheme val="minor"/>
    </font>
    <font>
      <sz val="16"/>
      <color rgb="FFFF0000"/>
      <name val="Calibri"/>
      <family val="2"/>
      <scheme val="minor"/>
    </font>
    <font>
      <b/>
      <vertAlign val="superscript"/>
      <sz val="16"/>
      <color indexed="8"/>
      <name val="Arial"/>
      <family val="2"/>
    </font>
    <font>
      <vertAlign val="superscript"/>
      <sz val="10"/>
      <name val="Arial"/>
      <family val="2"/>
    </font>
    <font>
      <b/>
      <sz val="10"/>
      <color rgb="FFFF0000"/>
      <name val="Arial"/>
      <family val="2"/>
    </font>
    <font>
      <b/>
      <i/>
      <sz val="12"/>
      <color rgb="FFFF0000"/>
      <name val="Arial"/>
      <family val="2"/>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2" fillId="0" borderId="0"/>
    <xf numFmtId="43" fontId="1" fillId="0" borderId="0" applyFont="0" applyFill="0" applyBorder="0" applyAlignment="0" applyProtection="0"/>
    <xf numFmtId="43" fontId="16"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cellStyleXfs>
  <cellXfs count="399">
    <xf numFmtId="0" fontId="0" fillId="0" borderId="0" xfId="0"/>
    <xf numFmtId="0" fontId="3" fillId="0" borderId="0" xfId="0" applyFont="1" applyBorder="1"/>
    <xf numFmtId="0" fontId="4" fillId="0" borderId="0" xfId="0" applyFont="1"/>
    <xf numFmtId="0" fontId="3" fillId="0" borderId="0" xfId="0" applyFont="1" applyAlignment="1">
      <alignment horizontal="center"/>
    </xf>
    <xf numFmtId="0" fontId="5" fillId="0" borderId="0" xfId="0" applyFont="1" applyAlignment="1">
      <alignment horizontal="center"/>
    </xf>
    <xf numFmtId="0" fontId="6" fillId="0" borderId="0" xfId="0" applyFont="1" applyBorder="1"/>
    <xf numFmtId="0" fontId="3" fillId="0" borderId="0" xfId="0" applyFont="1" applyBorder="1" applyAlignment="1">
      <alignment horizontal="center"/>
    </xf>
    <xf numFmtId="0" fontId="4" fillId="0" borderId="0" xfId="0" applyFont="1" applyAlignment="1">
      <alignment horizontal="center"/>
    </xf>
    <xf numFmtId="0" fontId="3" fillId="0" borderId="0" xfId="0" applyFont="1"/>
    <xf numFmtId="0" fontId="3" fillId="0" borderId="0" xfId="0" applyFont="1" applyAlignment="1">
      <alignment horizontal="left"/>
    </xf>
    <xf numFmtId="9" fontId="2" fillId="0" borderId="0" xfId="5" applyFont="1" applyFill="1" applyBorder="1"/>
    <xf numFmtId="0" fontId="7" fillId="0" borderId="0" xfId="0" applyFont="1"/>
    <xf numFmtId="10" fontId="4" fillId="0" borderId="0" xfId="0" applyNumberFormat="1" applyFont="1"/>
    <xf numFmtId="0" fontId="5" fillId="0" borderId="0" xfId="0" applyFont="1" applyFill="1" applyAlignment="1" applyProtection="1"/>
    <xf numFmtId="0" fontId="8" fillId="0" borderId="0" xfId="0" applyFont="1" applyFill="1" applyAlignment="1" applyProtection="1"/>
    <xf numFmtId="0" fontId="9" fillId="0" borderId="0" xfId="0" applyFont="1" applyFill="1" applyAlignment="1" applyProtection="1">
      <alignment horizontal="left" indent="1"/>
    </xf>
    <xf numFmtId="0" fontId="9" fillId="0" borderId="0" xfId="0" applyFont="1" applyFill="1" applyAlignment="1" applyProtection="1"/>
    <xf numFmtId="0" fontId="9" fillId="0" borderId="0" xfId="0" applyFont="1" applyFill="1" applyAlignment="1" applyProtection="1">
      <alignment horizontal="right"/>
    </xf>
    <xf numFmtId="0" fontId="3" fillId="0" borderId="0" xfId="0" applyFont="1" applyAlignment="1">
      <alignment horizontal="left" wrapText="1"/>
    </xf>
    <xf numFmtId="0" fontId="9" fillId="0" borderId="0" xfId="0" applyFont="1" applyFill="1" applyAlignment="1" applyProtection="1">
      <alignment wrapText="1"/>
    </xf>
    <xf numFmtId="0" fontId="9" fillId="0" borderId="0" xfId="0" applyFont="1" applyFill="1" applyAlignment="1" applyProtection="1">
      <alignment horizontal="left" wrapText="1" indent="1"/>
    </xf>
    <xf numFmtId="0" fontId="8" fillId="0" borderId="0" xfId="0" applyFont="1" applyFill="1" applyAlignment="1" applyProtection="1">
      <alignment wrapText="1"/>
    </xf>
    <xf numFmtId="0" fontId="9" fillId="0" borderId="0" xfId="0" applyFont="1" applyFill="1" applyAlignment="1" applyProtection="1">
      <alignment horizontal="right" wrapText="1"/>
    </xf>
    <xf numFmtId="0" fontId="4" fillId="0" borderId="0" xfId="0" applyFont="1" applyAlignment="1">
      <alignment horizontal="left" wrapText="1"/>
    </xf>
    <xf numFmtId="0" fontId="2" fillId="0" borderId="0" xfId="0" applyFont="1"/>
    <xf numFmtId="0" fontId="5" fillId="0" borderId="0" xfId="0" applyFont="1" applyAlignment="1">
      <alignment horizontal="left"/>
    </xf>
    <xf numFmtId="164" fontId="5" fillId="0" borderId="0" xfId="2" applyNumberFormat="1" applyFont="1"/>
    <xf numFmtId="0" fontId="5" fillId="0" borderId="0" xfId="0" applyFont="1"/>
    <xf numFmtId="164" fontId="2" fillId="0" borderId="0" xfId="2" applyNumberFormat="1" applyFont="1"/>
    <xf numFmtId="5" fontId="2" fillId="0" borderId="0" xfId="2" applyNumberFormat="1" applyFont="1" applyFill="1"/>
    <xf numFmtId="164" fontId="2" fillId="0" borderId="0" xfId="2" applyNumberFormat="1" applyFont="1" applyFill="1"/>
    <xf numFmtId="0" fontId="2" fillId="0" borderId="0" xfId="0" applyFont="1" applyFill="1"/>
    <xf numFmtId="7" fontId="2" fillId="0" borderId="0" xfId="2" applyNumberFormat="1" applyFont="1"/>
    <xf numFmtId="43" fontId="2" fillId="0" borderId="0" xfId="2" applyFont="1"/>
    <xf numFmtId="165" fontId="10" fillId="0" borderId="0" xfId="5" applyNumberFormat="1" applyFont="1"/>
    <xf numFmtId="165" fontId="10" fillId="0" borderId="0" xfId="5" applyNumberFormat="1" applyFont="1" applyAlignment="1">
      <alignment horizontal="right"/>
    </xf>
    <xf numFmtId="0" fontId="9" fillId="0" borderId="0" xfId="0" applyFont="1" applyFill="1" applyAlignment="1" applyProtection="1">
      <alignment horizontal="left" indent="2"/>
    </xf>
    <xf numFmtId="0" fontId="2" fillId="0" borderId="0" xfId="0" applyFont="1" applyFill="1" applyAlignment="1" applyProtection="1"/>
    <xf numFmtId="0" fontId="4" fillId="0" borderId="0" xfId="0" applyFont="1" applyFill="1" applyBorder="1"/>
    <xf numFmtId="0" fontId="11" fillId="0" borderId="0" xfId="0" applyFont="1" applyFill="1" applyBorder="1"/>
    <xf numFmtId="0" fontId="12" fillId="0" borderId="0" xfId="0" applyFont="1" applyFill="1" applyBorder="1"/>
    <xf numFmtId="0" fontId="6" fillId="0" borderId="0" xfId="0" applyFont="1" applyFill="1" applyBorder="1"/>
    <xf numFmtId="5" fontId="5" fillId="2" borderId="1" xfId="2" applyNumberFormat="1" applyFont="1" applyFill="1" applyBorder="1"/>
    <xf numFmtId="0" fontId="8" fillId="0" borderId="1" xfId="0" applyFont="1" applyFill="1" applyBorder="1" applyAlignment="1" applyProtection="1">
      <alignment wrapText="1"/>
    </xf>
    <xf numFmtId="0" fontId="3" fillId="0" borderId="1" xfId="0" applyFont="1" applyBorder="1"/>
    <xf numFmtId="0" fontId="9" fillId="0" borderId="0" xfId="0" applyFont="1" applyFill="1" applyAlignment="1" applyProtection="1">
      <alignment horizontal="left" indent="3"/>
    </xf>
    <xf numFmtId="0" fontId="2" fillId="0" borderId="0" xfId="0" applyFont="1" applyFill="1" applyAlignment="1" applyProtection="1">
      <alignment horizontal="left" indent="1"/>
    </xf>
    <xf numFmtId="0" fontId="8" fillId="2" borderId="1" xfId="0" applyFont="1" applyFill="1" applyBorder="1" applyAlignment="1" applyProtection="1">
      <alignment wrapText="1"/>
    </xf>
    <xf numFmtId="0" fontId="3" fillId="2" borderId="1" xfId="0" applyFont="1" applyFill="1" applyBorder="1"/>
    <xf numFmtId="0" fontId="3" fillId="2" borderId="0" xfId="0" applyFont="1" applyFill="1"/>
    <xf numFmtId="0" fontId="5" fillId="0" borderId="0" xfId="0" applyFont="1" applyFill="1" applyBorder="1" applyAlignment="1" applyProtection="1">
      <alignment wrapText="1"/>
    </xf>
    <xf numFmtId="0" fontId="5" fillId="0" borderId="1" xfId="0" applyFont="1" applyFill="1" applyBorder="1" applyAlignment="1" applyProtection="1">
      <alignment horizontal="left" wrapText="1" indent="1"/>
    </xf>
    <xf numFmtId="0" fontId="8" fillId="2" borderId="1" xfId="0" applyFont="1" applyFill="1" applyBorder="1" applyAlignment="1" applyProtection="1"/>
    <xf numFmtId="0" fontId="5" fillId="2" borderId="1" xfId="0" applyFont="1" applyFill="1" applyBorder="1" applyAlignment="1" applyProtection="1"/>
    <xf numFmtId="0" fontId="5" fillId="0" borderId="2" xfId="0" applyFont="1" applyFill="1" applyBorder="1" applyAlignment="1" applyProtection="1"/>
    <xf numFmtId="0" fontId="5" fillId="0" borderId="3" xfId="0" applyFont="1" applyFill="1" applyBorder="1" applyAlignment="1" applyProtection="1"/>
    <xf numFmtId="0" fontId="4" fillId="0" borderId="0" xfId="0" applyFont="1" applyBorder="1"/>
    <xf numFmtId="0" fontId="4" fillId="0" borderId="0" xfId="0" applyFont="1" applyBorder="1" applyAlignment="1">
      <alignment horizontal="center"/>
    </xf>
    <xf numFmtId="37" fontId="2" fillId="0" borderId="0" xfId="2" applyNumberFormat="1" applyFont="1"/>
    <xf numFmtId="0" fontId="5" fillId="2" borderId="4" xfId="1" applyFont="1" applyFill="1" applyBorder="1" applyAlignment="1"/>
    <xf numFmtId="0" fontId="10" fillId="0" borderId="5" xfId="1" applyFont="1" applyFill="1" applyBorder="1" applyAlignment="1">
      <alignment horizontal="left" indent="2"/>
    </xf>
    <xf numFmtId="0" fontId="2" fillId="0" borderId="5" xfId="1" applyFont="1" applyFill="1" applyBorder="1" applyAlignment="1">
      <alignment horizontal="left" indent="1"/>
    </xf>
    <xf numFmtId="0" fontId="5" fillId="0" borderId="5" xfId="1" applyFont="1" applyFill="1" applyBorder="1" applyAlignment="1"/>
    <xf numFmtId="0" fontId="2" fillId="0" borderId="5" xfId="0" applyFont="1" applyBorder="1" applyAlignment="1">
      <alignment horizontal="left" indent="1"/>
    </xf>
    <xf numFmtId="0" fontId="2" fillId="0" borderId="5" xfId="1" applyFont="1" applyFill="1" applyBorder="1" applyAlignment="1"/>
    <xf numFmtId="5" fontId="5" fillId="2" borderId="4" xfId="2" applyNumberFormat="1" applyFont="1" applyFill="1" applyBorder="1"/>
    <xf numFmtId="5" fontId="2" fillId="0" borderId="0" xfId="0" applyNumberFormat="1" applyFont="1"/>
    <xf numFmtId="0" fontId="5" fillId="0" borderId="0" xfId="0" applyFont="1" applyFill="1" applyAlignment="1" applyProtection="1">
      <alignment horizontal="left" wrapText="1" indent="1"/>
    </xf>
    <xf numFmtId="0" fontId="9" fillId="3" borderId="0" xfId="0" applyFont="1" applyFill="1" applyAlignment="1" applyProtection="1">
      <alignment horizontal="left" wrapText="1" indent="2"/>
    </xf>
    <xf numFmtId="0" fontId="9" fillId="3" borderId="0" xfId="0" applyFont="1" applyFill="1" applyAlignment="1" applyProtection="1">
      <alignment horizontal="left" wrapText="1" indent="1"/>
    </xf>
    <xf numFmtId="0" fontId="2" fillId="3" borderId="0" xfId="0" applyFont="1" applyFill="1" applyAlignment="1" applyProtection="1">
      <alignment horizontal="left" wrapText="1" indent="1"/>
    </xf>
    <xf numFmtId="0" fontId="4" fillId="3" borderId="0" xfId="0" applyFont="1" applyFill="1"/>
    <xf numFmtId="0" fontId="9" fillId="3" borderId="0" xfId="0" applyFont="1" applyFill="1" applyAlignment="1" applyProtection="1">
      <alignment wrapText="1"/>
    </xf>
    <xf numFmtId="0" fontId="8" fillId="3" borderId="0" xfId="0" applyFont="1" applyFill="1" applyAlignment="1" applyProtection="1">
      <alignment horizontal="left" wrapText="1" indent="1"/>
    </xf>
    <xf numFmtId="0" fontId="3" fillId="4" borderId="1" xfId="0" applyFont="1" applyFill="1" applyBorder="1"/>
    <xf numFmtId="0" fontId="4" fillId="4" borderId="1" xfId="0" applyFont="1" applyFill="1" applyBorder="1"/>
    <xf numFmtId="164" fontId="2" fillId="0" borderId="6" xfId="2" applyNumberFormat="1" applyFont="1" applyFill="1" applyBorder="1"/>
    <xf numFmtId="16" fontId="3" fillId="0" borderId="0" xfId="0" applyNumberFormat="1" applyFont="1" applyAlignment="1">
      <alignment horizontal="center"/>
    </xf>
    <xf numFmtId="39" fontId="2" fillId="0" borderId="0" xfId="2" applyNumberFormat="1" applyFont="1"/>
    <xf numFmtId="165" fontId="10" fillId="0" borderId="6" xfId="5" applyNumberFormat="1" applyFont="1" applyBorder="1"/>
    <xf numFmtId="164" fontId="5" fillId="4" borderId="1" xfId="2" applyNumberFormat="1" applyFont="1" applyFill="1" applyBorder="1"/>
    <xf numFmtId="0" fontId="4" fillId="0" borderId="0" xfId="0" applyFont="1" applyBorder="1" applyAlignment="1">
      <alignment horizontal="left" inden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left"/>
    </xf>
    <xf numFmtId="37" fontId="2" fillId="0" borderId="0" xfId="0" applyNumberFormat="1" applyFont="1"/>
    <xf numFmtId="165" fontId="10" fillId="0" borderId="2" xfId="5" applyNumberFormat="1" applyFont="1" applyBorder="1" applyAlignment="1">
      <alignment horizontal="right"/>
    </xf>
    <xf numFmtId="0" fontId="14" fillId="0" borderId="0" xfId="0" applyFont="1" applyBorder="1" applyAlignment="1">
      <alignment horizontal="center"/>
    </xf>
    <xf numFmtId="0" fontId="2" fillId="0" borderId="5" xfId="1" applyFont="1" applyFill="1" applyBorder="1" applyAlignment="1">
      <alignment horizontal="left" indent="2"/>
    </xf>
    <xf numFmtId="0" fontId="2" fillId="0" borderId="5" xfId="1" applyFont="1" applyFill="1" applyBorder="1" applyAlignment="1">
      <alignment horizontal="left" indent="3"/>
    </xf>
    <xf numFmtId="0" fontId="2" fillId="0" borderId="7" xfId="1" applyFont="1" applyFill="1" applyBorder="1" applyAlignment="1">
      <alignment horizontal="left" indent="1"/>
    </xf>
    <xf numFmtId="0" fontId="5" fillId="0" borderId="5" xfId="1" applyFont="1" applyFill="1" applyBorder="1" applyAlignment="1">
      <alignment horizontal="left" indent="2"/>
    </xf>
    <xf numFmtId="9" fontId="2" fillId="0" borderId="0" xfId="5" applyFont="1"/>
    <xf numFmtId="0" fontId="2" fillId="0" borderId="0" xfId="0" applyFont="1" applyBorder="1"/>
    <xf numFmtId="43" fontId="5" fillId="4" borderId="1" xfId="2" applyFont="1" applyFill="1" applyBorder="1"/>
    <xf numFmtId="0" fontId="2" fillId="4" borderId="1" xfId="0" applyFont="1" applyFill="1" applyBorder="1"/>
    <xf numFmtId="9" fontId="2" fillId="0" borderId="0" xfId="5" applyFont="1" applyBorder="1"/>
    <xf numFmtId="165" fontId="5" fillId="4" borderId="1" xfId="0" applyNumberFormat="1" applyFont="1" applyFill="1" applyBorder="1"/>
    <xf numFmtId="0" fontId="2" fillId="0" borderId="0" xfId="0" applyFont="1" applyFill="1" applyBorder="1"/>
    <xf numFmtId="0" fontId="15" fillId="0" borderId="0" xfId="0" applyFont="1" applyFill="1" applyAlignment="1" applyProtection="1">
      <alignment horizontal="left" wrapText="1" indent="1"/>
    </xf>
    <xf numFmtId="5" fontId="4" fillId="0" borderId="0" xfId="0" applyNumberFormat="1" applyFont="1"/>
    <xf numFmtId="165" fontId="2" fillId="0" borderId="0" xfId="5" applyNumberFormat="1" applyFont="1"/>
    <xf numFmtId="5" fontId="4" fillId="0" borderId="0" xfId="0" applyNumberFormat="1" applyFont="1" applyBorder="1"/>
    <xf numFmtId="165" fontId="10" fillId="0" borderId="0" xfId="5" applyNumberFormat="1" applyFont="1" applyBorder="1" applyAlignment="1">
      <alignment horizontal="right"/>
    </xf>
    <xf numFmtId="164" fontId="2" fillId="0" borderId="0" xfId="2" applyNumberFormat="1" applyFont="1" applyBorder="1" applyAlignment="1">
      <alignment horizontal="right"/>
    </xf>
    <xf numFmtId="164" fontId="5" fillId="2" borderId="1" xfId="2" applyNumberFormat="1" applyFont="1" applyFill="1" applyBorder="1"/>
    <xf numFmtId="165" fontId="10" fillId="0" borderId="0" xfId="5" applyNumberFormat="1" applyFont="1" applyBorder="1"/>
    <xf numFmtId="7" fontId="5" fillId="2" borderId="1" xfId="2" applyNumberFormat="1" applyFont="1" applyFill="1" applyBorder="1"/>
    <xf numFmtId="0" fontId="10" fillId="0" borderId="5" xfId="0" applyFont="1" applyBorder="1" applyAlignment="1">
      <alignment horizontal="left" indent="2"/>
    </xf>
    <xf numFmtId="0" fontId="5" fillId="2" borderId="8" xfId="1" applyFont="1" applyFill="1" applyBorder="1" applyAlignment="1"/>
    <xf numFmtId="0" fontId="10" fillId="0" borderId="7" xfId="1" applyFont="1" applyFill="1" applyBorder="1" applyAlignment="1">
      <alignment horizontal="left" indent="2"/>
    </xf>
    <xf numFmtId="165" fontId="10" fillId="0" borderId="5" xfId="5" applyNumberFormat="1" applyFont="1" applyBorder="1" applyAlignment="1">
      <alignment horizontal="right"/>
    </xf>
    <xf numFmtId="10" fontId="2" fillId="0" borderId="0" xfId="0" applyNumberFormat="1" applyFont="1" applyBorder="1"/>
    <xf numFmtId="0" fontId="5" fillId="0" borderId="0" xfId="0" applyFont="1" applyBorder="1" applyAlignment="1">
      <alignment horizontal="left"/>
    </xf>
    <xf numFmtId="0" fontId="10" fillId="0" borderId="0" xfId="1" applyFont="1" applyFill="1" applyBorder="1" applyAlignment="1">
      <alignment horizontal="left" indent="2"/>
    </xf>
    <xf numFmtId="0" fontId="10" fillId="0" borderId="2" xfId="1" applyFont="1" applyFill="1" applyBorder="1" applyAlignment="1">
      <alignment horizontal="left" indent="2"/>
    </xf>
    <xf numFmtId="164" fontId="4" fillId="0" borderId="0" xfId="3" applyNumberFormat="1" applyFont="1"/>
    <xf numFmtId="5" fontId="3" fillId="2" borderId="1" xfId="3" applyNumberFormat="1" applyFont="1" applyFill="1" applyBorder="1"/>
    <xf numFmtId="5" fontId="4" fillId="0" borderId="0" xfId="3" applyNumberFormat="1" applyFont="1"/>
    <xf numFmtId="5" fontId="3" fillId="0" borderId="1" xfId="3" applyNumberFormat="1" applyFont="1" applyBorder="1"/>
    <xf numFmtId="0" fontId="3" fillId="0" borderId="1" xfId="0" applyFont="1" applyFill="1" applyBorder="1" applyAlignment="1" applyProtection="1">
      <alignment wrapText="1"/>
    </xf>
    <xf numFmtId="164" fontId="4" fillId="0" borderId="0" xfId="3" applyNumberFormat="1" applyFont="1" applyBorder="1"/>
    <xf numFmtId="0" fontId="4" fillId="0" borderId="0" xfId="0" applyFont="1" applyFill="1" applyBorder="1" applyAlignment="1" applyProtection="1">
      <alignment wrapText="1"/>
    </xf>
    <xf numFmtId="37" fontId="4" fillId="0" borderId="0" xfId="3" applyNumberFormat="1" applyFont="1"/>
    <xf numFmtId="37" fontId="4" fillId="3" borderId="0" xfId="3" applyNumberFormat="1" applyFont="1" applyFill="1"/>
    <xf numFmtId="164" fontId="4" fillId="3" borderId="0" xfId="3" applyNumberFormat="1" applyFont="1" applyFill="1"/>
    <xf numFmtId="5" fontId="4" fillId="3" borderId="0" xfId="3" applyNumberFormat="1" applyFont="1" applyFill="1"/>
    <xf numFmtId="43" fontId="4" fillId="3" borderId="0" xfId="3" applyFont="1" applyFill="1"/>
    <xf numFmtId="5" fontId="3" fillId="3" borderId="0" xfId="3" applyNumberFormat="1" applyFont="1" applyFill="1"/>
    <xf numFmtId="164" fontId="3" fillId="3" borderId="0" xfId="3" applyNumberFormat="1" applyFont="1" applyFill="1"/>
    <xf numFmtId="164" fontId="4" fillId="0" borderId="0" xfId="3" applyNumberFormat="1" applyFont="1" applyFill="1" applyBorder="1"/>
    <xf numFmtId="164" fontId="3" fillId="2" borderId="1" xfId="3" applyNumberFormat="1" applyFont="1" applyFill="1" applyBorder="1"/>
    <xf numFmtId="164" fontId="13" fillId="3" borderId="0" xfId="3" applyNumberFormat="1" applyFont="1" applyFill="1"/>
    <xf numFmtId="5" fontId="3" fillId="3" borderId="1" xfId="3" applyNumberFormat="1" applyFont="1" applyFill="1" applyBorder="1"/>
    <xf numFmtId="164" fontId="4" fillId="0" borderId="1" xfId="3" applyNumberFormat="1" applyFont="1" applyBorder="1"/>
    <xf numFmtId="37" fontId="2" fillId="3" borderId="0" xfId="3" applyNumberFormat="1" applyFont="1" applyFill="1"/>
    <xf numFmtId="0" fontId="10" fillId="0" borderId="0" xfId="0" applyFont="1" applyBorder="1"/>
    <xf numFmtId="0" fontId="18" fillId="0" borderId="0" xfId="0" applyFont="1"/>
    <xf numFmtId="167" fontId="2" fillId="0" borderId="0" xfId="0" applyNumberFormat="1" applyFont="1"/>
    <xf numFmtId="9" fontId="10" fillId="0" borderId="0" xfId="5" applyFont="1"/>
    <xf numFmtId="0" fontId="19" fillId="0" borderId="0" xfId="0" applyFont="1"/>
    <xf numFmtId="4" fontId="2" fillId="0" borderId="0" xfId="0" applyNumberFormat="1" applyFont="1"/>
    <xf numFmtId="9" fontId="5" fillId="0" borderId="0" xfId="5" applyFont="1" applyBorder="1"/>
    <xf numFmtId="7" fontId="5" fillId="0" borderId="0" xfId="2" applyNumberFormat="1" applyFont="1"/>
    <xf numFmtId="5" fontId="5" fillId="0" borderId="0" xfId="2" applyNumberFormat="1" applyFont="1" applyFill="1"/>
    <xf numFmtId="165" fontId="10" fillId="0" borderId="0" xfId="5" applyNumberFormat="1" applyFont="1" applyFill="1"/>
    <xf numFmtId="164" fontId="4" fillId="0" borderId="0" xfId="2" applyNumberFormat="1" applyFont="1"/>
    <xf numFmtId="9" fontId="2" fillId="0" borderId="0" xfId="5" applyNumberFormat="1" applyFont="1" applyBorder="1"/>
    <xf numFmtId="165" fontId="10" fillId="0" borderId="2" xfId="5" applyNumberFormat="1" applyFont="1" applyFill="1" applyBorder="1"/>
    <xf numFmtId="0" fontId="20" fillId="0" borderId="0" xfId="4" applyBorder="1" applyAlignment="1" applyProtection="1"/>
    <xf numFmtId="0" fontId="5" fillId="0" borderId="0" xfId="0" applyFont="1" applyBorder="1" applyAlignment="1">
      <alignment horizontal="center" vertical="center"/>
    </xf>
    <xf numFmtId="0" fontId="5" fillId="0" borderId="0" xfId="0" applyFont="1" applyAlignment="1">
      <alignment horizontal="center" vertical="center"/>
    </xf>
    <xf numFmtId="5" fontId="2" fillId="0" borderId="0" xfId="0" applyNumberFormat="1" applyFont="1" applyBorder="1"/>
    <xf numFmtId="0" fontId="5" fillId="0" borderId="0" xfId="0" applyFont="1" applyBorder="1"/>
    <xf numFmtId="164" fontId="4" fillId="0" borderId="0" xfId="2" applyNumberFormat="1" applyFont="1" applyFill="1" applyBorder="1"/>
    <xf numFmtId="0" fontId="2" fillId="0" borderId="0" xfId="0" applyFont="1" applyFill="1" applyAlignment="1" applyProtection="1">
      <alignment horizontal="left" indent="3"/>
    </xf>
    <xf numFmtId="0" fontId="2" fillId="0" borderId="0" xfId="0" applyFont="1" applyFill="1" applyAlignment="1" applyProtection="1">
      <alignment horizontal="left" indent="2"/>
    </xf>
    <xf numFmtId="0" fontId="5" fillId="0" borderId="0" xfId="0" applyFont="1" applyAlignment="1">
      <alignment horizontal="center"/>
    </xf>
    <xf numFmtId="0" fontId="3" fillId="0" borderId="0" xfId="0" applyFont="1" applyBorder="1" applyAlignment="1">
      <alignment horizontal="right"/>
    </xf>
    <xf numFmtId="0" fontId="22" fillId="0" borderId="0" xfId="0" applyFont="1" applyAlignment="1">
      <alignment horizontal="center"/>
    </xf>
    <xf numFmtId="0" fontId="22" fillId="0" borderId="0" xfId="0" applyFont="1"/>
    <xf numFmtId="0" fontId="23" fillId="0" borderId="0" xfId="0" applyFont="1"/>
    <xf numFmtId="0" fontId="24" fillId="0" borderId="0" xfId="0" applyFont="1"/>
    <xf numFmtId="0" fontId="22" fillId="0" borderId="0" xfId="0" applyFont="1" applyBorder="1" applyAlignment="1">
      <alignment horizontal="center"/>
    </xf>
    <xf numFmtId="0" fontId="22" fillId="0" borderId="0" xfId="0" applyFont="1" applyBorder="1"/>
    <xf numFmtId="0" fontId="25" fillId="0" borderId="0" xfId="0" applyFont="1" applyBorder="1" applyAlignment="1">
      <alignment horizontal="center"/>
    </xf>
    <xf numFmtId="0" fontId="26" fillId="0" borderId="0" xfId="0" applyFont="1" applyBorder="1"/>
    <xf numFmtId="0" fontId="23" fillId="0" borderId="0" xfId="0" applyFont="1" applyBorder="1"/>
    <xf numFmtId="0" fontId="22" fillId="4" borderId="1" xfId="0" applyFont="1" applyFill="1" applyBorder="1" applyAlignment="1">
      <alignment horizontal="center"/>
    </xf>
    <xf numFmtId="0" fontId="26" fillId="4" borderId="1" xfId="0" applyFont="1" applyFill="1" applyBorder="1"/>
    <xf numFmtId="5" fontId="25" fillId="4" borderId="1" xfId="2" applyNumberFormat="1" applyFont="1" applyFill="1" applyBorder="1"/>
    <xf numFmtId="0" fontId="22" fillId="0" borderId="0" xfId="0" applyFont="1" applyBorder="1" applyAlignment="1">
      <alignment horizontal="left" indent="1"/>
    </xf>
    <xf numFmtId="165" fontId="22" fillId="0" borderId="0" xfId="5" applyNumberFormat="1" applyFont="1" applyBorder="1"/>
    <xf numFmtId="165" fontId="23" fillId="0" borderId="0" xfId="5" applyNumberFormat="1" applyFont="1" applyBorder="1"/>
    <xf numFmtId="37" fontId="23" fillId="3" borderId="0" xfId="2" applyNumberFormat="1" applyFont="1" applyFill="1" applyBorder="1"/>
    <xf numFmtId="0" fontId="22" fillId="0" borderId="0" xfId="0" applyFont="1" applyAlignment="1"/>
    <xf numFmtId="0" fontId="26" fillId="4" borderId="0" xfId="0" applyFont="1" applyFill="1" applyBorder="1"/>
    <xf numFmtId="5" fontId="25" fillId="4" borderId="0" xfId="2" applyNumberFormat="1" applyFont="1" applyFill="1" applyBorder="1"/>
    <xf numFmtId="42" fontId="25" fillId="4" borderId="0" xfId="2" applyNumberFormat="1" applyFont="1" applyFill="1" applyBorder="1"/>
    <xf numFmtId="0" fontId="22" fillId="0" borderId="0" xfId="0" applyFont="1" applyAlignment="1">
      <alignment horizontal="left"/>
    </xf>
    <xf numFmtId="165" fontId="22" fillId="0" borderId="0" xfId="5" applyNumberFormat="1" applyFont="1" applyFill="1" applyBorder="1"/>
    <xf numFmtId="165" fontId="23" fillId="0" borderId="0" xfId="5" applyNumberFormat="1" applyFont="1" applyFill="1" applyBorder="1"/>
    <xf numFmtId="0" fontId="23" fillId="4" borderId="1" xfId="0" applyFont="1" applyFill="1" applyBorder="1"/>
    <xf numFmtId="0" fontId="23" fillId="0" borderId="0" xfId="0" applyFont="1" applyBorder="1" applyAlignment="1">
      <alignment horizontal="left" indent="1"/>
    </xf>
    <xf numFmtId="0" fontId="27" fillId="0" borderId="0" xfId="0" applyFont="1" applyBorder="1" applyAlignment="1">
      <alignment horizontal="center"/>
    </xf>
    <xf numFmtId="9" fontId="24" fillId="0" borderId="0" xfId="5" applyNumberFormat="1" applyFont="1"/>
    <xf numFmtId="0" fontId="24" fillId="0" borderId="0" xfId="0" applyFont="1" applyAlignment="1"/>
    <xf numFmtId="164" fontId="2" fillId="0" borderId="0" xfId="0" applyNumberFormat="1" applyFont="1"/>
    <xf numFmtId="0" fontId="4" fillId="0" borderId="0" xfId="0" applyFont="1" applyBorder="1" applyAlignment="1">
      <alignment horizontal="right"/>
    </xf>
    <xf numFmtId="5" fontId="3" fillId="0" borderId="0" xfId="0" applyNumberFormat="1" applyFont="1" applyBorder="1" applyAlignment="1">
      <alignment horizontal="right"/>
    </xf>
    <xf numFmtId="5" fontId="5" fillId="0" borderId="2" xfId="3" applyNumberFormat="1" applyFont="1" applyBorder="1" applyAlignment="1">
      <alignment horizontal="right"/>
    </xf>
    <xf numFmtId="37" fontId="5" fillId="0" borderId="3" xfId="3" applyNumberFormat="1" applyFont="1" applyBorder="1" applyAlignment="1">
      <alignment horizontal="right"/>
    </xf>
    <xf numFmtId="5" fontId="5" fillId="2" borderId="1" xfId="3" applyNumberFormat="1" applyFont="1" applyFill="1" applyBorder="1" applyAlignment="1">
      <alignment horizontal="right"/>
    </xf>
    <xf numFmtId="0" fontId="4" fillId="0" borderId="0" xfId="0" applyFont="1" applyAlignment="1">
      <alignment horizontal="right"/>
    </xf>
    <xf numFmtId="5" fontId="4" fillId="0" borderId="0" xfId="0" applyNumberFormat="1" applyFont="1" applyBorder="1" applyAlignment="1">
      <alignment horizontal="right"/>
    </xf>
    <xf numFmtId="5" fontId="5" fillId="0" borderId="0" xfId="3" applyNumberFormat="1" applyFont="1" applyAlignment="1">
      <alignment horizontal="right"/>
    </xf>
    <xf numFmtId="37" fontId="4" fillId="0" borderId="0" xfId="0" applyNumberFormat="1" applyFont="1" applyAlignment="1">
      <alignment horizontal="right"/>
    </xf>
    <xf numFmtId="37" fontId="2" fillId="0" borderId="0" xfId="3" applyNumberFormat="1" applyFont="1" applyAlignment="1">
      <alignment horizontal="right"/>
    </xf>
    <xf numFmtId="42" fontId="25" fillId="4" borderId="3" xfId="2" applyNumberFormat="1" applyFont="1" applyFill="1" applyBorder="1"/>
    <xf numFmtId="0" fontId="24" fillId="0" borderId="3" xfId="0" applyFont="1" applyBorder="1"/>
    <xf numFmtId="43" fontId="4" fillId="3" borderId="0" xfId="2" applyFont="1" applyFill="1"/>
    <xf numFmtId="43" fontId="4" fillId="0" borderId="0" xfId="2" applyFont="1"/>
    <xf numFmtId="9" fontId="24" fillId="0" borderId="0" xfId="5" applyFont="1"/>
    <xf numFmtId="164" fontId="2" fillId="0" borderId="0" xfId="2" applyNumberFormat="1" applyFont="1" applyFill="1" applyAlignment="1">
      <alignment horizontal="right"/>
    </xf>
    <xf numFmtId="164" fontId="4" fillId="0" borderId="0" xfId="2" applyNumberFormat="1" applyFont="1" applyBorder="1" applyAlignment="1">
      <alignment horizontal="right"/>
    </xf>
    <xf numFmtId="43" fontId="5" fillId="0" borderId="3" xfId="2" applyFont="1" applyBorder="1" applyAlignment="1">
      <alignment horizontal="right"/>
    </xf>
    <xf numFmtId="43" fontId="4" fillId="0" borderId="0" xfId="2" applyFont="1" applyBorder="1"/>
    <xf numFmtId="43" fontId="2" fillId="0" borderId="0" xfId="2" applyFont="1" applyAlignment="1">
      <alignment horizontal="right"/>
    </xf>
    <xf numFmtId="164" fontId="2" fillId="0" borderId="0" xfId="0" applyNumberFormat="1" applyFont="1" applyFill="1"/>
    <xf numFmtId="0" fontId="5" fillId="5" borderId="0" xfId="0" applyFont="1" applyFill="1" applyAlignment="1">
      <alignment horizontal="center"/>
    </xf>
    <xf numFmtId="0" fontId="2" fillId="5" borderId="0" xfId="0" applyFont="1" applyFill="1"/>
    <xf numFmtId="164" fontId="5" fillId="5" borderId="1" xfId="2" applyNumberFormat="1" applyFont="1" applyFill="1" applyBorder="1"/>
    <xf numFmtId="165" fontId="10" fillId="5" borderId="0" xfId="5" applyNumberFormat="1" applyFont="1" applyFill="1"/>
    <xf numFmtId="164" fontId="2" fillId="5" borderId="0" xfId="2" applyNumberFormat="1" applyFont="1" applyFill="1"/>
    <xf numFmtId="9" fontId="2" fillId="5" borderId="0" xfId="5" applyFont="1" applyFill="1"/>
    <xf numFmtId="164" fontId="5" fillId="5" borderId="0" xfId="2" applyNumberFormat="1" applyFont="1" applyFill="1"/>
    <xf numFmtId="5" fontId="5" fillId="5" borderId="1" xfId="2" applyNumberFormat="1" applyFont="1" applyFill="1" applyBorder="1"/>
    <xf numFmtId="5" fontId="2" fillId="5" borderId="0" xfId="2" applyNumberFormat="1" applyFont="1" applyFill="1"/>
    <xf numFmtId="37" fontId="2" fillId="5" borderId="0" xfId="2" applyNumberFormat="1" applyFont="1" applyFill="1"/>
    <xf numFmtId="165" fontId="10" fillId="5" borderId="0" xfId="5" applyNumberFormat="1" applyFont="1" applyFill="1" applyAlignment="1">
      <alignment horizontal="right"/>
    </xf>
    <xf numFmtId="165" fontId="10" fillId="5" borderId="6" xfId="5" applyNumberFormat="1" applyFont="1" applyFill="1" applyBorder="1"/>
    <xf numFmtId="7" fontId="2" fillId="5" borderId="0" xfId="2" applyNumberFormat="1" applyFont="1" applyFill="1"/>
    <xf numFmtId="39" fontId="2" fillId="5" borderId="0" xfId="2" applyNumberFormat="1" applyFont="1" applyFill="1"/>
    <xf numFmtId="7" fontId="5" fillId="5" borderId="0" xfId="2" applyNumberFormat="1" applyFont="1" applyFill="1"/>
    <xf numFmtId="43" fontId="2" fillId="5" borderId="0" xfId="2" applyFont="1" applyFill="1"/>
    <xf numFmtId="164" fontId="2" fillId="5" borderId="6" xfId="2" applyNumberFormat="1" applyFont="1" applyFill="1" applyBorder="1"/>
    <xf numFmtId="164" fontId="2" fillId="5" borderId="0" xfId="2" applyNumberFormat="1" applyFont="1" applyFill="1" applyBorder="1" applyAlignment="1">
      <alignment horizontal="right"/>
    </xf>
    <xf numFmtId="165" fontId="10" fillId="5" borderId="0" xfId="5" applyNumberFormat="1" applyFont="1" applyFill="1" applyBorder="1"/>
    <xf numFmtId="37" fontId="2" fillId="5" borderId="0" xfId="0" applyNumberFormat="1" applyFont="1" applyFill="1"/>
    <xf numFmtId="165" fontId="10" fillId="5" borderId="0" xfId="5" applyNumberFormat="1" applyFont="1" applyFill="1" applyBorder="1" applyAlignment="1">
      <alignment horizontal="right"/>
    </xf>
    <xf numFmtId="166" fontId="2" fillId="5" borderId="0" xfId="2" applyNumberFormat="1" applyFont="1" applyFill="1" applyBorder="1" applyAlignment="1">
      <alignment horizontal="right"/>
    </xf>
    <xf numFmtId="7" fontId="5" fillId="5" borderId="1" xfId="2" applyNumberFormat="1" applyFont="1" applyFill="1" applyBorder="1"/>
    <xf numFmtId="165" fontId="10" fillId="5" borderId="2" xfId="5" applyNumberFormat="1" applyFont="1" applyFill="1" applyBorder="1"/>
    <xf numFmtId="0" fontId="5" fillId="5" borderId="0" xfId="0" applyFont="1" applyFill="1"/>
    <xf numFmtId="5" fontId="5" fillId="5" borderId="0" xfId="2" applyNumberFormat="1" applyFont="1" applyFill="1"/>
    <xf numFmtId="5" fontId="2" fillId="5" borderId="0" xfId="0" applyNumberFormat="1" applyFont="1" applyFill="1"/>
    <xf numFmtId="0" fontId="25" fillId="6" borderId="0" xfId="0" applyFont="1" applyFill="1" applyBorder="1" applyAlignment="1">
      <alignment horizontal="center"/>
    </xf>
    <xf numFmtId="0" fontId="23" fillId="6" borderId="0" xfId="0" applyFont="1" applyFill="1" applyBorder="1"/>
    <xf numFmtId="5" fontId="25" fillId="6" borderId="1" xfId="2" applyNumberFormat="1" applyFont="1" applyFill="1" applyBorder="1"/>
    <xf numFmtId="165" fontId="22" fillId="6" borderId="0" xfId="5" applyNumberFormat="1" applyFont="1" applyFill="1" applyBorder="1"/>
    <xf numFmtId="165" fontId="23" fillId="6" borderId="0" xfId="5" applyNumberFormat="1" applyFont="1" applyFill="1" applyBorder="1"/>
    <xf numFmtId="37" fontId="23" fillId="6" borderId="0" xfId="2" applyNumberFormat="1" applyFont="1" applyFill="1" applyBorder="1"/>
    <xf numFmtId="5" fontId="25" fillId="6" borderId="0" xfId="2" applyNumberFormat="1" applyFont="1" applyFill="1" applyBorder="1"/>
    <xf numFmtId="0" fontId="24" fillId="6" borderId="0" xfId="0" applyFont="1" applyFill="1"/>
    <xf numFmtId="165" fontId="24" fillId="6" borderId="0" xfId="5" applyNumberFormat="1" applyFont="1" applyFill="1"/>
    <xf numFmtId="42" fontId="25" fillId="6" borderId="0" xfId="2" applyNumberFormat="1" applyFont="1" applyFill="1" applyBorder="1"/>
    <xf numFmtId="42" fontId="25" fillId="6" borderId="1" xfId="2" applyNumberFormat="1" applyFont="1" applyFill="1" applyBorder="1"/>
    <xf numFmtId="164" fontId="4" fillId="0" borderId="0" xfId="2" applyNumberFormat="1" applyFont="1" applyFill="1" applyBorder="1" applyAlignment="1">
      <alignment horizontal="right"/>
    </xf>
    <xf numFmtId="164" fontId="4" fillId="0" borderId="0" xfId="2" applyNumberFormat="1" applyFont="1" applyBorder="1"/>
    <xf numFmtId="164" fontId="4" fillId="0" borderId="0" xfId="2" applyNumberFormat="1" applyFont="1" applyAlignment="1">
      <alignment horizontal="right"/>
    </xf>
    <xf numFmtId="5" fontId="23" fillId="6" borderId="0" xfId="0" applyNumberFormat="1" applyFont="1" applyFill="1" applyBorder="1"/>
    <xf numFmtId="9" fontId="23" fillId="6" borderId="0" xfId="0" applyNumberFormat="1" applyFont="1" applyFill="1" applyBorder="1"/>
    <xf numFmtId="9" fontId="24" fillId="6" borderId="0" xfId="5" applyNumberFormat="1" applyFont="1" applyFill="1"/>
    <xf numFmtId="9" fontId="23" fillId="6" borderId="0" xfId="5" applyNumberFormat="1" applyFont="1" applyFill="1" applyBorder="1"/>
    <xf numFmtId="9" fontId="23" fillId="6" borderId="0" xfId="5" applyFont="1" applyFill="1" applyBorder="1"/>
    <xf numFmtId="165" fontId="23" fillId="0" borderId="0" xfId="0" applyNumberFormat="1" applyFont="1" applyFill="1" applyBorder="1"/>
    <xf numFmtId="165" fontId="10" fillId="5" borderId="2" xfId="5" applyNumberFormat="1" applyFont="1" applyFill="1" applyBorder="1" applyAlignment="1">
      <alignment horizontal="right"/>
    </xf>
    <xf numFmtId="0" fontId="4" fillId="0" borderId="0" xfId="0" applyFont="1" applyFill="1"/>
    <xf numFmtId="9" fontId="4" fillId="0" borderId="0" xfId="5" applyNumberFormat="1" applyFont="1" applyBorder="1"/>
    <xf numFmtId="165" fontId="4" fillId="0" borderId="0" xfId="5" applyNumberFormat="1" applyFont="1"/>
    <xf numFmtId="43" fontId="24" fillId="0" borderId="0" xfId="2" applyFont="1"/>
    <xf numFmtId="164" fontId="2" fillId="5" borderId="0" xfId="0" applyNumberFormat="1" applyFont="1" applyFill="1"/>
    <xf numFmtId="0" fontId="31" fillId="0" borderId="0" xfId="0" applyFont="1" applyFill="1"/>
    <xf numFmtId="164" fontId="31" fillId="0" borderId="0" xfId="2" applyNumberFormat="1" applyFont="1" applyFill="1"/>
    <xf numFmtId="43" fontId="2" fillId="0" borderId="0" xfId="0" applyNumberFormat="1" applyFont="1" applyFill="1"/>
    <xf numFmtId="16" fontId="5" fillId="5" borderId="0" xfId="0" applyNumberFormat="1" applyFont="1" applyFill="1" applyAlignment="1">
      <alignment horizontal="center" wrapText="1"/>
    </xf>
    <xf numFmtId="0" fontId="5" fillId="5" borderId="0" xfId="0" applyFont="1" applyFill="1" applyBorder="1"/>
    <xf numFmtId="0" fontId="2" fillId="5" borderId="0" xfId="0" applyFont="1" applyFill="1" applyBorder="1"/>
    <xf numFmtId="5" fontId="5" fillId="5" borderId="0" xfId="3" applyNumberFormat="1" applyFont="1" applyFill="1"/>
    <xf numFmtId="37" fontId="2" fillId="5" borderId="0" xfId="3" applyNumberFormat="1" applyFont="1" applyFill="1"/>
    <xf numFmtId="5" fontId="2" fillId="5" borderId="0" xfId="3" applyNumberFormat="1" applyFont="1" applyFill="1"/>
    <xf numFmtId="5" fontId="5" fillId="5" borderId="2" xfId="3" applyNumberFormat="1" applyFont="1" applyFill="1" applyBorder="1"/>
    <xf numFmtId="43" fontId="5" fillId="5" borderId="3" xfId="2" applyFont="1" applyFill="1" applyBorder="1"/>
    <xf numFmtId="5" fontId="5" fillId="5" borderId="1" xfId="3" applyNumberFormat="1" applyFont="1" applyFill="1" applyBorder="1"/>
    <xf numFmtId="5" fontId="2" fillId="5" borderId="0" xfId="0" applyNumberFormat="1" applyFont="1" applyFill="1" applyBorder="1"/>
    <xf numFmtId="37" fontId="5" fillId="5" borderId="3" xfId="3" applyNumberFormat="1" applyFont="1" applyFill="1" applyBorder="1"/>
    <xf numFmtId="5" fontId="4" fillId="5" borderId="0" xfId="0" applyNumberFormat="1" applyFont="1" applyFill="1" applyBorder="1"/>
    <xf numFmtId="9" fontId="4" fillId="0" borderId="0" xfId="5" applyFont="1" applyBorder="1"/>
    <xf numFmtId="165" fontId="2" fillId="0" borderId="0" xfId="5" applyNumberFormat="1" applyFont="1" applyBorder="1"/>
    <xf numFmtId="7" fontId="5" fillId="2" borderId="1" xfId="2" applyNumberFormat="1" applyFont="1" applyFill="1" applyBorder="1" applyAlignment="1">
      <alignment horizontal="right"/>
    </xf>
    <xf numFmtId="5" fontId="24" fillId="0" borderId="0" xfId="0" applyNumberFormat="1" applyFont="1"/>
    <xf numFmtId="164" fontId="2" fillId="0" borderId="0" xfId="2" applyNumberFormat="1" applyFont="1" applyFill="1" applyBorder="1" applyAlignment="1">
      <alignment horizontal="right"/>
    </xf>
    <xf numFmtId="164" fontId="4" fillId="0" borderId="0" xfId="2" quotePrefix="1" applyNumberFormat="1" applyFont="1"/>
    <xf numFmtId="0" fontId="32" fillId="0" borderId="0" xfId="0" applyFont="1" applyBorder="1"/>
    <xf numFmtId="5" fontId="2" fillId="7" borderId="0" xfId="0" applyNumberFormat="1" applyFont="1" applyFill="1" applyBorder="1"/>
    <xf numFmtId="0" fontId="5" fillId="0" borderId="0" xfId="0" applyFont="1" applyBorder="1" applyAlignment="1">
      <alignment horizontal="center"/>
    </xf>
    <xf numFmtId="164" fontId="2" fillId="7" borderId="0" xfId="2" applyNumberFormat="1" applyFont="1" applyFill="1" applyBorder="1"/>
    <xf numFmtId="5" fontId="5" fillId="7" borderId="0" xfId="0" applyNumberFormat="1" applyFont="1" applyFill="1" applyBorder="1"/>
    <xf numFmtId="164" fontId="23" fillId="0" borderId="0" xfId="2" applyNumberFormat="1" applyFont="1" applyBorder="1"/>
    <xf numFmtId="164" fontId="24" fillId="0" borderId="0" xfId="2" applyNumberFormat="1" applyFont="1"/>
    <xf numFmtId="9" fontId="34" fillId="0" borderId="0" xfId="5" applyNumberFormat="1" applyFont="1"/>
    <xf numFmtId="9" fontId="34" fillId="0" borderId="0" xfId="5" applyFont="1"/>
    <xf numFmtId="43" fontId="10" fillId="0" borderId="0" xfId="2" applyFont="1"/>
    <xf numFmtId="164" fontId="10" fillId="0" borderId="0" xfId="2" applyNumberFormat="1" applyFont="1"/>
    <xf numFmtId="43" fontId="10" fillId="5" borderId="0" xfId="2" applyFont="1" applyFill="1"/>
    <xf numFmtId="43" fontId="2" fillId="3" borderId="0" xfId="2" applyFont="1" applyFill="1"/>
    <xf numFmtId="164" fontId="4" fillId="3" borderId="0" xfId="2" applyNumberFormat="1" applyFont="1" applyFill="1"/>
    <xf numFmtId="0" fontId="22" fillId="0" borderId="0" xfId="0" applyFont="1" applyBorder="1" applyAlignment="1">
      <alignment horizontal="center" vertical="center"/>
    </xf>
    <xf numFmtId="0" fontId="22" fillId="0" borderId="0" xfId="0" applyFont="1" applyBorder="1" applyAlignment="1">
      <alignment vertical="center"/>
    </xf>
    <xf numFmtId="0" fontId="28" fillId="6" borderId="10" xfId="0" applyFont="1" applyFill="1" applyBorder="1" applyAlignment="1">
      <alignment horizontal="center" vertical="center"/>
    </xf>
    <xf numFmtId="0" fontId="28" fillId="6" borderId="11" xfId="0" applyFont="1" applyFill="1" applyBorder="1" applyAlignment="1">
      <alignment horizontal="center" vertical="center"/>
    </xf>
    <xf numFmtId="0" fontId="24" fillId="0" borderId="0" xfId="0" applyFont="1" applyAlignment="1">
      <alignment vertical="center"/>
    </xf>
    <xf numFmtId="165" fontId="10" fillId="0" borderId="0" xfId="5" applyNumberFormat="1" applyFont="1" applyFill="1" applyBorder="1" applyAlignment="1">
      <alignment horizontal="right"/>
    </xf>
    <xf numFmtId="165" fontId="24" fillId="0" borderId="3" xfId="5" applyNumberFormat="1" applyFont="1" applyBorder="1"/>
    <xf numFmtId="4" fontId="2" fillId="0" borderId="0" xfId="0" applyNumberFormat="1" applyFont="1" applyFill="1"/>
    <xf numFmtId="165" fontId="4" fillId="0" borderId="0" xfId="5" applyNumberFormat="1" applyFont="1" applyFill="1"/>
    <xf numFmtId="165" fontId="2" fillId="0" borderId="0" xfId="5" applyNumberFormat="1" applyFont="1" applyFill="1"/>
    <xf numFmtId="0" fontId="2" fillId="0" borderId="5" xfId="0" applyFont="1" applyBorder="1" applyAlignment="1">
      <alignment horizontal="left" wrapText="1" indent="1"/>
    </xf>
    <xf numFmtId="164" fontId="2" fillId="0" borderId="0" xfId="2" applyNumberFormat="1" applyFont="1" applyBorder="1" applyAlignment="1">
      <alignment horizontal="right" vertical="center"/>
    </xf>
    <xf numFmtId="164" fontId="2" fillId="5" borderId="0" xfId="2" applyNumberFormat="1" applyFont="1" applyFill="1" applyBorder="1" applyAlignment="1">
      <alignment horizontal="right" vertical="center"/>
    </xf>
    <xf numFmtId="164" fontId="2" fillId="5" borderId="0" xfId="2" applyNumberFormat="1" applyFont="1" applyFill="1" applyAlignment="1">
      <alignment vertical="center"/>
    </xf>
    <xf numFmtId="164" fontId="2" fillId="0" borderId="0" xfId="2" applyNumberFormat="1" applyFont="1" applyFill="1" applyBorder="1" applyAlignment="1">
      <alignment horizontal="right" vertical="center"/>
    </xf>
    <xf numFmtId="164" fontId="2" fillId="0" borderId="0" xfId="2" applyNumberFormat="1" applyFont="1" applyAlignment="1">
      <alignment vertical="center"/>
    </xf>
    <xf numFmtId="164" fontId="2" fillId="0" borderId="0" xfId="0" applyNumberFormat="1" applyFont="1" applyAlignment="1">
      <alignment vertical="center"/>
    </xf>
    <xf numFmtId="165" fontId="34" fillId="0" borderId="0" xfId="5" applyNumberFormat="1" applyFont="1" applyFill="1"/>
    <xf numFmtId="0" fontId="2" fillId="0" borderId="0" xfId="0" applyFont="1" applyBorder="1" applyAlignment="1">
      <alignment horizontal="right"/>
    </xf>
    <xf numFmtId="0" fontId="2" fillId="0" borderId="0" xfId="0" applyFont="1" applyAlignment="1">
      <alignment horizontal="right"/>
    </xf>
    <xf numFmtId="37" fontId="2" fillId="0" borderId="0" xfId="0" applyNumberFormat="1" applyFont="1" applyAlignment="1">
      <alignment horizontal="right"/>
    </xf>
    <xf numFmtId="164" fontId="2" fillId="0" borderId="0" xfId="2" applyNumberFormat="1" applyFont="1" applyAlignment="1">
      <alignment horizontal="right"/>
    </xf>
    <xf numFmtId="165" fontId="10" fillId="0" borderId="0" xfId="5" applyNumberFormat="1" applyFont="1" applyFill="1" applyBorder="1"/>
    <xf numFmtId="42" fontId="25" fillId="4" borderId="1" xfId="2" applyNumberFormat="1" applyFont="1" applyFill="1" applyBorder="1"/>
    <xf numFmtId="164" fontId="2" fillId="0" borderId="0" xfId="2" applyNumberFormat="1" applyFont="1" applyFill="1" applyBorder="1"/>
    <xf numFmtId="164" fontId="4" fillId="0" borderId="0" xfId="0" applyNumberFormat="1" applyFont="1" applyBorder="1"/>
    <xf numFmtId="164" fontId="4" fillId="0" borderId="0" xfId="0" applyNumberFormat="1" applyFont="1"/>
    <xf numFmtId="2" fontId="2" fillId="0" borderId="0" xfId="0" applyNumberFormat="1" applyFont="1"/>
    <xf numFmtId="164" fontId="5" fillId="0" borderId="2" xfId="3" applyNumberFormat="1" applyFont="1" applyBorder="1" applyAlignment="1">
      <alignment horizontal="right"/>
    </xf>
    <xf numFmtId="5" fontId="23" fillId="0" borderId="0" xfId="0" applyNumberFormat="1" applyFont="1" applyFill="1" applyBorder="1"/>
    <xf numFmtId="43" fontId="4" fillId="0" borderId="0" xfId="0" applyNumberFormat="1" applyFont="1"/>
    <xf numFmtId="0" fontId="35" fillId="0" borderId="12" xfId="0"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xf numFmtId="5" fontId="5" fillId="0" borderId="0" xfId="0" applyNumberFormat="1" applyFont="1" applyFill="1" applyBorder="1"/>
    <xf numFmtId="5" fontId="2" fillId="0" borderId="0" xfId="0" applyNumberFormat="1" applyFont="1" applyFill="1" applyBorder="1"/>
    <xf numFmtId="5" fontId="5" fillId="0" borderId="2" xfId="3" applyNumberFormat="1" applyFont="1" applyFill="1" applyBorder="1" applyAlignment="1">
      <alignment horizontal="right"/>
    </xf>
    <xf numFmtId="43" fontId="5" fillId="0" borderId="3" xfId="2" applyFont="1" applyFill="1" applyBorder="1" applyAlignment="1">
      <alignment horizontal="right"/>
    </xf>
    <xf numFmtId="0" fontId="2" fillId="0" borderId="0" xfId="0" applyFont="1" applyFill="1" applyBorder="1" applyAlignment="1">
      <alignment horizontal="right"/>
    </xf>
    <xf numFmtId="164" fontId="5" fillId="0" borderId="2" xfId="3" applyNumberFormat="1" applyFont="1" applyFill="1" applyBorder="1" applyAlignment="1">
      <alignment horizontal="right"/>
    </xf>
    <xf numFmtId="37" fontId="5" fillId="0" borderId="3" xfId="3" applyNumberFormat="1" applyFont="1" applyFill="1" applyBorder="1" applyAlignment="1">
      <alignment horizontal="right"/>
    </xf>
    <xf numFmtId="0" fontId="2" fillId="0" borderId="0" xfId="0" applyFont="1" applyFill="1" applyAlignment="1">
      <alignment horizontal="right"/>
    </xf>
    <xf numFmtId="5" fontId="5" fillId="0" borderId="0" xfId="3" applyNumberFormat="1" applyFont="1" applyFill="1" applyAlignment="1">
      <alignment horizontal="right"/>
    </xf>
    <xf numFmtId="37" fontId="2" fillId="0" borderId="0" xfId="0" applyNumberFormat="1" applyFont="1" applyFill="1" applyAlignment="1">
      <alignment horizontal="right"/>
    </xf>
    <xf numFmtId="37" fontId="2" fillId="0" borderId="0" xfId="3" applyNumberFormat="1" applyFont="1" applyFill="1" applyAlignment="1">
      <alignment horizontal="right"/>
    </xf>
    <xf numFmtId="43" fontId="2" fillId="0" borderId="0" xfId="2" applyFont="1" applyFill="1" applyAlignment="1">
      <alignment horizontal="right"/>
    </xf>
    <xf numFmtId="42" fontId="25" fillId="0" borderId="0" xfId="2" applyNumberFormat="1" applyFont="1" applyFill="1" applyBorder="1"/>
    <xf numFmtId="37" fontId="23" fillId="0" borderId="0" xfId="2" applyNumberFormat="1" applyFont="1" applyFill="1" applyBorder="1"/>
    <xf numFmtId="0" fontId="24" fillId="0" borderId="0" xfId="0" applyFont="1" applyFill="1"/>
    <xf numFmtId="164" fontId="25" fillId="4" borderId="1" xfId="2" applyNumberFormat="1" applyFont="1" applyFill="1" applyBorder="1"/>
    <xf numFmtId="43" fontId="37" fillId="0" borderId="0" xfId="2" applyFont="1" applyFill="1"/>
    <xf numFmtId="165" fontId="23" fillId="6" borderId="0" xfId="0" applyNumberFormat="1" applyFont="1" applyFill="1" applyBorder="1"/>
    <xf numFmtId="0" fontId="23" fillId="0" borderId="0" xfId="0" applyFont="1" applyFill="1" applyBorder="1"/>
    <xf numFmtId="164" fontId="24" fillId="0" borderId="0" xfId="0" applyNumberFormat="1" applyFont="1"/>
    <xf numFmtId="37" fontId="2" fillId="0" borderId="0" xfId="2" applyNumberFormat="1" applyFont="1" applyFill="1"/>
    <xf numFmtId="0" fontId="10" fillId="0" borderId="5" xfId="0" applyFont="1" applyFill="1" applyBorder="1" applyAlignment="1">
      <alignment horizontal="left" indent="2"/>
    </xf>
    <xf numFmtId="43" fontId="5" fillId="4" borderId="1" xfId="2" applyFont="1" applyFill="1" applyBorder="1" applyAlignment="1">
      <alignment horizontal="center"/>
    </xf>
    <xf numFmtId="2" fontId="4" fillId="0" borderId="0" xfId="0" applyNumberFormat="1" applyFont="1"/>
    <xf numFmtId="164" fontId="2" fillId="5" borderId="0" xfId="2" applyNumberFormat="1" applyFont="1" applyFill="1" applyBorder="1"/>
    <xf numFmtId="9" fontId="2" fillId="0" borderId="0" xfId="5" applyNumberFormat="1" applyFont="1" applyFill="1" applyBorder="1"/>
    <xf numFmtId="165" fontId="10" fillId="0" borderId="0" xfId="5" applyNumberFormat="1" applyFont="1" applyFill="1" applyAlignment="1">
      <alignment horizontal="right"/>
    </xf>
    <xf numFmtId="165" fontId="10" fillId="0" borderId="2" xfId="5" applyNumberFormat="1" applyFont="1" applyFill="1" applyBorder="1" applyAlignment="1">
      <alignment horizontal="right"/>
    </xf>
    <xf numFmtId="10" fontId="2" fillId="0" borderId="0" xfId="5" applyNumberFormat="1" applyFont="1" applyBorder="1"/>
    <xf numFmtId="165" fontId="24" fillId="0" borderId="0" xfId="5" applyNumberFormat="1" applyFont="1"/>
    <xf numFmtId="164" fontId="24" fillId="0" borderId="0" xfId="2" applyNumberFormat="1" applyFont="1" applyFill="1"/>
    <xf numFmtId="7" fontId="2" fillId="0" borderId="0" xfId="0" applyNumberFormat="1" applyFont="1"/>
    <xf numFmtId="165" fontId="2" fillId="0" borderId="0" xfId="0" applyNumberFormat="1" applyFont="1"/>
    <xf numFmtId="0" fontId="18" fillId="0" borderId="0" xfId="0" applyFont="1" applyAlignment="1">
      <alignment vertical="center"/>
    </xf>
    <xf numFmtId="0" fontId="23" fillId="0" borderId="0" xfId="0" applyFont="1" applyBorder="1" applyAlignment="1">
      <alignment horizontal="right"/>
    </xf>
    <xf numFmtId="165" fontId="23" fillId="6" borderId="0" xfId="0" applyNumberFormat="1" applyFont="1" applyFill="1" applyBorder="1" applyAlignment="1">
      <alignment horizontal="right"/>
    </xf>
    <xf numFmtId="0" fontId="23" fillId="8" borderId="0" xfId="0" applyFont="1" applyFill="1" applyBorder="1" applyAlignment="1">
      <alignment horizontal="left" indent="1"/>
    </xf>
    <xf numFmtId="5" fontId="23" fillId="8" borderId="0" xfId="0" applyNumberFormat="1" applyFont="1" applyFill="1" applyBorder="1"/>
    <xf numFmtId="9" fontId="23" fillId="0" borderId="0" xfId="0" applyNumberFormat="1" applyFont="1" applyFill="1" applyBorder="1"/>
    <xf numFmtId="165" fontId="23" fillId="0" borderId="0" xfId="0" applyNumberFormat="1" applyFont="1" applyFill="1" applyBorder="1" applyAlignment="1">
      <alignment horizontal="right"/>
    </xf>
    <xf numFmtId="164" fontId="23" fillId="8" borderId="0" xfId="0" applyNumberFormat="1" applyFont="1" applyFill="1" applyBorder="1"/>
    <xf numFmtId="164" fontId="4" fillId="0" borderId="0" xfId="0" applyNumberFormat="1" applyFont="1" applyFill="1"/>
    <xf numFmtId="0" fontId="22" fillId="0" borderId="0" xfId="0" applyFont="1" applyFill="1" applyBorder="1" applyAlignment="1">
      <alignment horizontal="left" indent="1"/>
    </xf>
    <xf numFmtId="0" fontId="22" fillId="0" borderId="0" xfId="0" applyFont="1" applyFill="1" applyAlignment="1">
      <alignment horizontal="left"/>
    </xf>
    <xf numFmtId="0" fontId="41" fillId="0" borderId="0" xfId="0" applyFont="1"/>
    <xf numFmtId="10" fontId="24" fillId="0" borderId="0" xfId="5" applyNumberFormat="1" applyFont="1"/>
    <xf numFmtId="10" fontId="24" fillId="0" borderId="0" xfId="0" applyNumberFormat="1" applyFont="1"/>
    <xf numFmtId="9" fontId="2" fillId="0" borderId="0" xfId="5" applyNumberFormat="1" applyFont="1"/>
    <xf numFmtId="0" fontId="2" fillId="9" borderId="0" xfId="0" applyFont="1" applyFill="1" applyAlignment="1" applyProtection="1">
      <alignment horizontal="left" indent="2"/>
    </xf>
    <xf numFmtId="0" fontId="2" fillId="9" borderId="0" xfId="0" applyFont="1" applyFill="1" applyAlignment="1" applyProtection="1">
      <alignment horizontal="left" indent="3"/>
    </xf>
    <xf numFmtId="37" fontId="2" fillId="0" borderId="0" xfId="0" applyNumberFormat="1" applyFont="1" applyBorder="1"/>
    <xf numFmtId="164" fontId="4" fillId="0" borderId="0" xfId="0" applyNumberFormat="1" applyFont="1" applyBorder="1" applyAlignment="1">
      <alignment horizontal="right"/>
    </xf>
    <xf numFmtId="165" fontId="24" fillId="0" borderId="0" xfId="5" applyNumberFormat="1" applyFont="1" applyFill="1"/>
    <xf numFmtId="168" fontId="3" fillId="0" borderId="0" xfId="0" applyNumberFormat="1" applyFont="1" applyBorder="1"/>
    <xf numFmtId="7" fontId="4" fillId="0" borderId="0" xfId="0" applyNumberFormat="1" applyFont="1" applyBorder="1"/>
    <xf numFmtId="0" fontId="40" fillId="0" borderId="0" xfId="0" applyFont="1" applyAlignment="1">
      <alignment horizontal="center"/>
    </xf>
    <xf numFmtId="0" fontId="28" fillId="0" borderId="9" xfId="0" applyFont="1" applyBorder="1" applyAlignment="1">
      <alignment horizontal="center"/>
    </xf>
    <xf numFmtId="0" fontId="28" fillId="0" borderId="11" xfId="0" applyFont="1" applyBorder="1" applyAlignment="1">
      <alignment horizontal="center"/>
    </xf>
    <xf numFmtId="0" fontId="25" fillId="0" borderId="9" xfId="0" applyFont="1" applyBorder="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35" fillId="0" borderId="9"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1" xfId="0" applyFont="1" applyFill="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cellXfs>
  <cellStyles count="8">
    <cellStyle name="%" xfId="1"/>
    <cellStyle name="Comma" xfId="2" builtinId="3"/>
    <cellStyle name="Comma 2" xfId="3"/>
    <cellStyle name="Hyperlink" xfId="4" builtinId="8"/>
    <cellStyle name="Normal" xfId="0" builtinId="0"/>
    <cellStyle name="Percent" xfId="5" builtinId="5"/>
    <cellStyle name="Percent 2" xfId="6"/>
    <cellStyle name="Percent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0.xml"/><Relationship Id="rId21" Type="http://schemas.openxmlformats.org/officeDocument/2006/relationships/externalLink" Target="externalLinks/externalLink15.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84" Type="http://schemas.openxmlformats.org/officeDocument/2006/relationships/theme" Target="theme/theme1.xml"/><Relationship Id="rId16" Type="http://schemas.openxmlformats.org/officeDocument/2006/relationships/externalLink" Target="externalLinks/externalLink10.xml"/><Relationship Id="rId11" Type="http://schemas.openxmlformats.org/officeDocument/2006/relationships/externalLink" Target="externalLinks/externalLink5.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74" Type="http://schemas.openxmlformats.org/officeDocument/2006/relationships/externalLink" Target="externalLinks/externalLink68.xml"/><Relationship Id="rId79" Type="http://schemas.openxmlformats.org/officeDocument/2006/relationships/externalLink" Target="externalLinks/externalLink73.xml"/><Relationship Id="rId5" Type="http://schemas.openxmlformats.org/officeDocument/2006/relationships/worksheet" Target="worksheets/sheet5.xml"/><Relationship Id="rId19" Type="http://schemas.openxmlformats.org/officeDocument/2006/relationships/externalLink" Target="externalLinks/externalLink1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externalLink" Target="externalLinks/externalLink50.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77" Type="http://schemas.openxmlformats.org/officeDocument/2006/relationships/externalLink" Target="externalLinks/externalLink71.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80" Type="http://schemas.openxmlformats.org/officeDocument/2006/relationships/externalLink" Target="externalLinks/externalLink74.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83" Type="http://schemas.openxmlformats.org/officeDocument/2006/relationships/externalLink" Target="externalLinks/externalLink7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externalLink" Target="externalLinks/externalLink72.xml"/><Relationship Id="rId81" Type="http://schemas.openxmlformats.org/officeDocument/2006/relationships/externalLink" Target="externalLinks/externalLink75.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9" Type="http://schemas.openxmlformats.org/officeDocument/2006/relationships/externalLink" Target="externalLinks/externalLink33.xml"/><Relationship Id="rId34" Type="http://schemas.openxmlformats.org/officeDocument/2006/relationships/externalLink" Target="externalLinks/externalLink28.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76" Type="http://schemas.openxmlformats.org/officeDocument/2006/relationships/externalLink" Target="externalLinks/externalLink70.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2" Type="http://schemas.openxmlformats.org/officeDocument/2006/relationships/worksheet" Target="worksheets/sheet2.xml"/><Relationship Id="rId29" Type="http://schemas.openxmlformats.org/officeDocument/2006/relationships/externalLink" Target="externalLinks/externalLink23.xml"/><Relationship Id="rId24" Type="http://schemas.openxmlformats.org/officeDocument/2006/relationships/externalLink" Target="externalLinks/externalLink18.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66" Type="http://schemas.openxmlformats.org/officeDocument/2006/relationships/externalLink" Target="externalLinks/externalLink60.xml"/><Relationship Id="rId87" Type="http://schemas.openxmlformats.org/officeDocument/2006/relationships/calcChain" Target="calcChain.xml"/><Relationship Id="rId61" Type="http://schemas.openxmlformats.org/officeDocument/2006/relationships/externalLink" Target="externalLinks/externalLink55.xml"/><Relationship Id="rId82" Type="http://schemas.openxmlformats.org/officeDocument/2006/relationships/externalLink" Target="externalLinks/externalLink7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2</xdr:row>
      <xdr:rowOff>28575</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3345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952500</xdr:colOff>
      <xdr:row>2</xdr:row>
      <xdr:rowOff>34925</xdr:rowOff>
    </xdr:to>
    <xdr:pic>
      <xdr:nvPicPr>
        <xdr:cNvPr id="2069"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914400"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1</xdr:row>
      <xdr:rowOff>466725</xdr:rowOff>
    </xdr:to>
    <xdr:pic>
      <xdr:nvPicPr>
        <xdr:cNvPr id="3077"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33450" cy="628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876300</xdr:colOff>
      <xdr:row>2</xdr:row>
      <xdr:rowOff>323850</xdr:rowOff>
    </xdr:to>
    <xdr:pic>
      <xdr:nvPicPr>
        <xdr:cNvPr id="4101"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9050" y="19050"/>
          <a:ext cx="857250" cy="6286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1057275</xdr:colOff>
      <xdr:row>2</xdr:row>
      <xdr:rowOff>69850</xdr:rowOff>
    </xdr:to>
    <xdr:pic>
      <xdr:nvPicPr>
        <xdr:cNvPr id="3"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twoCellAnchor editAs="oneCell">
    <xdr:from>
      <xdr:col>0</xdr:col>
      <xdr:colOff>28575</xdr:colOff>
      <xdr:row>0</xdr:row>
      <xdr:rowOff>19050</xdr:rowOff>
    </xdr:from>
    <xdr:to>
      <xdr:col>1</xdr:col>
      <xdr:colOff>1181100</xdr:colOff>
      <xdr:row>2</xdr:row>
      <xdr:rowOff>69850</xdr:rowOff>
    </xdr:to>
    <xdr:pic>
      <xdr:nvPicPr>
        <xdr:cNvPr id="4"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733425</xdr:colOff>
      <xdr:row>3</xdr:row>
      <xdr:rowOff>38100</xdr:rowOff>
    </xdr:to>
    <xdr:pic>
      <xdr:nvPicPr>
        <xdr:cNvPr id="5125"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inancial%20Reporting\2019\Q1'19\Mar'19\Footnotes\Linked%20Data_2019_Q1_10Q.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Financial%20Reporting\2021\Q2'21\Jun'21\Footnotes\Linked%20Data_2021_Q2_10Q.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Financial%20Reporting\2018\Q4'18\Dec'18\Footnotes\EPS\EPS%20working%20Dec%202018%20v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Financial%20Reporting\2019\Q4'19\Dec'19\Footnotes\EPS\EPS%20working%20December%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Financial%20Reporting\2020\Q4'20\Dec'20\Footnotes\EPS\EPS%20working%20December%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72.16.2.131\accounts\Financial%20Reporting\2018\Q3'18\Sep'18\Acq-Related%20Cost\Acquisition%20Cost%20-%20Jan'18%20to%20Sep'18_10.09.2018.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Financial%20Reporting\2018\Q4'18\Dec'18\Footnotes\EPS\Adjusted%20EPS%20Dec%20201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Financial%20Reporting\2021\Q2'21\Jun'21\Footnotes\EPS\Adjusted%20EPS%20June%20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Financial%20Reporting\2019\Q3'19\September'19\Footnotes\EPS\Adjusted%20EPS%20September%20201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Financial%20Reporting\2019\Q4'19\Dec'19\Footnotes\EPS\Adjusted%20EPS%20December%202019%20v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Financial%20Reporting\2019\Q1'19\Mar'19\Footnotes\EPS\Adjusted%20EPS%20March%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ncial%20Reporting\2019\Q2'19\June'19\Footnotes\Linked%20Data_2019_Q2_10Q.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Financial%20Reporting\2019\Q2'19\June'19\Footnotes\EPS\Adjusted%20EPS%20June%202019%20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Financial%20Reporting\2020\Q1'20\Mar'20\Footnotes\EPS\Adjusted%20EPS%20March%2020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Financial%20Reporting\2020\Q2'20\Jun%20'20\Footnotes\EPS\Adjusted%20EPS%20June%2020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Financial%20Reporting\2020\Q3'20\Sep'20\Footnotes\EPS\Adjusted%20EPS%20Sep%2020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Financial%20Reporting\2020\Q4'20\Dec'20\Footnotes\EPS\Adjusted%20EPS%20Dec%2020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Financial%20Reporting\2021\Q1'21\Mar'21\Footnotes\EPS\Adjusted%20EPS%20Mar%20202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Financial%20Reporting\2018\Q3'18\Sep'18\Footnotes\EPS\Adjusted%20EPS%20Sep%202018.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Financial%20Reporting\2020\Q1'20\Mar'20\Cash%20flow\Exl%20Holdings%20Inc.%20Cash%20Flow_March'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Financial%20Reporting\2020\Q2'20\Jun%20'20\Cash%20flow\Exl%20Holdings%20Inc.%20Cash%20Flow_June'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Financial%20Reporting\2020\Q3'20\Sep'20\Cash%20flow\Exl%20Holdings%20Inc.%20Cash%20Flow_Sep'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Financial%20Reporting\2019\Q3'19\September'19\Footnotes\Linked%20Data_2019_Q3_10Q.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Financial%20Reporting\2020\Q4'20\Dec'20\Cash%20flows\Exl%20Holdings%20Inc.%20Cash%20Flow_Dec'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Financial%20Reporting\2021\Q1'21\Mar'21\Cash%20Flow\Exl%20Holdings%20Inc.%20Cash%20Flow_Mar'2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Financial%20Reporting\2021\Q2'21\Jun'21\Cash%20flow\Exl%20Holdings%20Inc.%20Cash%20Flow_Jun'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Financial%20Reporting\2019\Q2'19\June'19\Cash%20Flow\Exl%20Holdings%20Inc.%20Cash%20Flow_Jun'19%20v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Financial%20Reporting\2019\Q4'19\Dec'19\Cash%20flow\Exl%20Holdings%20Inc.%20Cash%20Flow_December'1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Financial%20Reporting\2020\Q1'20\Mar'20\Investor%20relation\Q1_20_Segment%20Restated.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Financial%20Reporting\2020\Q1'20\Mar'20\Investor%20relation\Earning%20Call%20Deck%20Views_Q1'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Financial%20Reporting\2020\Q2'20\Jun%20'20\Highlights\AC%20Deck\Backup\Earning%20Call%20Deck%20Views_Q2'20_Original.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Financial%20Reporting\2020\Q3'20\Sep'20\Highlights\Backup\EC%20Deck%20Views_Q3'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Financial%20Reporting\2020\Q4'20\Dec'20\Highlights\FP&amp;A%20Team\Earning%20call%20Deck%20V1_Q4'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inancial%20Reporting\2019\Q4'19\Dec'19\Footnotes\Linked%20Data_2019_10K.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Financial%20Reporting\2021\Q1'21\Mar'21\Highlights\Backup\FP&amp;A\Earnings%20Deck_Q1'21%20v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Financial%20Reporting\2021\Q2'21\Jun'21\Highlights\FP&amp;A%20Team\Earning%20call%20Slide%20View%20Q2'21_BL.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Financial%20Reporting\2020\Q3'20\Sep'20\Footnotes\Segment%20reporting\Segment%20Report%20Working%20Q3-2020%20BL_PW_SegmentQ32020.xlsb"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Financial%20Reporting\2018\Q3'18\Sep'18\Investor%20Relations\EXLS%20Investor%20Factsheet%20Q3%202018_FP&amp;A.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72.16.2.131\accounts\Financial%20Reporting\2020\Q1'20\Mar'20\Investor%20relation\Segment%20Restated.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72.16.2.131\Accounts\Financial%20Reporting\2021\Q2'21\Jun'21\Footnotes\Linked%20Data_2021_Q2_10Q.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Financial%20Reporting\2020\Q4'20\Dec'20\Footnotes\Segment\Segment%20Report%20Working%20Q4-2020.xlsb"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Financial%20Reporting\2021\Q1'21\Mar'21\Highlights\Backup\FP&amp;A\Revenue%20by%20Vertical_Q1'21.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Financial%20Reporting\2021\Q2'21\Jun'21\Highlights\FP&amp;A%20Team\Earning%20call%20Slide%20revenue%20by%20Industry%20vertical%20Q2'21_BL.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Financial%20Reporting\2020\Q3'20\Sep'20\Footnotes\Revenue%20recognition\Geo%20Wise%20Q3'20.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ncial%20Reporting\2020\Q1'20\Mar'20\Footnotes\Linked%20Data_2020_Q1_10Q.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Financial%20Reporting\2020\Q4'20\Dec'20\Footnotes\Revenue%20recognition\Geowise%20Summary_202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Financial%20Reporting\2021\Q1'21\Mar'21\Footnotes\Revenue\Geowise%20Revenue%20Q1'21%20(003).xlsb"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Financial%20Reporting\2021\Q2'21\Jun'21\Footnotes\Revenue\Revenue%20Geowise%20Q2'21.xlsb"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Financial%20Reporting\2019\Q3'19\September'19\Investor%20Relations\SEC%20Report%20-%20Q3%202019.xlsb"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F:\Financial%20Reporting\2019\Q4'19\Dec'19\Investor%20Relations\SEC%20Report%20-%20Q4%202019.xlsb"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Financial%20Reporting\2020\Q1'20\Mar'20\Investor%20relation\SEC%20Report%20-%20Q1%202020.xlsb"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Financial%20Reporting\2020\Q2'20\Jun%20'20\Investor%20relation\SEC%20Report%20-%20Q2%202020.xlsb"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Financial%20Reporting\2020\Q3'20\Sep'20\Investor%20relations\SEC%20Report%20-%20Q3%202020.xlsb"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Financial%20Reporting\2020\Q4'20\Dec'20\Investor%20relations\SEC%20Report%20-%20Q4%202020.xlsb"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Financial%20Reporting\2021\Q1'21\Mar'21\Investor%20relations\SEC%20Report%20-%20Q1%202021.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inancial%20Reporting\2020\Q2'20\Jun%20'20\Footnotes\Linked%20Data_2020_Q2_10Q.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Financial%20Reporting\2021\Q2'21\Jun'21\Investor%20relation\SEC%20Report%20-%20Q2%202021_Revised.xlsb"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Financial%20Reporting\2019\Q3'19\September'19\Footnotes\Revenue%20recognition\Top%2010%2020%2030%20Q3'19%20Vs%20Q2'19.xlsb"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Financial%20Reporting\2019\Q4'19\Dec'19\Footnotes\Revenue\Top%2010,%2020%20&amp;%2030%20Clients_Q4'19.xlsb"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Financial%20Reporting\2019\Q4'19\Dec'19\Footnotes\Revenue\Top%2010,%2020%20&amp;%2030%20Clients_YTD%202019_.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Financial%20Reporting\2020\Q1'20\Mar'20\Investor%20relation\Top%2010%2020%20%2030_Q1'20%20Vs%20Q4'19.xlsb"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Financial%20Reporting\2020\Q2'20\Jun%20'20\MD&amp;A\Top%2010%2020%2030%20Q220%20Vs%20Q120%20&amp;%20H120_Final.xlsb"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Financial%20Reporting\2020\Q3'20\Sep'20\MD&amp;A\Top%2010%2020%2030%20Q320%20Vs%20Q220%20%20YTD%20Sep20%20F.xlsb"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Financial%20Reporting\2020\Q4'20\Dec'20\MD&amp;A\Revenue%20Team%20Inputs\Top%2010%2020%2030%20Q420%20Vs%20Q320%20%20YTD%202020%20F.xlsb"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Financial%20Reporting\2021\Q1'21\Mar'21\MD&amp;A\Revenue\Top%2010%2020%20%2030_Q1'21F.xlsb"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Financial%20Reporting\2021\Q2'21\Jun'21\MD&amp;A\FP&amp;A\Top%2010,%2020%20&amp;%2030%20Client%20QTD%20&amp;%20YT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Financial%20Reporting\2020\Q3'20\Sep'20\Footnotes\Linked%20Data_2020_Q3_10Q.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Financial%20Reporting\2019\Q3'19\September'19\Fx.%20and%20Exchange%20Rate\Fx%20Rate%20Summary%20Q3'19.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Financial%20Reporting\2019\Q4'19\Dec'19\Fx.%20and%20Exchange%20Rate\Fx%20Rate%20Summary%20Q4'19.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Financial%20Reporting\2020\Q1'20\Mar'20\Fx.%20and%20Exchange%20Rate\Fx%20Rate%20Summary%20Q1'20.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Financial%20Reporting\2020\Q2'20\Jun%20'20\Fx%20and%20exchange%20rate\Fx%20Rate%20Summary%20Q2'20.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Financial%20Reporting\2020\Q3'20\Sep'20\Fx%20and%20exchange%20rates\Fx%20Rate%20Summary%20Q3'20.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Financial%20Reporting\2020\Q4'20\Dec'20\Fx%20and%20exchange%20rates\Fx%20Rate%20Summary%20Q4'20.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Financial%20Reporting\2021\Q1'21\Mar'21\Fx%20and%20exchange%20rates\Fx%20Rate%20Summary%20Q1'21.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Financial%20Reporting\2021\Q2'21\Jun'21\Fx%20and%20exchange%20rates\Fx%20Rate%20Summary%20Q2'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Financial%20Reporting\2020\Q4'20\Dec'20\Footnotes\Linked%20Data_2020_10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Financial%20Reporting\2021\Q1'21\Mar'21\Footnotes\Linked%20Data_2021_Q1_10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sheetName val="Index"/>
      <sheetName val="Balance Sheets"/>
      <sheetName val="Statements of Income"/>
      <sheetName val="Reclass Adjustment"/>
      <sheetName val="SCI"/>
      <sheetName val="AOCI"/>
      <sheetName val="Shareholders Equity Q1'19"/>
      <sheetName val="Shareholders Equity Q3'17"/>
      <sheetName val="Statements of Cash Flow"/>
      <sheetName val="Other income (expense), net"/>
      <sheetName val="Cash &amp; cash equivalent"/>
      <sheetName val="CL,NCL,OCA &amp; OA"/>
      <sheetName val="Revenues,Net"/>
      <sheetName val="EPS"/>
      <sheetName val="MD&amp;A Section- Three months"/>
      <sheetName val="Segment Information"/>
      <sheetName val="Statement of opts data(Item 6)"/>
      <sheetName val="MD&amp;A Section- Three Months End"/>
      <sheetName val="Geographical"/>
      <sheetName val="Data - 8K"/>
      <sheetName val="Reimb Revenue- Unbilled"/>
      <sheetName val="Pro forma (Bus. Com (1)"/>
      <sheetName val="Business Com (2)"/>
      <sheetName val="Goodwill &amp; Intangibles"/>
      <sheetName val="Business Com"/>
      <sheetName val="Goodwill (2)"/>
      <sheetName val="Goodwill"/>
      <sheetName val="Intangibles"/>
      <sheetName val="6. Fair Value Measurements"/>
      <sheetName val="Derivatives 1"/>
      <sheetName val="Derivatives 3"/>
      <sheetName val="Derivatives 2 (a)"/>
      <sheetName val="Derivatives 2 (b)"/>
      <sheetName val="FA"/>
      <sheetName val="Lease disclosure"/>
      <sheetName val="12. Leases"/>
      <sheetName val="Contractual Obligati &amp; Note 19 "/>
      <sheetName val="Emp Benefits"/>
      <sheetName val="Income Tax"/>
      <sheetName val="21. Stock Based Compensation"/>
      <sheetName val="Contingencies"/>
      <sheetName val="Sheet1"/>
      <sheetName val="MD&amp;A"/>
      <sheetName val="MD&amp;A (9m)"/>
      <sheetName val="MD&amp;A (PY)"/>
      <sheetName val="Liquidity &amp; CR"/>
      <sheetName val="Item 5"/>
      <sheetName val="Item 2"/>
      <sheetName val="Borrowings &amp; Credit Arrangement"/>
      <sheetName val="18. Capital Structure"/>
      <sheetName val="Commitment &amp; Contingencies"/>
      <sheetName val="Equity compensation plan Item 5"/>
      <sheetName val="High and Low"/>
      <sheetName val="Shareholders Equity Q4'18"/>
    </sheetNames>
    <sheetDataSet>
      <sheetData sheetId="0">
        <row r="8">
          <cell r="B8" t="str">
            <v>Three months ended March 31,</v>
          </cell>
        </row>
      </sheetData>
      <sheetData sheetId="1"/>
      <sheetData sheetId="2">
        <row r="9">
          <cell r="C9">
            <v>86688</v>
          </cell>
        </row>
      </sheetData>
      <sheetData sheetId="3">
        <row r="7">
          <cell r="F7">
            <v>239573</v>
          </cell>
        </row>
        <row r="8">
          <cell r="F8">
            <v>157240</v>
          </cell>
        </row>
        <row r="11">
          <cell r="F11">
            <v>32531</v>
          </cell>
        </row>
        <row r="12">
          <cell r="F12">
            <v>18047</v>
          </cell>
        </row>
        <row r="13">
          <cell r="F13">
            <v>13667</v>
          </cell>
        </row>
        <row r="14">
          <cell r="F14">
            <v>1227</v>
          </cell>
        </row>
        <row r="17">
          <cell r="F17">
            <v>1260</v>
          </cell>
        </row>
        <row r="18">
          <cell r="F18">
            <v>-3582</v>
          </cell>
        </row>
        <row r="19">
          <cell r="F19">
            <v>4423</v>
          </cell>
        </row>
        <row r="21">
          <cell r="F21">
            <v>4200</v>
          </cell>
        </row>
        <row r="23">
          <cell r="F23">
            <v>67</v>
          </cell>
        </row>
        <row r="29">
          <cell r="F29">
            <v>34374815</v>
          </cell>
        </row>
        <row r="30">
          <cell r="F30">
            <v>34833435</v>
          </cell>
        </row>
      </sheetData>
      <sheetData sheetId="4">
        <row r="7">
          <cell r="C7">
            <v>1165</v>
          </cell>
        </row>
      </sheetData>
      <sheetData sheetId="5">
        <row r="4">
          <cell r="F4">
            <v>14695</v>
          </cell>
        </row>
      </sheetData>
      <sheetData sheetId="6">
        <row r="7">
          <cell r="B7">
            <v>823</v>
          </cell>
        </row>
      </sheetData>
      <sheetData sheetId="7">
        <row r="45">
          <cell r="B45">
            <v>37850544.200000003</v>
          </cell>
        </row>
      </sheetData>
      <sheetData sheetId="8"/>
      <sheetData sheetId="9">
        <row r="7">
          <cell r="C7">
            <v>14695</v>
          </cell>
        </row>
      </sheetData>
      <sheetData sheetId="10">
        <row r="7">
          <cell r="G7">
            <v>796</v>
          </cell>
        </row>
      </sheetData>
      <sheetData sheetId="11">
        <row r="5">
          <cell r="C5">
            <v>86688</v>
          </cell>
        </row>
      </sheetData>
      <sheetData sheetId="12"/>
      <sheetData sheetId="13"/>
      <sheetData sheetId="14">
        <row r="7">
          <cell r="G7">
            <v>14695</v>
          </cell>
        </row>
      </sheetData>
      <sheetData sheetId="15"/>
      <sheetData sheetId="16">
        <row r="31">
          <cell r="B31">
            <v>69038</v>
          </cell>
        </row>
      </sheetData>
      <sheetData sheetId="17"/>
      <sheetData sheetId="18">
        <row r="7">
          <cell r="B7">
            <v>239.6</v>
          </cell>
        </row>
      </sheetData>
      <sheetData sheetId="19"/>
      <sheetData sheetId="20"/>
      <sheetData sheetId="21"/>
      <sheetData sheetId="22"/>
      <sheetData sheetId="23"/>
      <sheetData sheetId="24">
        <row r="62">
          <cell r="B62">
            <v>5528</v>
          </cell>
        </row>
      </sheetData>
      <sheetData sheetId="25"/>
      <sheetData sheetId="26"/>
      <sheetData sheetId="27"/>
      <sheetData sheetId="28"/>
      <sheetData sheetId="29"/>
      <sheetData sheetId="30"/>
      <sheetData sheetId="31"/>
      <sheetData sheetId="32"/>
      <sheetData sheetId="33">
        <row r="6">
          <cell r="C6">
            <v>5937</v>
          </cell>
        </row>
      </sheetData>
      <sheetData sheetId="34">
        <row r="34">
          <cell r="E34">
            <v>8139</v>
          </cell>
        </row>
      </sheetData>
      <sheetData sheetId="35">
        <row r="25">
          <cell r="C25">
            <v>95</v>
          </cell>
        </row>
      </sheetData>
      <sheetData sheetId="36"/>
      <sheetData sheetId="37"/>
      <sheetData sheetId="38">
        <row r="7">
          <cell r="E7">
            <v>487</v>
          </cell>
        </row>
      </sheetData>
      <sheetData sheetId="39">
        <row r="6">
          <cell r="C6">
            <v>-24442</v>
          </cell>
        </row>
      </sheetData>
      <sheetData sheetId="40">
        <row r="4">
          <cell r="B4">
            <v>1326</v>
          </cell>
        </row>
        <row r="7">
          <cell r="B7">
            <v>6956</v>
          </cell>
        </row>
      </sheetData>
      <sheetData sheetId="41"/>
      <sheetData sheetId="42"/>
      <sheetData sheetId="43"/>
      <sheetData sheetId="44"/>
      <sheetData sheetId="45"/>
      <sheetData sheetId="46">
        <row r="5">
          <cell r="C5">
            <v>104.1</v>
          </cell>
        </row>
      </sheetData>
      <sheetData sheetId="47"/>
      <sheetData sheetId="48">
        <row r="5">
          <cell r="J5">
            <v>26000094.874600001</v>
          </cell>
        </row>
      </sheetData>
      <sheetData sheetId="49">
        <row r="48">
          <cell r="D48">
            <v>876.3</v>
          </cell>
        </row>
      </sheetData>
      <sheetData sheetId="50">
        <row r="3">
          <cell r="B3" t="str">
            <v>one</v>
          </cell>
        </row>
      </sheetData>
      <sheetData sheetId="51"/>
      <sheetData sheetId="52"/>
      <sheetData sheetId="53"/>
      <sheetData sheetId="5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pshot- Q2 Checks"/>
      <sheetName val="Master Sheet"/>
      <sheetName val="Index"/>
      <sheetName val="Balance Sheets"/>
      <sheetName val="Statements of Income"/>
      <sheetName val="OCI Movement"/>
      <sheetName val="SCI"/>
      <sheetName val="SCI (Tax grossing)"/>
      <sheetName val="AOCI"/>
      <sheetName val="AOCI (Tax grossing)"/>
      <sheetName val="Shareholders Equity Q2'20 (9M)"/>
      <sheetName val="Shareholders Equity Q3'17"/>
      <sheetName val="Shareholders Equity Q2'21 (6M) "/>
      <sheetName val="Shareholders Equity Q2'21 (3M)"/>
      <sheetName val="Statements of Cash Flow"/>
      <sheetName val="3. Quarterly Financial Data"/>
      <sheetName val="Other income (expense), net"/>
      <sheetName val="Cash &amp; cash equivalent"/>
      <sheetName val="CL,NCL,OCA &amp; OA"/>
      <sheetName val="Revenues,Net"/>
      <sheetName val="EPS"/>
      <sheetName val="MD&amp;A Section- Three months"/>
      <sheetName val="Segment Information "/>
      <sheetName val="Statement of opts data(Item 6)"/>
      <sheetName val="Geographical"/>
      <sheetName val="Reimb Revenue- Unbilled"/>
      <sheetName val="Data - 8K"/>
      <sheetName val="Pro forma (Bus. Com (1)"/>
      <sheetName val="Business Com (2)"/>
      <sheetName val="Business Com"/>
      <sheetName val="Goodwill (2)"/>
      <sheetName val="Goodwill"/>
      <sheetName val="Intangibles"/>
      <sheetName val="MD&amp;A Section- Nine Months End"/>
      <sheetName val="Goodwill &amp; Intangibles"/>
      <sheetName val="Emp Benefits"/>
      <sheetName val="6. Fair Value Measurements"/>
      <sheetName val="Derivatives 1"/>
      <sheetName val="Derivatives 3"/>
      <sheetName val="Derivatives 2 (b)"/>
      <sheetName val="Derivatives 1 "/>
      <sheetName val="Derivatives 2 (a)"/>
      <sheetName val="Derivatives 2 (b) "/>
      <sheetName val="Derivatives 3 (c) "/>
      <sheetName val="FA"/>
      <sheetName val="Lease disclosure"/>
      <sheetName val="12. Leases"/>
      <sheetName val="Income Tax"/>
      <sheetName val="Contractual Obligati &amp; Note 19 "/>
      <sheetName val="Contingencies"/>
      <sheetName val="Sheet1"/>
      <sheetName val="MD&amp;A"/>
      <sheetName val="MD&amp;A (9m)"/>
      <sheetName val="MD&amp;A (PY)"/>
      <sheetName val="Liquidity &amp; CR"/>
      <sheetName val="Item 2"/>
      <sheetName val="18. Capital Structure"/>
      <sheetName val="21. Stock Based Compensation"/>
      <sheetName val="Borrowings &amp; Credit Arrangement"/>
      <sheetName val="MD&amp;A Section- Three Months End"/>
      <sheetName val="MD&amp;A Section- Year End"/>
      <sheetName val="25. Related Party Disclosures"/>
      <sheetName val="Commitment &amp; Contingencies"/>
      <sheetName val="Equity compensation plan Item 5"/>
      <sheetName val="24. Impairment &amp; Restructuring"/>
      <sheetName val="High and Low"/>
    </sheetNames>
    <sheetDataSet>
      <sheetData sheetId="0"/>
      <sheetData sheetId="1"/>
      <sheetData sheetId="2"/>
      <sheetData sheetId="3">
        <row r="9">
          <cell r="C9">
            <v>150211</v>
          </cell>
        </row>
        <row r="10">
          <cell r="C10">
            <v>144533</v>
          </cell>
        </row>
        <row r="11">
          <cell r="C11">
            <v>5065</v>
          </cell>
        </row>
        <row r="12">
          <cell r="C12">
            <v>182111</v>
          </cell>
        </row>
        <row r="13">
          <cell r="C13">
            <v>12060</v>
          </cell>
        </row>
        <row r="14">
          <cell r="C14">
            <v>13567</v>
          </cell>
        </row>
        <row r="15">
          <cell r="C15">
            <v>33615</v>
          </cell>
        </row>
        <row r="17">
          <cell r="C17">
            <v>86511</v>
          </cell>
        </row>
        <row r="18">
          <cell r="C18">
            <v>83280</v>
          </cell>
        </row>
        <row r="19">
          <cell r="C19">
            <v>2260</v>
          </cell>
        </row>
        <row r="20">
          <cell r="C20">
            <v>24132</v>
          </cell>
        </row>
        <row r="21">
          <cell r="C21">
            <v>52853</v>
          </cell>
        </row>
        <row r="22">
          <cell r="C22">
            <v>348747</v>
          </cell>
        </row>
        <row r="23">
          <cell r="C23">
            <v>27472</v>
          </cell>
        </row>
        <row r="24">
          <cell r="C24">
            <v>2929</v>
          </cell>
        </row>
        <row r="28">
          <cell r="C28">
            <v>3877</v>
          </cell>
        </row>
        <row r="29">
          <cell r="C29">
            <v>15000</v>
          </cell>
        </row>
        <row r="30">
          <cell r="C30">
            <v>12017</v>
          </cell>
        </row>
        <row r="31">
          <cell r="C31">
            <v>70496</v>
          </cell>
        </row>
        <row r="32">
          <cell r="C32">
            <v>76424</v>
          </cell>
        </row>
        <row r="33">
          <cell r="C33">
            <v>18039</v>
          </cell>
        </row>
        <row r="34">
          <cell r="C34">
            <v>11256</v>
          </cell>
        </row>
        <row r="37">
          <cell r="C37">
            <v>139432</v>
          </cell>
        </row>
        <row r="38">
          <cell r="C38">
            <v>0</v>
          </cell>
        </row>
        <row r="39">
          <cell r="C39">
            <v>1790</v>
          </cell>
        </row>
        <row r="40">
          <cell r="C40">
            <v>902</v>
          </cell>
        </row>
        <row r="41">
          <cell r="C41">
            <v>76518</v>
          </cell>
        </row>
        <row r="42">
          <cell r="C42">
            <v>15581</v>
          </cell>
        </row>
        <row r="45">
          <cell r="C45">
            <v>0</v>
          </cell>
        </row>
        <row r="47">
          <cell r="C47">
            <v>39</v>
          </cell>
        </row>
        <row r="48">
          <cell r="C48">
            <v>439051</v>
          </cell>
        </row>
        <row r="49">
          <cell r="C49">
            <v>701331</v>
          </cell>
        </row>
        <row r="50">
          <cell r="C50">
            <v>-86745</v>
          </cell>
        </row>
        <row r="52">
          <cell r="C52">
            <v>-325662</v>
          </cell>
        </row>
      </sheetData>
      <sheetData sheetId="4">
        <row r="7">
          <cell r="F7">
            <v>275064</v>
          </cell>
        </row>
        <row r="8">
          <cell r="F8">
            <v>170701</v>
          </cell>
        </row>
        <row r="11">
          <cell r="F11">
            <v>36499</v>
          </cell>
        </row>
        <row r="12">
          <cell r="F12">
            <v>19724</v>
          </cell>
        </row>
        <row r="13">
          <cell r="F13">
            <v>12310</v>
          </cell>
        </row>
        <row r="14">
          <cell r="F14">
            <v>0</v>
          </cell>
        </row>
        <row r="17">
          <cell r="F17">
            <v>1353</v>
          </cell>
        </row>
        <row r="18">
          <cell r="F18">
            <v>-2520</v>
          </cell>
        </row>
        <row r="19">
          <cell r="F19">
            <v>2215</v>
          </cell>
        </row>
        <row r="21">
          <cell r="F21">
            <v>8865</v>
          </cell>
        </row>
        <row r="23">
          <cell r="F23">
            <v>8</v>
          </cell>
        </row>
        <row r="29">
          <cell r="F29">
            <v>33571074</v>
          </cell>
        </row>
        <row r="30">
          <cell r="F30">
            <v>34389768</v>
          </cell>
        </row>
      </sheetData>
      <sheetData sheetId="5"/>
      <sheetData sheetId="6"/>
      <sheetData sheetId="7"/>
      <sheetData sheetId="8"/>
      <sheetData sheetId="9"/>
      <sheetData sheetId="10"/>
      <sheetData sheetId="11"/>
      <sheetData sheetId="12"/>
      <sheetData sheetId="13"/>
      <sheetData sheetId="14">
        <row r="7">
          <cell r="C7">
            <v>59952</v>
          </cell>
        </row>
        <row r="9">
          <cell r="C9">
            <v>24734</v>
          </cell>
        </row>
        <row r="10">
          <cell r="C10">
            <v>17902</v>
          </cell>
        </row>
        <row r="11">
          <cell r="C11">
            <v>13632</v>
          </cell>
        </row>
        <row r="12">
          <cell r="C12">
            <v>6777</v>
          </cell>
        </row>
        <row r="13">
          <cell r="C13">
            <v>-2634</v>
          </cell>
        </row>
        <row r="14">
          <cell r="C14">
            <v>-14737</v>
          </cell>
        </row>
        <row r="15">
          <cell r="C15">
            <v>-390</v>
          </cell>
        </row>
        <row r="16">
          <cell r="C16">
            <v>28</v>
          </cell>
        </row>
        <row r="18">
          <cell r="C18">
            <v>0</v>
          </cell>
        </row>
        <row r="21">
          <cell r="C21">
            <v>-34152</v>
          </cell>
        </row>
        <row r="22">
          <cell r="C22">
            <v>189</v>
          </cell>
        </row>
        <row r="23">
          <cell r="C23">
            <v>39</v>
          </cell>
        </row>
        <row r="24">
          <cell r="C24">
            <v>1589</v>
          </cell>
        </row>
        <row r="25">
          <cell r="C25">
            <v>-2458</v>
          </cell>
        </row>
        <row r="26">
          <cell r="C26">
            <v>-20832</v>
          </cell>
        </row>
        <row r="27">
          <cell r="C27">
            <v>3833</v>
          </cell>
        </row>
        <row r="28">
          <cell r="C28">
            <v>12290</v>
          </cell>
        </row>
        <row r="29">
          <cell r="C29">
            <v>-13327</v>
          </cell>
        </row>
        <row r="32">
          <cell r="C32">
            <v>-19903</v>
          </cell>
        </row>
        <row r="33">
          <cell r="C33">
            <v>527</v>
          </cell>
          <cell r="E33">
            <v>300</v>
          </cell>
        </row>
        <row r="34">
          <cell r="C34">
            <v>0</v>
          </cell>
        </row>
        <row r="35">
          <cell r="C35">
            <v>0</v>
          </cell>
        </row>
        <row r="36">
          <cell r="C36">
            <v>0</v>
          </cell>
        </row>
        <row r="37">
          <cell r="C37">
            <v>-32987</v>
          </cell>
        </row>
        <row r="38">
          <cell r="C38">
            <v>64031</v>
          </cell>
        </row>
        <row r="41">
          <cell r="C41">
            <v>-107</v>
          </cell>
        </row>
        <row r="42">
          <cell r="C42">
            <v>25000</v>
          </cell>
        </row>
        <row r="43">
          <cell r="C43">
            <v>-99000</v>
          </cell>
        </row>
        <row r="44">
          <cell r="C44">
            <v>0</v>
          </cell>
        </row>
        <row r="48">
          <cell r="C48">
            <v>0</v>
          </cell>
        </row>
        <row r="49">
          <cell r="C49">
            <v>-57424</v>
          </cell>
        </row>
        <row r="50">
          <cell r="C50">
            <v>174</v>
          </cell>
        </row>
        <row r="52">
          <cell r="C52">
            <v>-2237</v>
          </cell>
        </row>
      </sheetData>
      <sheetData sheetId="15"/>
      <sheetData sheetId="16"/>
      <sheetData sheetId="17"/>
      <sheetData sheetId="18"/>
      <sheetData sheetId="19"/>
      <sheetData sheetId="20"/>
      <sheetData sheetId="21"/>
      <sheetData sheetId="22">
        <row r="6">
          <cell r="B6">
            <v>94719</v>
          </cell>
          <cell r="C6">
            <v>28250</v>
          </cell>
          <cell r="D6">
            <v>40690</v>
          </cell>
          <cell r="E6">
            <v>111405</v>
          </cell>
        </row>
        <row r="8">
          <cell r="B8">
            <v>35360</v>
          </cell>
          <cell r="C8">
            <v>10565</v>
          </cell>
          <cell r="D8">
            <v>18344</v>
          </cell>
          <cell r="E8">
            <v>40094</v>
          </cell>
        </row>
      </sheetData>
      <sheetData sheetId="23"/>
      <sheetData sheetId="24"/>
      <sheetData sheetId="25"/>
      <sheetData sheetId="26"/>
      <sheetData sheetId="27"/>
      <sheetData sheetId="28"/>
      <sheetData sheetId="29"/>
      <sheetData sheetId="30"/>
      <sheetData sheetId="31"/>
      <sheetData sheetId="32"/>
      <sheetData sheetId="33"/>
      <sheetData sheetId="34">
        <row r="57">
          <cell r="B57">
            <v>3397</v>
          </cell>
          <cell r="F57">
            <v>6758</v>
          </cell>
        </row>
      </sheetData>
      <sheetData sheetId="35"/>
      <sheetData sheetId="36"/>
      <sheetData sheetId="37"/>
      <sheetData sheetId="38"/>
      <sheetData sheetId="39"/>
      <sheetData sheetId="40"/>
      <sheetData sheetId="41"/>
      <sheetData sheetId="42"/>
      <sheetData sheetId="43"/>
      <sheetData sheetId="44">
        <row r="35">
          <cell r="E35">
            <v>8913</v>
          </cell>
          <cell r="I35">
            <v>17653</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row r="7">
          <cell r="B7">
            <v>10070</v>
          </cell>
          <cell r="E7">
            <v>17902</v>
          </cell>
        </row>
      </sheetData>
      <sheetData sheetId="58">
        <row r="79">
          <cell r="D79">
            <v>691</v>
          </cell>
          <cell r="H79">
            <v>1364</v>
          </cell>
        </row>
      </sheetData>
      <sheetData sheetId="59"/>
      <sheetData sheetId="60"/>
      <sheetData sheetId="61"/>
      <sheetData sheetId="62"/>
      <sheetData sheetId="63"/>
      <sheetData sheetId="64"/>
      <sheetData sheetId="6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S"/>
      <sheetName val="Diluted EPS-YTD"/>
      <sheetName val="EPS workings"/>
      <sheetName val="Weighted Avg - QTD (4)"/>
      <sheetName val="Weighted Avg - YTD (4)"/>
      <sheetName val="Recon of common stock"/>
      <sheetName val="Dilutive effect Q4'18"/>
      <sheetName val="Dilutive effect Q3'18"/>
      <sheetName val="Dilutive effect Q2'18"/>
      <sheetName val="Dilutive effect Q1'18"/>
      <sheetName val="RSA_EPS"/>
      <sheetName val="RSA_Dec'18"/>
      <sheetName val="Dilution rules"/>
      <sheetName val="Options-Disclosure"/>
      <sheetName val="RS-Disclosure"/>
      <sheetName val="PRSU-Disclosure (2)"/>
      <sheetName val="Weighted Avg Assumptions"/>
      <sheetName val="10K note"/>
      <sheetName val="Available Pool New"/>
    </sheetNames>
    <sheetDataSet>
      <sheetData sheetId="0">
        <row r="5">
          <cell r="C5">
            <v>1.6465549130840529</v>
          </cell>
        </row>
        <row r="15">
          <cell r="B15">
            <v>34388025</v>
          </cell>
        </row>
        <row r="16">
          <cell r="B16">
            <v>34921388</v>
          </cell>
        </row>
      </sheetData>
      <sheetData sheetId="1"/>
      <sheetData sheetId="2">
        <row r="21">
          <cell r="B21">
            <v>121344</v>
          </cell>
        </row>
      </sheetData>
      <sheetData sheetId="3"/>
      <sheetData sheetId="4"/>
      <sheetData sheetId="5">
        <row r="13">
          <cell r="BS13">
            <v>155753</v>
          </cell>
        </row>
      </sheetData>
      <sheetData sheetId="6">
        <row r="592">
          <cell r="AG592">
            <v>115.75128589212909</v>
          </cell>
        </row>
      </sheetData>
      <sheetData sheetId="7"/>
      <sheetData sheetId="8"/>
      <sheetData sheetId="9"/>
      <sheetData sheetId="10"/>
      <sheetData sheetId="11"/>
      <sheetData sheetId="12"/>
      <sheetData sheetId="13">
        <row r="5">
          <cell r="B5">
            <v>0</v>
          </cell>
        </row>
      </sheetData>
      <sheetData sheetId="14">
        <row r="8">
          <cell r="B8">
            <v>0</v>
          </cell>
        </row>
      </sheetData>
      <sheetData sheetId="15">
        <row r="8">
          <cell r="B8">
            <v>55268</v>
          </cell>
        </row>
      </sheetData>
      <sheetData sheetId="16"/>
      <sheetData sheetId="17"/>
      <sheetData sheetId="18">
        <row r="253">
          <cell r="E253">
            <v>3207975</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S"/>
      <sheetName val="Diluted EPS-YTD"/>
      <sheetName val="EPS workings"/>
      <sheetName val="Weighted Avg - QTD (4)"/>
      <sheetName val="Weighted Avg - YTD (4)"/>
      <sheetName val="Recon of common stock"/>
      <sheetName val="Dilutive effect Q4'19"/>
      <sheetName val="Dilutive effect Q3'19"/>
      <sheetName val="Dilutive effect Q2'19"/>
      <sheetName val="Dilutive effect Q1'19"/>
      <sheetName val="RSA_Dec'18"/>
      <sheetName val="Dilution rules"/>
      <sheetName val="Options-Disclosure"/>
      <sheetName val="RS-Disclosure"/>
      <sheetName val="PRSU-Disclosure (2)"/>
      <sheetName val="Weighted Avg Assumptions"/>
      <sheetName val="10K note"/>
      <sheetName val="Available Pool New"/>
    </sheetNames>
    <sheetDataSet>
      <sheetData sheetId="0">
        <row r="5">
          <cell r="B5">
            <v>0.62344425274195481</v>
          </cell>
        </row>
        <row r="15">
          <cell r="B15">
            <v>34253308</v>
          </cell>
          <cell r="C15">
            <v>34350150</v>
          </cell>
        </row>
        <row r="16">
          <cell r="B16">
            <v>34696896</v>
          </cell>
          <cell r="C16">
            <v>34732683</v>
          </cell>
        </row>
      </sheetData>
      <sheetData sheetId="1" refreshError="1"/>
      <sheetData sheetId="2">
        <row r="18">
          <cell r="B18">
            <v>0</v>
          </cell>
        </row>
      </sheetData>
      <sheetData sheetId="3" refreshError="1"/>
      <sheetData sheetId="4" refreshError="1"/>
      <sheetData sheetId="5">
        <row r="141">
          <cell r="BW141">
            <v>166071</v>
          </cell>
        </row>
      </sheetData>
      <sheetData sheetId="6" refreshError="1"/>
      <sheetData sheetId="7" refreshError="1"/>
      <sheetData sheetId="8" refreshError="1"/>
      <sheetData sheetId="9" refreshError="1"/>
      <sheetData sheetId="10" refreshError="1"/>
      <sheetData sheetId="11" refreshError="1"/>
      <sheetData sheetId="12">
        <row r="5">
          <cell r="B5">
            <v>0</v>
          </cell>
        </row>
      </sheetData>
      <sheetData sheetId="13">
        <row r="8">
          <cell r="B8">
            <v>0</v>
          </cell>
        </row>
      </sheetData>
      <sheetData sheetId="14">
        <row r="8">
          <cell r="B8">
            <v>54062</v>
          </cell>
        </row>
      </sheetData>
      <sheetData sheetId="15" refreshError="1"/>
      <sheetData sheetId="16" refreshError="1"/>
      <sheetData sheetId="17">
        <row r="275">
          <cell r="E275">
            <v>2785763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S"/>
      <sheetName val="Diluted EPS-YTD"/>
      <sheetName val="EPS workings"/>
      <sheetName val="Weighted Avg - QTD (4)"/>
      <sheetName val="Weighted Avg - YTD (1)"/>
      <sheetName val="Recon of common stock"/>
      <sheetName val="Dilutive effect Q4'19"/>
      <sheetName val="Dilutive effect Q3'19"/>
      <sheetName val="Dilutive effect Q2'19"/>
      <sheetName val="Dilutive effect Q4'20"/>
      <sheetName val="Dilutive effect Q3'20"/>
      <sheetName val="Dilutive effect Q4'20 -old"/>
      <sheetName val="Dilutive effect Q2'20"/>
      <sheetName val="EXL Qtry stock price"/>
      <sheetName val="RSA_Dec'18"/>
      <sheetName val="Dilution rules"/>
      <sheetName val="Dilutive effect Q1'20"/>
      <sheetName val="Options-Disclosure"/>
      <sheetName val="RS-Disclosure"/>
      <sheetName val="PRSU-Disclosure (2)"/>
      <sheetName val="Weighted Avg Assumptions"/>
      <sheetName val="10K note"/>
      <sheetName val="Available Pool New"/>
      <sheetName val="Weighted Avg - QTD (3)"/>
    </sheetNames>
    <sheetDataSet>
      <sheetData sheetId="0">
        <row r="5">
          <cell r="B5">
            <v>0.94990603015529052</v>
          </cell>
        </row>
        <row r="15">
          <cell r="B15">
            <v>33882013</v>
          </cell>
          <cell r="C15">
            <v>34273388</v>
          </cell>
        </row>
        <row r="16">
          <cell r="B16">
            <v>34370023</v>
          </cell>
          <cell r="C16">
            <v>34555164</v>
          </cell>
        </row>
      </sheetData>
      <sheetData sheetId="1"/>
      <sheetData sheetId="2">
        <row r="21">
          <cell r="B21">
            <v>289061</v>
          </cell>
        </row>
      </sheetData>
      <sheetData sheetId="3"/>
      <sheetData sheetId="4"/>
      <sheetData sheetId="5"/>
      <sheetData sheetId="6"/>
      <sheetData sheetId="7"/>
      <sheetData sheetId="8"/>
      <sheetData sheetId="9">
        <row r="15">
          <cell r="U15" t="str">
            <v>Calculated Weighted Balance Outstanding</v>
          </cell>
        </row>
      </sheetData>
      <sheetData sheetId="10"/>
      <sheetData sheetId="11"/>
      <sheetData sheetId="12"/>
      <sheetData sheetId="13"/>
      <sheetData sheetId="14"/>
      <sheetData sheetId="15"/>
      <sheetData sheetId="16"/>
      <sheetData sheetId="17">
        <row r="5">
          <cell r="B5">
            <v>0</v>
          </cell>
        </row>
      </sheetData>
      <sheetData sheetId="18">
        <row r="8">
          <cell r="B8">
            <v>0</v>
          </cell>
        </row>
      </sheetData>
      <sheetData sheetId="19">
        <row r="8">
          <cell r="B8">
            <v>61368</v>
          </cell>
        </row>
      </sheetData>
      <sheetData sheetId="20"/>
      <sheetData sheetId="21"/>
      <sheetData sheetId="22">
        <row r="349">
          <cell r="E349">
            <v>2333557</v>
          </cell>
        </row>
      </sheetData>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ump"/>
    </sheetNames>
    <sheetDataSet>
      <sheetData sheetId="0">
        <row r="44">
          <cell r="G44">
            <v>855125.81</v>
          </cell>
        </row>
        <row r="46">
          <cell r="G46">
            <v>855125.81</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 val="Acquisition Cost Q'3-18"/>
      <sheetName val="Acquisition Cost Oct-Nov'18"/>
      <sheetName val="Sheet1"/>
      <sheetName val="Acquisition Cost Nov-Dec'18"/>
    </sheetNames>
    <sheetDataSet>
      <sheetData sheetId="0">
        <row r="9">
          <cell r="B9">
            <v>-5853</v>
          </cell>
        </row>
        <row r="10">
          <cell r="B10">
            <v>-4351</v>
          </cell>
        </row>
        <row r="11">
          <cell r="B11">
            <v>176</v>
          </cell>
        </row>
        <row r="13">
          <cell r="B13">
            <v>-7228</v>
          </cell>
        </row>
        <row r="14">
          <cell r="B14">
            <v>980</v>
          </cell>
        </row>
        <row r="15">
          <cell r="B15">
            <v>2295</v>
          </cell>
        </row>
        <row r="16">
          <cell r="B16">
            <v>-329</v>
          </cell>
        </row>
        <row r="17">
          <cell r="B17">
            <v>600</v>
          </cell>
        </row>
        <row r="18">
          <cell r="B18">
            <v>20056</v>
          </cell>
        </row>
        <row r="19">
          <cell r="B19">
            <v>-1250</v>
          </cell>
        </row>
        <row r="20">
          <cell r="B20">
            <v>314</v>
          </cell>
        </row>
        <row r="21">
          <cell r="B21">
            <v>-3072</v>
          </cell>
        </row>
        <row r="22">
          <cell r="B22">
            <v>-150</v>
          </cell>
        </row>
        <row r="23">
          <cell r="B23">
            <v>-7986</v>
          </cell>
        </row>
      </sheetData>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s>
    <sheetDataSet>
      <sheetData sheetId="0">
        <row r="6">
          <cell r="B6">
            <v>59952</v>
          </cell>
          <cell r="K6">
            <v>28021</v>
          </cell>
        </row>
        <row r="10">
          <cell r="B10">
            <v>-4295</v>
          </cell>
          <cell r="K10">
            <v>-2416.2058699999998</v>
          </cell>
        </row>
        <row r="11">
          <cell r="B11">
            <v>-1524</v>
          </cell>
          <cell r="K11">
            <v>-765.89167199999997</v>
          </cell>
        </row>
        <row r="12">
          <cell r="B12">
            <v>-1028</v>
          </cell>
          <cell r="K12">
            <v>-97</v>
          </cell>
        </row>
        <row r="13">
          <cell r="B13">
            <v>891</v>
          </cell>
          <cell r="K13">
            <v>439.02679631213749</v>
          </cell>
        </row>
        <row r="14">
          <cell r="K14">
            <v>691</v>
          </cell>
        </row>
        <row r="15">
          <cell r="B15">
            <v>-327</v>
          </cell>
          <cell r="K15">
            <v>-165</v>
          </cell>
        </row>
        <row r="23">
          <cell r="B23">
            <v>79693</v>
          </cell>
          <cell r="K23">
            <v>39173.929254312141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s>
    <sheetDataSet>
      <sheetData sheetId="0" refreshError="1">
        <row r="10">
          <cell r="G10">
            <v>-1819.6149999999998</v>
          </cell>
        </row>
        <row r="11">
          <cell r="G11">
            <v>-1188.2159999999999</v>
          </cell>
        </row>
        <row r="12">
          <cell r="G12">
            <v>-21.230820800000014</v>
          </cell>
        </row>
        <row r="13">
          <cell r="G13">
            <v>50.912374335612611</v>
          </cell>
        </row>
        <row r="14">
          <cell r="G14">
            <v>618</v>
          </cell>
        </row>
        <row r="15">
          <cell r="G15">
            <v>-150</v>
          </cell>
        </row>
        <row r="17">
          <cell r="G17">
            <v>-119.55999999999997</v>
          </cell>
        </row>
        <row r="18">
          <cell r="G18">
            <v>0</v>
          </cell>
        </row>
        <row r="19">
          <cell r="G19">
            <v>-761</v>
          </cell>
        </row>
        <row r="20">
          <cell r="G20">
            <v>186.44499999999996</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s>
    <sheetDataSet>
      <sheetData sheetId="0">
        <row r="10">
          <cell r="B10">
            <v>-6434</v>
          </cell>
        </row>
        <row r="11">
          <cell r="B11">
            <v>-4621</v>
          </cell>
        </row>
        <row r="12">
          <cell r="B12">
            <v>-2305</v>
          </cell>
        </row>
        <row r="13">
          <cell r="B13">
            <v>753</v>
          </cell>
        </row>
        <row r="14">
          <cell r="B14">
            <v>2472</v>
          </cell>
        </row>
        <row r="15">
          <cell r="B15">
            <v>-606</v>
          </cell>
        </row>
        <row r="17">
          <cell r="B17">
            <v>-2140</v>
          </cell>
        </row>
        <row r="18">
          <cell r="B18">
            <v>-3134</v>
          </cell>
        </row>
        <row r="19">
          <cell r="B19">
            <v>-761</v>
          </cell>
        </row>
        <row r="20">
          <cell r="B20">
            <v>186</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s>
    <sheetDataSet>
      <sheetData sheetId="0">
        <row r="9">
          <cell r="O9">
            <v>-1704.2199999999998</v>
          </cell>
        </row>
        <row r="10">
          <cell r="O10">
            <v>-1192.752</v>
          </cell>
        </row>
        <row r="11">
          <cell r="O11">
            <v>-1015.4732269500013</v>
          </cell>
        </row>
        <row r="12">
          <cell r="O12">
            <v>238.87499999999994</v>
          </cell>
        </row>
        <row r="13">
          <cell r="O13">
            <v>600</v>
          </cell>
        </row>
        <row r="14">
          <cell r="O14">
            <v>-147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sheetName val="Index"/>
      <sheetName val="Balance Sheets"/>
      <sheetName val="Statements of Income"/>
      <sheetName val="Reclass Adjustment"/>
      <sheetName val="SCI"/>
      <sheetName val="AOCI"/>
      <sheetName val="Shareholders Equity Q2'19 (6M)"/>
      <sheetName val="Shareholders Equity Q3'17"/>
      <sheetName val="Shareholders Equity Q2'19 (3M)"/>
      <sheetName val="Statements of Cash Flow"/>
      <sheetName val="Other income (expense), net"/>
      <sheetName val="Cash &amp; cash equivalent"/>
      <sheetName val="CL,NCL,OCA &amp; OA"/>
      <sheetName val="Revenues,Net"/>
      <sheetName val="EPS"/>
      <sheetName val="MD&amp;A Section- Three months"/>
      <sheetName val="MD&amp;A Section- Three Months End"/>
      <sheetName val="Segment Information"/>
      <sheetName val="Statement of opts data(Item 6)"/>
      <sheetName val="Geographical"/>
      <sheetName val="Data - 8K"/>
      <sheetName val="Reimb Revenue- Unbilled"/>
      <sheetName val="Pro forma (Bus. Com (1)"/>
      <sheetName val="MD&amp;A Section- Six Months End"/>
      <sheetName val="Business Com (2)"/>
      <sheetName val="Goodwill &amp; Intangibles"/>
      <sheetName val="Business Com"/>
      <sheetName val="Goodwill (2)"/>
      <sheetName val="Goodwill"/>
      <sheetName val="Intangibles"/>
      <sheetName val="6. Fair Value Measurements"/>
      <sheetName val="Derivatives 1"/>
      <sheetName val="Derivatives 3"/>
      <sheetName val="Derivatives 2 (a)"/>
      <sheetName val="Derivatives 2 (b)"/>
      <sheetName val="FA"/>
      <sheetName val="Lease disclosure"/>
      <sheetName val="12. Leases"/>
      <sheetName val="Contractual Obligati &amp; Note 19 "/>
      <sheetName val="Emp Benefits"/>
      <sheetName val="Income Tax"/>
      <sheetName val="21. Stock Based Compensation"/>
      <sheetName val="Contingencies"/>
      <sheetName val="Sheet1"/>
      <sheetName val="MD&amp;A"/>
      <sheetName val="MD&amp;A (9m)"/>
      <sheetName val="MD&amp;A (PY)"/>
      <sheetName val="Liquidity &amp; CR"/>
      <sheetName val="Item 5"/>
      <sheetName val="Item 2"/>
      <sheetName val="Borrowings &amp; Credit Arrangement"/>
      <sheetName val="18. Capital Structure"/>
      <sheetName val="Commitment &amp; Contingencies"/>
      <sheetName val="Equity compensation plan Item 5"/>
      <sheetName val="High and Low"/>
      <sheetName val="Shareholders Equity Q2'19"/>
    </sheetNames>
    <sheetDataSet>
      <sheetData sheetId="0">
        <row r="7">
          <cell r="B7">
            <v>2019</v>
          </cell>
        </row>
      </sheetData>
      <sheetData sheetId="1"/>
      <sheetData sheetId="2">
        <row r="9">
          <cell r="C9">
            <v>84842</v>
          </cell>
        </row>
        <row r="10">
          <cell r="C10">
            <v>168204</v>
          </cell>
        </row>
        <row r="11">
          <cell r="C11">
            <v>4098</v>
          </cell>
        </row>
        <row r="12">
          <cell r="C12">
            <v>180680</v>
          </cell>
        </row>
        <row r="13">
          <cell r="C13">
            <v>11616</v>
          </cell>
        </row>
        <row r="14">
          <cell r="C14">
            <v>7906</v>
          </cell>
        </row>
        <row r="15">
          <cell r="C15">
            <v>31729</v>
          </cell>
        </row>
        <row r="17">
          <cell r="C17">
            <v>78083</v>
          </cell>
        </row>
        <row r="18">
          <cell r="C18">
            <v>93162</v>
          </cell>
        </row>
        <row r="19">
          <cell r="C19">
            <v>2507</v>
          </cell>
        </row>
        <row r="20">
          <cell r="C20">
            <v>4200</v>
          </cell>
        </row>
        <row r="21">
          <cell r="C21">
            <v>84402</v>
          </cell>
        </row>
        <row r="22">
          <cell r="C22">
            <v>350220</v>
          </cell>
        </row>
        <row r="23">
          <cell r="C23">
            <v>33194</v>
          </cell>
        </row>
        <row r="24">
          <cell r="C24">
            <v>2624</v>
          </cell>
        </row>
        <row r="28">
          <cell r="C28">
            <v>3269</v>
          </cell>
        </row>
        <row r="29">
          <cell r="C29">
            <v>20885</v>
          </cell>
        </row>
        <row r="30">
          <cell r="C30">
            <v>11790</v>
          </cell>
        </row>
        <row r="31">
          <cell r="C31">
            <v>42967</v>
          </cell>
        </row>
        <row r="32">
          <cell r="C32">
            <v>65007</v>
          </cell>
        </row>
        <row r="33">
          <cell r="C33">
            <v>23439</v>
          </cell>
        </row>
        <row r="34">
          <cell r="C34">
            <v>604</v>
          </cell>
        </row>
        <row r="35">
          <cell r="C35">
            <v>279</v>
          </cell>
        </row>
        <row r="37">
          <cell r="C37">
            <v>231409</v>
          </cell>
        </row>
        <row r="38">
          <cell r="C38">
            <v>474</v>
          </cell>
        </row>
        <row r="39">
          <cell r="C39">
            <v>0</v>
          </cell>
        </row>
        <row r="40">
          <cell r="C40">
            <v>6366</v>
          </cell>
        </row>
        <row r="41">
          <cell r="C41">
            <v>80531</v>
          </cell>
        </row>
        <row r="42">
          <cell r="C42">
            <v>9094</v>
          </cell>
        </row>
        <row r="45">
          <cell r="C45">
            <v>0</v>
          </cell>
        </row>
        <row r="47">
          <cell r="C47">
            <v>38</v>
          </cell>
        </row>
        <row r="48">
          <cell r="C48">
            <v>378633</v>
          </cell>
        </row>
        <row r="49">
          <cell r="C49">
            <v>511503</v>
          </cell>
        </row>
        <row r="50">
          <cell r="C50">
            <v>-74358</v>
          </cell>
        </row>
        <row r="52">
          <cell r="C52">
            <v>-174463</v>
          </cell>
        </row>
        <row r="54">
          <cell r="C54">
            <v>0</v>
          </cell>
        </row>
      </sheetData>
      <sheetData sheetId="3">
        <row r="5">
          <cell r="N5" t="str">
            <v>Three months ended</v>
          </cell>
        </row>
        <row r="7">
          <cell r="F7">
            <v>243509</v>
          </cell>
        </row>
        <row r="8">
          <cell r="F8">
            <v>162446</v>
          </cell>
        </row>
        <row r="11">
          <cell r="F11">
            <v>31228</v>
          </cell>
        </row>
        <row r="12">
          <cell r="F12">
            <v>17647</v>
          </cell>
        </row>
        <row r="13">
          <cell r="F13">
            <v>12752</v>
          </cell>
        </row>
        <row r="14">
          <cell r="F14">
            <v>5580</v>
          </cell>
        </row>
        <row r="17">
          <cell r="F17">
            <v>1202</v>
          </cell>
        </row>
        <row r="18">
          <cell r="F18">
            <v>-3864</v>
          </cell>
        </row>
        <row r="19">
          <cell r="F19">
            <v>4102</v>
          </cell>
        </row>
        <row r="21">
          <cell r="F21">
            <v>2670</v>
          </cell>
        </row>
        <row r="23">
          <cell r="F23">
            <v>62</v>
          </cell>
        </row>
        <row r="29">
          <cell r="F29">
            <v>34451671</v>
          </cell>
        </row>
        <row r="30">
          <cell r="F30">
            <v>34702547</v>
          </cell>
        </row>
      </sheetData>
      <sheetData sheetId="4">
        <row r="4">
          <cell r="A4" t="str">
            <v>Balance as on Dec 31, 2018</v>
          </cell>
        </row>
      </sheetData>
      <sheetData sheetId="5">
        <row r="4">
          <cell r="F4">
            <v>12564</v>
          </cell>
        </row>
      </sheetData>
      <sheetData sheetId="6"/>
      <sheetData sheetId="7">
        <row r="47">
          <cell r="B47">
            <v>444539</v>
          </cell>
        </row>
      </sheetData>
      <sheetData sheetId="8"/>
      <sheetData sheetId="9">
        <row r="65">
          <cell r="F65">
            <v>7155</v>
          </cell>
        </row>
      </sheetData>
      <sheetData sheetId="10">
        <row r="7">
          <cell r="C7">
            <v>27259</v>
          </cell>
        </row>
        <row r="9">
          <cell r="C9">
            <v>26532</v>
          </cell>
        </row>
        <row r="10">
          <cell r="C10">
            <v>14111</v>
          </cell>
        </row>
        <row r="11">
          <cell r="C11">
            <v>13701</v>
          </cell>
        </row>
        <row r="12">
          <cell r="C12">
            <v>-4362</v>
          </cell>
        </row>
        <row r="13">
          <cell r="C13">
            <v>1967</v>
          </cell>
        </row>
        <row r="14">
          <cell r="C14">
            <v>-2631</v>
          </cell>
        </row>
        <row r="15">
          <cell r="C15">
            <v>281</v>
          </cell>
        </row>
        <row r="16">
          <cell r="C16">
            <v>129</v>
          </cell>
        </row>
        <row r="18">
          <cell r="C18">
            <v>3167</v>
          </cell>
        </row>
        <row r="21">
          <cell r="C21">
            <v>-16478</v>
          </cell>
        </row>
        <row r="22">
          <cell r="C22">
            <v>-2033</v>
          </cell>
        </row>
        <row r="23">
          <cell r="C23">
            <v>1345</v>
          </cell>
        </row>
        <row r="24">
          <cell r="C24">
            <v>126</v>
          </cell>
        </row>
        <row r="25">
          <cell r="C25">
            <v>-2114</v>
          </cell>
        </row>
        <row r="26">
          <cell r="C26">
            <v>5654</v>
          </cell>
        </row>
        <row r="27">
          <cell r="C27">
            <v>-12567</v>
          </cell>
        </row>
        <row r="28">
          <cell r="C28">
            <v>5200</v>
          </cell>
        </row>
        <row r="29">
          <cell r="C29">
            <v>-13749</v>
          </cell>
        </row>
        <row r="32">
          <cell r="C32">
            <v>-22287</v>
          </cell>
        </row>
        <row r="33">
          <cell r="C33">
            <v>-241</v>
          </cell>
        </row>
        <row r="34">
          <cell r="C34">
            <v>0</v>
          </cell>
        </row>
        <row r="35">
          <cell r="C35">
            <v>-68188</v>
          </cell>
        </row>
        <row r="36">
          <cell r="C36">
            <v>91669</v>
          </cell>
        </row>
        <row r="39">
          <cell r="C39">
            <v>-207</v>
          </cell>
        </row>
        <row r="40">
          <cell r="C40">
            <v>46000</v>
          </cell>
        </row>
        <row r="41">
          <cell r="C41">
            <v>-79590</v>
          </cell>
        </row>
        <row r="45">
          <cell r="C45">
            <v>-117</v>
          </cell>
        </row>
        <row r="46">
          <cell r="C46">
            <v>-27538</v>
          </cell>
        </row>
        <row r="47">
          <cell r="C47">
            <v>338</v>
          </cell>
        </row>
        <row r="49">
          <cell r="C49">
            <v>-240</v>
          </cell>
        </row>
      </sheetData>
      <sheetData sheetId="11">
        <row r="7">
          <cell r="G7">
            <v>3318</v>
          </cell>
        </row>
      </sheetData>
      <sheetData sheetId="12">
        <row r="5">
          <cell r="C5">
            <v>84842</v>
          </cell>
        </row>
      </sheetData>
      <sheetData sheetId="13">
        <row r="7">
          <cell r="C7">
            <v>48797</v>
          </cell>
        </row>
      </sheetData>
      <sheetData sheetId="14"/>
      <sheetData sheetId="15">
        <row r="7">
          <cell r="G7">
            <v>12564</v>
          </cell>
        </row>
      </sheetData>
      <sheetData sheetId="16"/>
      <sheetData sheetId="17">
        <row r="99">
          <cell r="B99">
            <v>5.6</v>
          </cell>
        </row>
      </sheetData>
      <sheetData sheetId="18">
        <row r="31">
          <cell r="B31">
            <v>72236</v>
          </cell>
        </row>
      </sheetData>
      <sheetData sheetId="19"/>
      <sheetData sheetId="20"/>
      <sheetData sheetId="21"/>
      <sheetData sheetId="22"/>
      <sheetData sheetId="23"/>
      <sheetData sheetId="24">
        <row r="99">
          <cell r="B99">
            <v>6.8</v>
          </cell>
        </row>
      </sheetData>
      <sheetData sheetId="25"/>
      <sheetData sheetId="26">
        <row r="62">
          <cell r="B62">
            <v>5554</v>
          </cell>
        </row>
      </sheetData>
      <sheetData sheetId="27"/>
      <sheetData sheetId="28"/>
      <sheetData sheetId="29"/>
      <sheetData sheetId="30"/>
      <sheetData sheetId="31"/>
      <sheetData sheetId="32"/>
      <sheetData sheetId="33"/>
      <sheetData sheetId="34">
        <row r="6">
          <cell r="C6">
            <v>3288</v>
          </cell>
        </row>
      </sheetData>
      <sheetData sheetId="35">
        <row r="6">
          <cell r="C6">
            <v>9225</v>
          </cell>
        </row>
      </sheetData>
      <sheetData sheetId="36">
        <row r="14">
          <cell r="E14">
            <v>247699</v>
          </cell>
        </row>
      </sheetData>
      <sheetData sheetId="37">
        <row r="25">
          <cell r="C25">
            <v>92</v>
          </cell>
        </row>
      </sheetData>
      <sheetData sheetId="38"/>
      <sheetData sheetId="39"/>
      <sheetData sheetId="40">
        <row r="7">
          <cell r="E7">
            <v>493</v>
          </cell>
        </row>
      </sheetData>
      <sheetData sheetId="41"/>
      <sheetData sheetId="42">
        <row r="4">
          <cell r="B4">
            <v>1638</v>
          </cell>
        </row>
        <row r="7">
          <cell r="B7">
            <v>7155</v>
          </cell>
        </row>
      </sheetData>
      <sheetData sheetId="43"/>
      <sheetData sheetId="44"/>
      <sheetData sheetId="45"/>
      <sheetData sheetId="46"/>
      <sheetData sheetId="47"/>
      <sheetData sheetId="48">
        <row r="5">
          <cell r="C5">
            <v>104.1</v>
          </cell>
        </row>
      </sheetData>
      <sheetData sheetId="49"/>
      <sheetData sheetId="50">
        <row r="5">
          <cell r="J5">
            <v>13870180.465100002</v>
          </cell>
        </row>
      </sheetData>
      <sheetData sheetId="51">
        <row r="75">
          <cell r="D75">
            <v>4.1575789122674608E-2</v>
          </cell>
        </row>
      </sheetData>
      <sheetData sheetId="52">
        <row r="4">
          <cell r="B4">
            <v>0</v>
          </cell>
        </row>
      </sheetData>
      <sheetData sheetId="53"/>
      <sheetData sheetId="54"/>
      <sheetData sheetId="55"/>
      <sheetData sheetId="5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s>
    <sheetDataSet>
      <sheetData sheetId="0" refreshError="1">
        <row r="9">
          <cell r="K9">
            <v>-1753.2199999999998</v>
          </cell>
        </row>
        <row r="10">
          <cell r="K10">
            <v>-1198.152</v>
          </cell>
        </row>
        <row r="11">
          <cell r="K11">
            <v>-57.107032500000003</v>
          </cell>
        </row>
        <row r="12">
          <cell r="K12">
            <v>238.87499999999994</v>
          </cell>
        </row>
        <row r="13">
          <cell r="K13">
            <v>618</v>
          </cell>
        </row>
        <row r="14">
          <cell r="K14">
            <v>-150</v>
          </cell>
        </row>
        <row r="15">
          <cell r="K15">
            <v>5579.5504049069659</v>
          </cell>
        </row>
        <row r="16">
          <cell r="K16">
            <v>-1366.9898492022066</v>
          </cell>
        </row>
        <row r="17">
          <cell r="L17">
            <v>-1471.231</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s>
    <sheetDataSet>
      <sheetData sheetId="0">
        <row r="10">
          <cell r="O10">
            <v>-1179.2103999999999</v>
          </cell>
        </row>
        <row r="11">
          <cell r="O11">
            <v>-897.048</v>
          </cell>
        </row>
        <row r="12">
          <cell r="O12">
            <v>-1798.7788953455636</v>
          </cell>
        </row>
        <row r="13">
          <cell r="O13">
            <v>245.08838029999998</v>
          </cell>
        </row>
        <row r="14">
          <cell r="O14">
            <v>635</v>
          </cell>
        </row>
        <row r="15">
          <cell r="O15">
            <v>-156</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s>
    <sheetDataSet>
      <sheetData sheetId="0">
        <row r="10">
          <cell r="K10">
            <v>-1906.7768000000001</v>
          </cell>
        </row>
        <row r="11">
          <cell r="K11">
            <v>-880.15879999999993</v>
          </cell>
        </row>
        <row r="12">
          <cell r="K12">
            <v>-22.875888560273921</v>
          </cell>
        </row>
        <row r="13">
          <cell r="K13">
            <v>267.93506570000005</v>
          </cell>
        </row>
        <row r="14">
          <cell r="K14">
            <v>654</v>
          </cell>
        </row>
        <row r="15">
          <cell r="K15">
            <v>-162</v>
          </cell>
        </row>
        <row r="16">
          <cell r="K16">
            <v>-556</v>
          </cell>
        </row>
        <row r="17">
          <cell r="K17">
            <v>137</v>
          </cell>
        </row>
        <row r="18">
          <cell r="K18">
            <v>1320.2116463969007</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s>
    <sheetDataSet>
      <sheetData sheetId="0">
        <row r="4">
          <cell r="W4">
            <v>0.23397044110959528</v>
          </cell>
        </row>
        <row r="10">
          <cell r="G10">
            <v>-2061.2150000000001</v>
          </cell>
        </row>
        <row r="11">
          <cell r="G11">
            <v>-798.30714506593904</v>
          </cell>
        </row>
        <row r="12">
          <cell r="G12">
            <v>-52</v>
          </cell>
        </row>
        <row r="13">
          <cell r="G13">
            <v>277.16506025000007</v>
          </cell>
        </row>
        <row r="14">
          <cell r="G14">
            <v>654</v>
          </cell>
        </row>
        <row r="15">
          <cell r="G15">
            <v>-162</v>
          </cell>
        </row>
        <row r="16">
          <cell r="G16">
            <v>0</v>
          </cell>
        </row>
        <row r="17">
          <cell r="G17">
            <v>0</v>
          </cell>
        </row>
        <row r="18">
          <cell r="G18">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s>
    <sheetDataSet>
      <sheetData sheetId="0">
        <row r="10">
          <cell r="B10">
            <v>-7022</v>
          </cell>
        </row>
        <row r="11">
          <cell r="B11">
            <v>-3374</v>
          </cell>
        </row>
        <row r="12">
          <cell r="B12">
            <v>-2378</v>
          </cell>
        </row>
        <row r="13">
          <cell r="B13">
            <v>1070</v>
          </cell>
        </row>
        <row r="14">
          <cell r="B14">
            <v>2616</v>
          </cell>
        </row>
        <row r="15">
          <cell r="B15">
            <v>-648</v>
          </cell>
        </row>
        <row r="16">
          <cell r="B16">
            <v>-556</v>
          </cell>
        </row>
        <row r="17">
          <cell r="B17">
            <v>137</v>
          </cell>
        </row>
        <row r="18">
          <cell r="B18">
            <v>-20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s>
    <sheetDataSet>
      <sheetData sheetId="0">
        <row r="10">
          <cell r="O10">
            <v>-1879.2179120000001</v>
          </cell>
        </row>
        <row r="11">
          <cell r="O11">
            <v>-757.9736190000001</v>
          </cell>
        </row>
        <row r="12">
          <cell r="O12">
            <v>-931</v>
          </cell>
        </row>
        <row r="13">
          <cell r="O13">
            <v>451.89982443490237</v>
          </cell>
        </row>
        <row r="14">
          <cell r="O14">
            <v>673</v>
          </cell>
        </row>
        <row r="15">
          <cell r="O15">
            <v>-162</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 val="Acquisition Cost Q'3-18"/>
      <sheetName val="Acquisition Related Cost Q'3-18"/>
    </sheetNames>
    <sheetDataSet>
      <sheetData sheetId="0">
        <row r="9">
          <cell r="G9">
            <v>-1364</v>
          </cell>
        </row>
        <row r="10">
          <cell r="G10">
            <v>-1435</v>
          </cell>
        </row>
        <row r="13">
          <cell r="G13">
            <v>-288</v>
          </cell>
        </row>
        <row r="14">
          <cell r="G14">
            <v>192</v>
          </cell>
        </row>
        <row r="16">
          <cell r="G16">
            <v>-218</v>
          </cell>
        </row>
      </sheetData>
      <sheetData sheetId="1" refreshError="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Grossing up of Investment"/>
      <sheetName val="Cash Flow_SEC Format"/>
      <sheetName val="Cash Flow"/>
      <sheetName val="Other Adjustments"/>
      <sheetName val="EXL All Cash flow Statement_Sum"/>
      <sheetName val="Pivot_CTA_Jan'20 - Mar'20"/>
      <sheetName val="Working"/>
      <sheetName val="Working (2)"/>
      <sheetName val="Credit Facility"/>
      <sheetName val="Working (3)"/>
      <sheetName val="Convertible Note Issuance Cost "/>
      <sheetName val="Borrowings"/>
      <sheetName val="Def Issuance cost"/>
      <sheetName val="Debt issuance cost"/>
    </sheetNames>
    <sheetDataSet>
      <sheetData sheetId="0" refreshError="1"/>
      <sheetData sheetId="1" refreshError="1"/>
      <sheetData sheetId="2" refreshError="1">
        <row r="5">
          <cell r="H5">
            <v>22412445.572940014</v>
          </cell>
        </row>
        <row r="8">
          <cell r="H8">
            <v>118055.79678140473</v>
          </cell>
        </row>
        <row r="9">
          <cell r="H9">
            <v>-95776.680793678679</v>
          </cell>
        </row>
        <row r="15">
          <cell r="H15">
            <v>0</v>
          </cell>
        </row>
        <row r="18">
          <cell r="H18">
            <v>-48460.460000000006</v>
          </cell>
        </row>
        <row r="19">
          <cell r="H19">
            <v>635499.63234162563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Grossing up of Investment"/>
      <sheetName val="Cash Flow_SEC Format"/>
      <sheetName val="Cash Flow"/>
      <sheetName val="Other Adjustments"/>
      <sheetName val="EXL All Cash flow Statement_Sum"/>
      <sheetName val="Pivot_CTA_Jan'20 - June'20"/>
      <sheetName val="Working"/>
      <sheetName val="Working (2)"/>
      <sheetName val="Credit Facility"/>
      <sheetName val="Working (3)"/>
      <sheetName val="Convertible Note Issuance Cost "/>
      <sheetName val="Borrowings"/>
      <sheetName val="Def Issuance cost"/>
      <sheetName val="Debt issuance cost"/>
    </sheetNames>
    <sheetDataSet>
      <sheetData sheetId="0" refreshError="1"/>
      <sheetData sheetId="1" refreshError="1"/>
      <sheetData sheetId="2" refreshError="1">
        <row r="5">
          <cell r="A5" t="str">
            <v>Net profit / (loss)</v>
          </cell>
        </row>
        <row r="8">
          <cell r="G8">
            <v>236111.59356280946</v>
          </cell>
        </row>
        <row r="9">
          <cell r="G9">
            <v>-1246189.9169856962</v>
          </cell>
        </row>
        <row r="15">
          <cell r="G15">
            <v>0</v>
          </cell>
        </row>
        <row r="18">
          <cell r="G18">
            <v>-193779.83999999997</v>
          </cell>
        </row>
        <row r="19">
          <cell r="G19">
            <v>1289269.8791130728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Grossing up of Investment"/>
      <sheetName val="Cash Flow_SEC Format"/>
      <sheetName val="Cash Flow"/>
      <sheetName val="Pivot_CTA_Jan'20 - Sep'20"/>
      <sheetName val="Other Adjustments"/>
      <sheetName val="EXL All Cash flow Statement_Sum"/>
      <sheetName val="Working"/>
      <sheetName val="Working (2)"/>
      <sheetName val="Credit Facility"/>
      <sheetName val="Working (3)"/>
      <sheetName val="Convertible Note Issuance Cost "/>
      <sheetName val="Borrowings"/>
      <sheetName val="Def Issuance cost"/>
      <sheetName val="Debt issuance cost"/>
    </sheetNames>
    <sheetDataSet>
      <sheetData sheetId="0" refreshError="1"/>
      <sheetData sheetId="1" refreshError="1"/>
      <sheetData sheetId="2" refreshError="1">
        <row r="7">
          <cell r="G7">
            <v>-1572363.94</v>
          </cell>
        </row>
        <row r="8">
          <cell r="G8">
            <v>354167.39034421416</v>
          </cell>
        </row>
        <row r="9">
          <cell r="G9">
            <v>-1078602.3145782463</v>
          </cell>
        </row>
        <row r="15">
          <cell r="G15">
            <v>0</v>
          </cell>
        </row>
        <row r="18">
          <cell r="G18">
            <v>-210631.13999999998</v>
          </cell>
        </row>
        <row r="19">
          <cell r="G19">
            <v>1943040.1258845199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sheetName val="Index"/>
      <sheetName val="Balance Sheets"/>
      <sheetName val="Statements of Income"/>
      <sheetName val="Reclass Adjustment"/>
      <sheetName val="SCI"/>
      <sheetName val="AOCI"/>
      <sheetName val="Shareholders Equity Q3'19 (9M)"/>
      <sheetName val="Shareholders Equity Q3'17"/>
      <sheetName val="Shareholders Equity Q3'19 (3M)"/>
      <sheetName val="Statements of Cash Flow"/>
      <sheetName val="Other income (expense), net"/>
      <sheetName val="Cash &amp; cash equivalent"/>
      <sheetName val="CL,NCL,OCA &amp; OA"/>
      <sheetName val="Revenues,Net"/>
      <sheetName val="EPS"/>
      <sheetName val="MD&amp;A Section- Three months"/>
      <sheetName val="MD&amp;A Section- Three Months End"/>
      <sheetName val="Segment Information"/>
      <sheetName val="Statement of opts data(Item 6)"/>
      <sheetName val="Geographical"/>
      <sheetName val="Data - 8K"/>
      <sheetName val="Reimb Revenue- Unbilled"/>
      <sheetName val="Pro forma (Bus. Com (1)"/>
      <sheetName val="MD&amp;A Section- Nine Months End"/>
      <sheetName val="Business Com (2)"/>
      <sheetName val="Goodwill &amp; Intangibles"/>
      <sheetName val="Business Com"/>
      <sheetName val="Goodwill (2)"/>
      <sheetName val="Goodwill"/>
      <sheetName val="Intangibles"/>
      <sheetName val="6. Fair Value Measurements"/>
      <sheetName val="Derivatives 1"/>
      <sheetName val="Derivatives 3"/>
      <sheetName val="Derivatives 2 (a)"/>
      <sheetName val="Derivatives 2 (b)"/>
      <sheetName val="FA"/>
      <sheetName val="Lease disclosure"/>
      <sheetName val="12. Leases"/>
      <sheetName val="Contractual Obligati &amp; Note 19 "/>
      <sheetName val="Emp Benefits"/>
      <sheetName val="Income Tax"/>
      <sheetName val="21. Stock Based Compensation"/>
      <sheetName val="Contingencies"/>
      <sheetName val="Sheet1"/>
      <sheetName val="MD&amp;A"/>
      <sheetName val="MD&amp;A (9m)"/>
      <sheetName val="MD&amp;A (PY)"/>
      <sheetName val="Liquidity &amp; CR"/>
      <sheetName val="Item 5"/>
      <sheetName val="Item 2"/>
      <sheetName val="Borrowings &amp; Credit Arrangement"/>
      <sheetName val="18. Capital Structure"/>
      <sheetName val="24. Impairment &amp; Restructuring"/>
      <sheetName val="Commitment &amp; Contingencies"/>
      <sheetName val="Equity compensation plan Item 5"/>
      <sheetName val="High and Low"/>
    </sheetNames>
    <sheetDataSet>
      <sheetData sheetId="0"/>
      <sheetData sheetId="1"/>
      <sheetData sheetId="2">
        <row r="9">
          <cell r="C9">
            <v>101432</v>
          </cell>
        </row>
      </sheetData>
      <sheetData sheetId="3">
        <row r="7">
          <cell r="F7">
            <v>251392</v>
          </cell>
        </row>
        <row r="8">
          <cell r="F8">
            <v>167542</v>
          </cell>
        </row>
        <row r="11">
          <cell r="F11">
            <v>29590</v>
          </cell>
        </row>
        <row r="12">
          <cell r="F12">
            <v>18302</v>
          </cell>
        </row>
        <row r="13">
          <cell r="F13">
            <v>13047</v>
          </cell>
        </row>
        <row r="14">
          <cell r="F14">
            <v>489</v>
          </cell>
        </row>
        <row r="17">
          <cell r="F17">
            <v>1009</v>
          </cell>
        </row>
        <row r="18">
          <cell r="F18">
            <v>-3180</v>
          </cell>
        </row>
        <row r="19">
          <cell r="F19">
            <v>4563</v>
          </cell>
        </row>
        <row r="21">
          <cell r="F21">
            <v>5701</v>
          </cell>
        </row>
        <row r="23">
          <cell r="F23">
            <v>69</v>
          </cell>
        </row>
        <row r="29">
          <cell r="F29">
            <v>34322449</v>
          </cell>
        </row>
        <row r="30">
          <cell r="F30">
            <v>34699497</v>
          </cell>
        </row>
      </sheetData>
      <sheetData sheetId="4">
        <row r="7">
          <cell r="B7">
            <v>5649</v>
          </cell>
        </row>
      </sheetData>
      <sheetData sheetId="5">
        <row r="4">
          <cell r="F4">
            <v>19044</v>
          </cell>
        </row>
      </sheetData>
      <sheetData sheetId="6"/>
      <sheetData sheetId="7">
        <row r="35">
          <cell r="B35">
            <v>913223</v>
          </cell>
        </row>
      </sheetData>
      <sheetData sheetId="8"/>
      <sheetData sheetId="9">
        <row r="72">
          <cell r="B72">
            <v>39047</v>
          </cell>
        </row>
      </sheetData>
      <sheetData sheetId="10">
        <row r="7">
          <cell r="C7">
            <v>46303</v>
          </cell>
        </row>
      </sheetData>
      <sheetData sheetId="11">
        <row r="7">
          <cell r="G7">
            <v>3216</v>
          </cell>
        </row>
      </sheetData>
      <sheetData sheetId="12">
        <row r="5">
          <cell r="C5">
            <v>101432</v>
          </cell>
        </row>
      </sheetData>
      <sheetData sheetId="13"/>
      <sheetData sheetId="14"/>
      <sheetData sheetId="15">
        <row r="7">
          <cell r="G7">
            <v>19044</v>
          </cell>
        </row>
      </sheetData>
      <sheetData sheetId="16"/>
      <sheetData sheetId="17"/>
      <sheetData sheetId="18">
        <row r="31">
          <cell r="B31">
            <v>77714</v>
          </cell>
          <cell r="C31">
            <v>23978</v>
          </cell>
          <cell r="D31">
            <v>16950</v>
          </cell>
          <cell r="E31">
            <v>26542</v>
          </cell>
          <cell r="F31">
            <v>17455</v>
          </cell>
          <cell r="G31">
            <v>88753</v>
          </cell>
        </row>
        <row r="33">
          <cell r="B33">
            <v>26227</v>
          </cell>
          <cell r="C33">
            <v>4590</v>
          </cell>
          <cell r="D33">
            <v>7150</v>
          </cell>
          <cell r="E33">
            <v>9891</v>
          </cell>
          <cell r="F33">
            <v>5072</v>
          </cell>
          <cell r="G33">
            <v>30920</v>
          </cell>
        </row>
        <row r="96">
          <cell r="G96">
            <v>0.83038839740325865</v>
          </cell>
        </row>
        <row r="98">
          <cell r="G98">
            <v>0.11091840631364562</v>
          </cell>
        </row>
        <row r="99">
          <cell r="G99">
            <v>5.8693196283095724E-2</v>
          </cell>
        </row>
      </sheetData>
      <sheetData sheetId="19"/>
      <sheetData sheetId="20"/>
      <sheetData sheetId="21"/>
      <sheetData sheetId="22"/>
      <sheetData sheetId="23"/>
      <sheetData sheetId="24"/>
      <sheetData sheetId="25"/>
      <sheetData sheetId="26">
        <row r="61">
          <cell r="B61">
            <v>5502</v>
          </cell>
        </row>
      </sheetData>
      <sheetData sheetId="27"/>
      <sheetData sheetId="28"/>
      <sheetData sheetId="29"/>
      <sheetData sheetId="30"/>
      <sheetData sheetId="31"/>
      <sheetData sheetId="32"/>
      <sheetData sheetId="33"/>
      <sheetData sheetId="34">
        <row r="9">
          <cell r="C9">
            <v>-794</v>
          </cell>
        </row>
      </sheetData>
      <sheetData sheetId="35">
        <row r="9">
          <cell r="C9">
            <v>3525</v>
          </cell>
        </row>
      </sheetData>
      <sheetData sheetId="36">
        <row r="34">
          <cell r="E34">
            <v>7545</v>
          </cell>
        </row>
      </sheetData>
      <sheetData sheetId="37">
        <row r="25">
          <cell r="C25">
            <v>67.953848079219185</v>
          </cell>
        </row>
      </sheetData>
      <sheetData sheetId="38"/>
      <sheetData sheetId="39"/>
      <sheetData sheetId="40">
        <row r="7">
          <cell r="E7">
            <v>488</v>
          </cell>
        </row>
      </sheetData>
      <sheetData sheetId="41"/>
      <sheetData sheetId="42">
        <row r="4">
          <cell r="B4">
            <v>1573</v>
          </cell>
        </row>
        <row r="7">
          <cell r="B7">
            <v>7427</v>
          </cell>
        </row>
      </sheetData>
      <sheetData sheetId="43"/>
      <sheetData sheetId="44"/>
      <sheetData sheetId="45"/>
      <sheetData sheetId="46"/>
      <sheetData sheetId="47"/>
      <sheetData sheetId="48">
        <row r="5">
          <cell r="C5">
            <v>104.1</v>
          </cell>
        </row>
      </sheetData>
      <sheetData sheetId="49"/>
      <sheetData sheetId="50">
        <row r="5">
          <cell r="J5">
            <v>5523702.0801000027</v>
          </cell>
        </row>
      </sheetData>
      <sheetData sheetId="51">
        <row r="75">
          <cell r="D75">
            <v>4.1142780959764272E-2</v>
          </cell>
        </row>
      </sheetData>
      <sheetData sheetId="52">
        <row r="4">
          <cell r="B4">
            <v>0</v>
          </cell>
        </row>
      </sheetData>
      <sheetData sheetId="53">
        <row r="9">
          <cell r="G9">
            <v>587</v>
          </cell>
        </row>
      </sheetData>
      <sheetData sheetId="54"/>
      <sheetData sheetId="55"/>
      <sheetData sheetId="5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Grossing up of Investment"/>
      <sheetName val="Cash Flow_SEC Format"/>
      <sheetName val="Cash Flow"/>
      <sheetName val="Pivot_CTA_Jan'20 - Dec'20"/>
      <sheetName val="Other Adjustments"/>
      <sheetName val="EXL All Cash flow Statement_Sum"/>
      <sheetName val="Working"/>
      <sheetName val="Working (2)"/>
      <sheetName val="Credit Facility"/>
      <sheetName val="Working (3)"/>
      <sheetName val="Convertible Note Issuance Cost "/>
      <sheetName val="Borrowings"/>
      <sheetName val="Def Issuance cost"/>
      <sheetName val="Debt issuance cost"/>
    </sheetNames>
    <sheetDataSet>
      <sheetData sheetId="0"/>
      <sheetData sheetId="1"/>
      <sheetData sheetId="2">
        <row r="5">
          <cell r="G5">
            <v>89475583.821250007</v>
          </cell>
        </row>
        <row r="8">
          <cell r="G8">
            <v>472223.18712561892</v>
          </cell>
        </row>
        <row r="9">
          <cell r="G9">
            <v>-730875.1100578442</v>
          </cell>
        </row>
        <row r="15">
          <cell r="G15">
            <v>0</v>
          </cell>
        </row>
        <row r="18">
          <cell r="G18">
            <v>-282982.90999999992</v>
          </cell>
        </row>
        <row r="19">
          <cell r="G19">
            <v>2615606.2672506464</v>
          </cell>
        </row>
      </sheetData>
      <sheetData sheetId="3">
        <row r="21">
          <cell r="AJ21">
            <v>10165531.229999999</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Grossing up of Investment"/>
      <sheetName val="Cash Flow_SEC Format"/>
      <sheetName val="Cash Flow"/>
      <sheetName val="EXL All Cash flow Statement_Sum"/>
      <sheetName val="Pivot_CTA_Jan'21 - Dec'21"/>
      <sheetName val="Other Adjustments"/>
      <sheetName val="Working"/>
      <sheetName val="Working (2)"/>
      <sheetName val="Credit Facility"/>
      <sheetName val="Working (3)"/>
      <sheetName val="Convertible Note Issuance Cost "/>
      <sheetName val="Borrowings"/>
      <sheetName val="Def Issuance cost"/>
      <sheetName val="Debt issuance cost"/>
    </sheetNames>
    <sheetDataSet>
      <sheetData sheetId="0" refreshError="1"/>
      <sheetData sheetId="1" refreshError="1"/>
      <sheetData sheetId="2" refreshError="1">
        <row r="2">
          <cell r="C2" t="str">
            <v>March 2021 Manual Adjustments</v>
          </cell>
        </row>
        <row r="8">
          <cell r="H8">
            <v>118055.79678140473</v>
          </cell>
        </row>
        <row r="9">
          <cell r="H9">
            <v>107107</v>
          </cell>
        </row>
        <row r="15">
          <cell r="H15">
            <v>0</v>
          </cell>
        </row>
        <row r="18">
          <cell r="H18">
            <v>-6910.17</v>
          </cell>
        </row>
        <row r="19">
          <cell r="H19">
            <v>672566.14136612648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Grossing up of Investment"/>
      <sheetName val="Cash Flow_SEC Format"/>
      <sheetName val="Cash Flow"/>
      <sheetName val="EXL All Cash flow Statement_Sum"/>
      <sheetName val="Pivot_CTA_Jan'21 - Dec'21"/>
      <sheetName val="Other Adjustments"/>
      <sheetName val="Working"/>
      <sheetName val="Working (2)"/>
      <sheetName val="Credit Facility"/>
      <sheetName val="Working (3)"/>
      <sheetName val="Convertible Note Issuance Cost "/>
      <sheetName val="Borrowings"/>
      <sheetName val="Def Issuance cost"/>
      <sheetName val="Debt issuance cost"/>
    </sheetNames>
    <sheetDataSet>
      <sheetData sheetId="0"/>
      <sheetData sheetId="1"/>
      <sheetData sheetId="2">
        <row r="7">
          <cell r="G7">
            <v>-14736984.289999999</v>
          </cell>
        </row>
        <row r="8">
          <cell r="G8">
            <v>236112</v>
          </cell>
        </row>
        <row r="9">
          <cell r="G9">
            <v>105603.28000000014</v>
          </cell>
        </row>
        <row r="15">
          <cell r="G15">
            <v>0</v>
          </cell>
        </row>
        <row r="18">
          <cell r="G18">
            <v>-194325.33000000005</v>
          </cell>
        </row>
        <row r="19">
          <cell r="G19">
            <v>1364468.55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Cash Flow_SEC Format"/>
      <sheetName val="Cash Flow"/>
      <sheetName val="Other Adjustments"/>
      <sheetName val="EXL Cash Flow Statement"/>
      <sheetName val="Inductis Cash Flow Statement"/>
      <sheetName val="EXL OPI Cash Flow Statement"/>
      <sheetName val="Pivot_CTA_Jan 19-Jun 19"/>
      <sheetName val="Working"/>
      <sheetName val="Working (2)"/>
      <sheetName val="Credit Facility"/>
      <sheetName val="Working (3)"/>
      <sheetName val="Convertible Note Issuance Cost "/>
      <sheetName val="Debt issuance cost"/>
      <sheetName val="Borrowings"/>
    </sheetNames>
    <sheetDataSet>
      <sheetData sheetId="0" refreshError="1"/>
      <sheetData sheetId="1" refreshError="1">
        <row r="7">
          <cell r="G7">
            <v>-2630975.3800000004</v>
          </cell>
        </row>
        <row r="19">
          <cell r="G19">
            <v>1218215.553493748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Grossing up of Investment"/>
      <sheetName val="Cash Flow_SEC Format"/>
      <sheetName val="Cash Flow"/>
      <sheetName val="Other Adjustments"/>
      <sheetName val="EXL Cash Flow Statement"/>
      <sheetName val="Inductis Cash Flow Statement"/>
      <sheetName val="EXL OPI Cash Flow Statement"/>
      <sheetName val="Pivot_CTA_Jan'19 - Dec'19"/>
      <sheetName val="Working"/>
      <sheetName val="Working (2)"/>
      <sheetName val="Credit Facility"/>
      <sheetName val="Working (3)"/>
      <sheetName val="Convertible Note Issuance Cost "/>
      <sheetName val="Borrowings"/>
      <sheetName val="Def Issuance cost"/>
      <sheetName val="Debt issuance cost"/>
    </sheetNames>
    <sheetDataSet>
      <sheetData sheetId="0" refreshError="1"/>
      <sheetData sheetId="1" refreshError="1"/>
      <sheetData sheetId="2">
        <row r="7">
          <cell r="G7">
            <v>-12345641.880000003</v>
          </cell>
        </row>
        <row r="19">
          <cell r="G19">
            <v>2471454.8041504407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9"/>
      <sheetName val="2018"/>
      <sheetName val="2017"/>
    </sheetNames>
    <sheetDataSet>
      <sheetData sheetId="0">
        <row r="4">
          <cell r="B4">
            <v>81286</v>
          </cell>
          <cell r="F4">
            <v>85581</v>
          </cell>
          <cell r="J4">
            <v>91096</v>
          </cell>
          <cell r="N4">
            <v>88471</v>
          </cell>
          <cell r="R4">
            <v>346434</v>
          </cell>
          <cell r="X4">
            <v>6.7471524764441071E-2</v>
          </cell>
          <cell r="Y4">
            <v>8.8618558180483253E-2</v>
          </cell>
          <cell r="Z4">
            <v>0.17154666687772191</v>
          </cell>
          <cell r="AA4">
            <v>0.12511879423645822</v>
          </cell>
          <cell r="AB4">
            <v>0.11339115068007688</v>
          </cell>
        </row>
        <row r="5">
          <cell r="B5">
            <v>22248</v>
          </cell>
          <cell r="F5">
            <v>21730</v>
          </cell>
          <cell r="J5">
            <v>25631</v>
          </cell>
          <cell r="N5">
            <v>27856</v>
          </cell>
          <cell r="R5">
            <v>97465</v>
          </cell>
          <cell r="X5">
            <v>-7.8403481187059865E-2</v>
          </cell>
          <cell r="Y5">
            <v>2.6329524209780963E-2</v>
          </cell>
          <cell r="Z5">
            <v>0.18299322605783108</v>
          </cell>
          <cell r="AA5">
            <v>0.21825379459882255</v>
          </cell>
          <cell r="AB5">
            <v>8.4812790906845903E-2</v>
          </cell>
        </row>
        <row r="6">
          <cell r="B6">
            <v>49078</v>
          </cell>
          <cell r="F6">
            <v>48327</v>
          </cell>
          <cell r="J6">
            <v>45912</v>
          </cell>
          <cell r="N6">
            <v>46801</v>
          </cell>
          <cell r="R6">
            <v>190118</v>
          </cell>
          <cell r="X6">
            <v>-1.0166648342362583E-2</v>
          </cell>
          <cell r="Y6">
            <v>-4.694780562040235E-2</v>
          </cell>
          <cell r="Z6">
            <v>-6.2898318463676772E-2</v>
          </cell>
          <cell r="AA6">
            <v>-1.5590976383788258E-2</v>
          </cell>
          <cell r="AB6">
            <v>-3.4068793325929936E-2</v>
          </cell>
        </row>
        <row r="9">
          <cell r="X9">
            <v>1.8289287121552311E-2</v>
          </cell>
          <cell r="Y9">
            <v>3.4177595551954099E-2</v>
          </cell>
          <cell r="Z9">
            <v>9.5825470816762515E-2</v>
          </cell>
          <cell r="AA9">
            <v>9.4522535309969014E-2</v>
          </cell>
          <cell r="AB9">
            <v>6.0547189264690049E-2</v>
          </cell>
        </row>
        <row r="13">
          <cell r="B13">
            <v>76148.167060416323</v>
          </cell>
          <cell r="D13">
            <v>24247.168207756244</v>
          </cell>
          <cell r="F13">
            <v>78614.312935322407</v>
          </cell>
          <cell r="H13">
            <v>25806.112536955741</v>
          </cell>
          <cell r="J13">
            <v>77757.039113754727</v>
          </cell>
          <cell r="L13">
            <v>24717.498250572389</v>
          </cell>
          <cell r="N13">
            <v>78632.585690686348</v>
          </cell>
          <cell r="P13">
            <v>24563.072901162224</v>
          </cell>
          <cell r="R13">
            <v>311152.10480017978</v>
          </cell>
          <cell r="T13">
            <v>99333.851896446577</v>
          </cell>
        </row>
        <row r="14">
          <cell r="B14">
            <v>24140.716187444454</v>
          </cell>
          <cell r="D14">
            <v>5511.3214201459086</v>
          </cell>
          <cell r="F14">
            <v>21172.537169999996</v>
          </cell>
          <cell r="H14">
            <v>3496.5549440261566</v>
          </cell>
          <cell r="J14">
            <v>21666.227190000001</v>
          </cell>
          <cell r="L14">
            <v>5257.7920387148552</v>
          </cell>
          <cell r="N14">
            <v>22865.514659999993</v>
          </cell>
          <cell r="P14">
            <v>5132.9121908205634</v>
          </cell>
          <cell r="R14">
            <v>89844.995207444445</v>
          </cell>
          <cell r="T14">
            <v>19398.580593707491</v>
          </cell>
          <cell r="X14">
            <v>0.2121233488330192</v>
          </cell>
          <cell r="Y14">
            <v>0.18933606925635882</v>
          </cell>
          <cell r="Z14">
            <v>0.14559720208257043</v>
          </cell>
          <cell r="AA14">
            <v>9.3570729091322358E-2</v>
          </cell>
          <cell r="AB14">
            <v>0.15798827964705398</v>
          </cell>
        </row>
        <row r="15">
          <cell r="B15">
            <v>49582.083608125431</v>
          </cell>
          <cell r="D15">
            <v>20086.983382073111</v>
          </cell>
          <cell r="F15">
            <v>50707.611067890277</v>
          </cell>
          <cell r="H15">
            <v>20199.203012760525</v>
          </cell>
          <cell r="J15">
            <v>48993.616066006805</v>
          </cell>
          <cell r="L15">
            <v>19922.494664906415</v>
          </cell>
          <cell r="N15">
            <v>47542.229781760056</v>
          </cell>
          <cell r="P15">
            <v>18631.327774917048</v>
          </cell>
          <cell r="R15">
            <v>196823.54052378255</v>
          </cell>
          <cell r="T15">
            <v>78839.00883465707</v>
          </cell>
        </row>
        <row r="19">
          <cell r="X19">
            <v>0.11822412187019271</v>
          </cell>
          <cell r="Y19">
            <v>9.4516632636036713E-2</v>
          </cell>
          <cell r="Z19">
            <v>7.0822240426617E-2</v>
          </cell>
          <cell r="AA19">
            <v>4.7790611168654351E-2</v>
          </cell>
          <cell r="AB19">
            <v>8.2287332816930681E-2</v>
          </cell>
        </row>
      </sheetData>
      <sheetData sheetId="1"/>
      <sheetData sheetId="2"/>
      <sheetData sheetId="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4a"/>
      <sheetName val="Slide 4b"/>
      <sheetName val="Slide 5- QoQ"/>
      <sheetName val="Slide 5-YoY"/>
      <sheetName val="Slide 6a"/>
      <sheetName val="Slide 6b"/>
      <sheetName val="Slide 7a"/>
      <sheetName val="Slide 7b"/>
      <sheetName val="Slide 12a 13 a"/>
      <sheetName val="Slide 12b 13b"/>
      <sheetName val="Slide 16"/>
      <sheetName val="Slide 17"/>
      <sheetName val="Slide 19a"/>
      <sheetName val="Slide 19b"/>
      <sheetName val="Sheet1"/>
    </sheetNames>
    <sheetDataSet>
      <sheetData sheetId="0"/>
      <sheetData sheetId="1"/>
      <sheetData sheetId="2">
        <row r="5">
          <cell r="F5">
            <v>247.11704315695243</v>
          </cell>
        </row>
      </sheetData>
      <sheetData sheetId="3">
        <row r="5">
          <cell r="H5">
            <v>-2.7345350752100872E-2</v>
          </cell>
        </row>
      </sheetData>
      <sheetData sheetId="4">
        <row r="7">
          <cell r="H7">
            <v>-2.7345350752100872E-2</v>
          </cell>
        </row>
      </sheetData>
      <sheetData sheetId="5">
        <row r="6">
          <cell r="N6">
            <v>1.5189806188657951E-2</v>
          </cell>
        </row>
        <row r="7">
          <cell r="N7">
            <v>4.1131479135403604E-2</v>
          </cell>
        </row>
        <row r="8">
          <cell r="N8">
            <v>0.21561497984223843</v>
          </cell>
        </row>
        <row r="9">
          <cell r="N9">
            <v>-0.11863677605004952</v>
          </cell>
        </row>
        <row r="15">
          <cell r="N15">
            <v>6.6205178752887672E-2</v>
          </cell>
        </row>
      </sheetData>
      <sheetData sheetId="6"/>
      <sheetData sheetId="7"/>
      <sheetData sheetId="8"/>
      <sheetData sheetId="9"/>
      <sheetData sheetId="10"/>
      <sheetData sheetId="11"/>
      <sheetData sheetId="12"/>
      <sheetData sheetId="13"/>
      <sheetData sheetId="1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4a"/>
      <sheetName val="Slide 4b"/>
      <sheetName val="Slide 6a"/>
      <sheetName val="Slide 6b"/>
      <sheetName val="Slide 7a"/>
      <sheetName val="Slide 7b"/>
      <sheetName val="Slide 8a"/>
      <sheetName val="Slide 8b"/>
      <sheetName val="Slide 16a"/>
      <sheetName val="Slide 16b"/>
      <sheetName val="Slide 17a"/>
      <sheetName val="Slide 17b"/>
      <sheetName val="Slide 18a"/>
      <sheetName val="Slide 18b"/>
    </sheetNames>
    <sheetDataSet>
      <sheetData sheetId="0"/>
      <sheetData sheetId="1"/>
      <sheetData sheetId="2">
        <row r="5">
          <cell r="N5">
            <v>-6.768365554424105E-2</v>
          </cell>
        </row>
      </sheetData>
      <sheetData sheetId="3">
        <row r="5">
          <cell r="H5">
            <v>-9.2779031541249002E-2</v>
          </cell>
        </row>
      </sheetData>
      <sheetData sheetId="4">
        <row r="53">
          <cell r="N53">
            <v>-0.22697434952869111</v>
          </cell>
        </row>
      </sheetData>
      <sheetData sheetId="5">
        <row r="6">
          <cell r="N6">
            <v>-8.5113869530994424E-2</v>
          </cell>
        </row>
        <row r="7">
          <cell r="N7">
            <v>-4.1522462219852341E-2</v>
          </cell>
        </row>
        <row r="8">
          <cell r="N8">
            <v>0.15089951509570332</v>
          </cell>
        </row>
        <row r="9">
          <cell r="N9">
            <v>-0.26842847954829785</v>
          </cell>
        </row>
        <row r="15">
          <cell r="N15">
            <v>-6.8137737405081777E-2</v>
          </cell>
        </row>
      </sheetData>
      <sheetData sheetId="6"/>
      <sheetData sheetId="7"/>
      <sheetData sheetId="8">
        <row r="5">
          <cell r="H5">
            <v>-9.1106578099736657E-3</v>
          </cell>
        </row>
      </sheetData>
      <sheetData sheetId="9">
        <row r="5">
          <cell r="H5">
            <v>-2.3099397729276605E-2</v>
          </cell>
        </row>
      </sheetData>
      <sheetData sheetId="10"/>
      <sheetData sheetId="11"/>
      <sheetData sheetId="12"/>
      <sheetData sheetId="1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a"/>
      <sheetName val="4b"/>
      <sheetName val="6a"/>
      <sheetName val="6b"/>
      <sheetName val="7a"/>
      <sheetName val="7b"/>
      <sheetName val="8a"/>
      <sheetName val="8b"/>
      <sheetName val="16a"/>
      <sheetName val="16b"/>
      <sheetName val="17a"/>
      <sheetName val="17b"/>
      <sheetName val="18a"/>
      <sheetName val="18b"/>
      <sheetName val="26a"/>
      <sheetName val="26b"/>
      <sheetName val="29a"/>
      <sheetName val="29b"/>
    </sheetNames>
    <sheetDataSet>
      <sheetData sheetId="0"/>
      <sheetData sheetId="1"/>
      <sheetData sheetId="2">
        <row r="5">
          <cell r="N5">
            <v>-3.0973985693046546E-2</v>
          </cell>
        </row>
      </sheetData>
      <sheetData sheetId="3">
        <row r="5">
          <cell r="H5">
            <v>7.7125299551918047E-2</v>
          </cell>
        </row>
      </sheetData>
      <sheetData sheetId="4">
        <row r="7">
          <cell r="H7">
            <v>7.7125299551918047E-2</v>
          </cell>
        </row>
      </sheetData>
      <sheetData sheetId="5">
        <row r="6">
          <cell r="N6">
            <v>-7.3818017746927533E-2</v>
          </cell>
        </row>
        <row r="7">
          <cell r="N7">
            <v>-3.891677633948698E-2</v>
          </cell>
        </row>
        <row r="8">
          <cell r="N8">
            <v>-1.9461249231818911E-2</v>
          </cell>
        </row>
        <row r="9">
          <cell r="N9">
            <v>-0.17341488098325408</v>
          </cell>
        </row>
        <row r="15">
          <cell r="N15">
            <v>1.6102449288212473E-2</v>
          </cell>
        </row>
      </sheetData>
      <sheetData sheetId="6">
        <row r="28">
          <cell r="L28">
            <v>109.67825203491189</v>
          </cell>
        </row>
        <row r="29">
          <cell r="L29">
            <v>58.187223970000005</v>
          </cell>
        </row>
        <row r="30">
          <cell r="L30">
            <v>73.152783378038748</v>
          </cell>
        </row>
      </sheetData>
      <sheetData sheetId="7"/>
      <sheetData sheetId="8">
        <row r="5">
          <cell r="H5">
            <v>-1.6607184650580864E-2</v>
          </cell>
        </row>
      </sheetData>
      <sheetData sheetId="9">
        <row r="5">
          <cell r="H5">
            <v>-2.9593081044657632E-2</v>
          </cell>
        </row>
      </sheetData>
      <sheetData sheetId="10"/>
      <sheetData sheetId="11">
        <row r="8">
          <cell r="E8">
            <v>252.84070572580993</v>
          </cell>
        </row>
      </sheetData>
      <sheetData sheetId="12"/>
      <sheetData sheetId="13"/>
      <sheetData sheetId="14"/>
      <sheetData sheetId="15"/>
      <sheetData sheetId="16"/>
      <sheetData sheetId="1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3 Fin. Highlights wo HI"/>
      <sheetName val="Slide 3 Fin. Highlights wi HI"/>
      <sheetName val="Slide 5 QTR rep P&amp;L wo HI"/>
      <sheetName val="Slide 5 QTR rep P&amp;L wi HI"/>
      <sheetName val="Slide 6 Q Ops.Seg. Rev&amp;GM wo HI"/>
      <sheetName val="Slide 6 Q Ops Seg. Rev&amp;GM wi HI"/>
      <sheetName val="Slide 7 QTR Rev. vertical wo HI"/>
      <sheetName val="Slide 7 QTR Rev. vertical wi HI"/>
      <sheetName val="Slide 15 FY P&amp;L View wo HI"/>
      <sheetName val="Slide 15 FY P&amp;L View wi HI"/>
      <sheetName val="Slide 16 FY Op seg Rev&amp;GM wo HI"/>
      <sheetName val="Slide 16 FY Op seg Rev&amp;GM wi HI"/>
      <sheetName val="Slide 17 FY vertical rev wo HI"/>
      <sheetName val="Slide 17 FY vertical rev wi HI"/>
    </sheetNames>
    <sheetDataSet>
      <sheetData sheetId="0"/>
      <sheetData sheetId="1"/>
      <sheetData sheetId="2">
        <row r="5">
          <cell r="H5">
            <v>3.1441466224338299E-2</v>
          </cell>
        </row>
      </sheetData>
      <sheetData sheetId="3">
        <row r="5">
          <cell r="N5">
            <v>-3.0893222494676187E-2</v>
          </cell>
        </row>
      </sheetData>
      <sheetData sheetId="4">
        <row r="8">
          <cell r="N8">
            <v>-2.0186449766593118E-2</v>
          </cell>
        </row>
      </sheetData>
      <sheetData sheetId="5">
        <row r="5">
          <cell r="H5">
            <v>3.1441466224338299E-2</v>
          </cell>
        </row>
        <row r="6">
          <cell r="N6">
            <v>-7.4335344491529121E-2</v>
          </cell>
        </row>
        <row r="7">
          <cell r="N7">
            <v>4.1265779604706676E-3</v>
          </cell>
        </row>
        <row r="8">
          <cell r="N8">
            <v>-0.1308056428564105</v>
          </cell>
        </row>
        <row r="9">
          <cell r="N9">
            <v>-0.18904768662088101</v>
          </cell>
        </row>
        <row r="15">
          <cell r="N15">
            <v>4.4702534273172612E-2</v>
          </cell>
        </row>
      </sheetData>
      <sheetData sheetId="6"/>
      <sheetData sheetId="7">
        <row r="28">
          <cell r="L28">
            <v>111.1853843587006</v>
          </cell>
        </row>
        <row r="29">
          <cell r="L29">
            <v>58.248805019211268</v>
          </cell>
        </row>
        <row r="30">
          <cell r="L30">
            <v>79.518623723887345</v>
          </cell>
        </row>
      </sheetData>
      <sheetData sheetId="8">
        <row r="5">
          <cell r="H5">
            <v>-1.7536208265125697E-2</v>
          </cell>
        </row>
      </sheetData>
      <sheetData sheetId="9">
        <row r="5">
          <cell r="H5">
            <v>-2.9929966169971456E-2</v>
          </cell>
        </row>
      </sheetData>
      <sheetData sheetId="10">
        <row r="6">
          <cell r="H6">
            <v>-1.7536208265125697E-2</v>
          </cell>
        </row>
      </sheetData>
      <sheetData sheetId="11">
        <row r="7">
          <cell r="H7">
            <v>-5.5299191968245509E-2</v>
          </cell>
        </row>
        <row r="8">
          <cell r="H8">
            <v>-9.7858675320537936E-3</v>
          </cell>
        </row>
        <row r="9">
          <cell r="H9">
            <v>4.0358540083005323E-2</v>
          </cell>
        </row>
        <row r="10">
          <cell r="H10">
            <v>-0.1872749158062964</v>
          </cell>
        </row>
        <row r="16">
          <cell r="H16">
            <v>1.5083119496305475E-2</v>
          </cell>
        </row>
      </sheetData>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sheetName val="Index"/>
      <sheetName val="Balance Sheets"/>
      <sheetName val="Statements of Income"/>
      <sheetName val="Reclass Adjustment"/>
      <sheetName val="SCI"/>
      <sheetName val="SCI (Tax grossing)"/>
      <sheetName val="AOCI"/>
      <sheetName val="AOCI (Tax grossing)"/>
      <sheetName val="Shareholders Equity 10K"/>
      <sheetName val="Shareholders Equity Q3'17"/>
      <sheetName val="Shareholders Equity 10K (3M)"/>
      <sheetName val="Statements of Cash Flow"/>
      <sheetName val="3. Quarterly Financial Data"/>
      <sheetName val="Other income (expense), net"/>
      <sheetName val="Cash &amp; cash equivalent"/>
      <sheetName val="CL,NCL,OCA &amp; OA"/>
      <sheetName val="Revenues,Net"/>
      <sheetName val="EPS"/>
      <sheetName val="MD&amp;A Section- Three months"/>
      <sheetName val="MD&amp;A Section- Three Months End"/>
      <sheetName val="Segment Information 10K"/>
      <sheetName val="Segment Information"/>
      <sheetName val="Statement of opts data(Item 6)"/>
      <sheetName val="Geographical"/>
      <sheetName val="Reimb Revenue- Unbilled"/>
      <sheetName val="MD&amp;A Section- Year End"/>
      <sheetName val="Data - 8K"/>
      <sheetName val="Pro forma (Bus. Com (1)"/>
      <sheetName val="Business Com (2)"/>
      <sheetName val="Emp Benefits"/>
      <sheetName val="Goodwill &amp; Intangibles"/>
      <sheetName val="Business Com"/>
      <sheetName val="Goodwill (2)"/>
      <sheetName val="Goodwill"/>
      <sheetName val="Intangibles"/>
      <sheetName val="6. Fair Value Measurements"/>
      <sheetName val="Derivatives 1"/>
      <sheetName val="Derivatives 3"/>
      <sheetName val="Derivatives 2 (a)"/>
      <sheetName val="Derivatives 2 (b)"/>
      <sheetName val="FA"/>
      <sheetName val="Lease disclosure"/>
      <sheetName val="12. Leases"/>
      <sheetName val="Contractual Obligati &amp; Note 19 "/>
      <sheetName val="Income Tax"/>
      <sheetName val="21. Stock Based Compensation"/>
      <sheetName val="Contingencies"/>
      <sheetName val="Sheet1"/>
      <sheetName val="MD&amp;A"/>
      <sheetName val="MD&amp;A (9m)"/>
      <sheetName val="MD&amp;A (PY)"/>
      <sheetName val="Liquidity &amp; CR"/>
      <sheetName val="Item 5"/>
      <sheetName val="18. Capital Structure"/>
      <sheetName val="Borrowings &amp; Credit Arrangement"/>
      <sheetName val="Commitment &amp; Contingencies"/>
      <sheetName val="Equity compensation plan Item 5"/>
      <sheetName val="24. Impairment &amp; Restructuring"/>
      <sheetName val="High and Low"/>
    </sheetNames>
    <sheetDataSet>
      <sheetData sheetId="0">
        <row r="6">
          <cell r="B6" t="str">
            <v>December 31,</v>
          </cell>
        </row>
      </sheetData>
      <sheetData sheetId="1"/>
      <sheetData sheetId="2">
        <row r="9">
          <cell r="B9" t="str">
            <v>  </v>
          </cell>
          <cell r="C9">
            <v>119165</v>
          </cell>
        </row>
        <row r="10">
          <cell r="C10">
            <v>202238</v>
          </cell>
        </row>
        <row r="11">
          <cell r="C11">
            <v>5453</v>
          </cell>
        </row>
        <row r="12">
          <cell r="C12">
            <v>171864</v>
          </cell>
        </row>
        <row r="13">
          <cell r="C13">
            <v>13246</v>
          </cell>
        </row>
        <row r="14">
          <cell r="C14">
            <v>4698</v>
          </cell>
        </row>
        <row r="15">
          <cell r="C15">
            <v>24594</v>
          </cell>
        </row>
        <row r="17">
          <cell r="C17">
            <v>79142</v>
          </cell>
        </row>
        <row r="18">
          <cell r="C18">
            <v>86396</v>
          </cell>
        </row>
        <row r="19">
          <cell r="C19">
            <v>2426</v>
          </cell>
        </row>
        <row r="20">
          <cell r="C20">
            <v>11855</v>
          </cell>
        </row>
        <row r="21">
          <cell r="C21">
            <v>73982</v>
          </cell>
        </row>
        <row r="22">
          <cell r="C22">
            <v>349529</v>
          </cell>
        </row>
        <row r="23">
          <cell r="C23">
            <v>36016</v>
          </cell>
        </row>
        <row r="24">
          <cell r="C24">
            <v>2484</v>
          </cell>
        </row>
        <row r="28">
          <cell r="C28">
            <v>6564</v>
          </cell>
        </row>
        <row r="29">
          <cell r="C29">
            <v>40867</v>
          </cell>
        </row>
        <row r="30">
          <cell r="C30">
            <v>13436</v>
          </cell>
        </row>
        <row r="33">
          <cell r="C33">
            <v>24148</v>
          </cell>
        </row>
        <row r="34">
          <cell r="C34">
            <v>1432</v>
          </cell>
        </row>
        <row r="37">
          <cell r="C37">
            <v>194131</v>
          </cell>
        </row>
        <row r="38">
          <cell r="C38">
            <v>430</v>
          </cell>
        </row>
        <row r="39">
          <cell r="C39">
            <v>1790</v>
          </cell>
        </row>
        <row r="40">
          <cell r="C40">
            <v>966</v>
          </cell>
        </row>
        <row r="41">
          <cell r="C41">
            <v>74709</v>
          </cell>
        </row>
        <row r="45">
          <cell r="C45">
            <v>0</v>
          </cell>
        </row>
        <row r="47">
          <cell r="C47">
            <v>39</v>
          </cell>
        </row>
        <row r="48">
          <cell r="C48">
            <v>391240</v>
          </cell>
        </row>
        <row r="49">
          <cell r="C49">
            <v>551903</v>
          </cell>
        </row>
        <row r="50">
          <cell r="C50">
            <v>-84892</v>
          </cell>
        </row>
        <row r="52">
          <cell r="C52">
            <v>-188289</v>
          </cell>
        </row>
        <row r="54">
          <cell r="C54">
            <v>0</v>
          </cell>
        </row>
      </sheetData>
      <sheetData sheetId="3">
        <row r="7">
          <cell r="J7">
            <v>991346</v>
          </cell>
        </row>
        <row r="8">
          <cell r="J8">
            <v>655490</v>
          </cell>
        </row>
        <row r="11">
          <cell r="J11">
            <v>126909</v>
          </cell>
        </row>
        <row r="12">
          <cell r="J12">
            <v>71842</v>
          </cell>
        </row>
        <row r="13">
          <cell r="J13">
            <v>51981</v>
          </cell>
        </row>
        <row r="14">
          <cell r="J14">
            <v>8671</v>
          </cell>
        </row>
        <row r="17">
          <cell r="J17">
            <v>3752</v>
          </cell>
        </row>
        <row r="18">
          <cell r="J18">
            <v>-13612</v>
          </cell>
        </row>
        <row r="19">
          <cell r="J19">
            <v>16507</v>
          </cell>
        </row>
        <row r="21">
          <cell r="J21">
            <v>15172</v>
          </cell>
        </row>
        <row r="23">
          <cell r="J23">
            <v>269</v>
          </cell>
        </row>
      </sheetData>
      <sheetData sheetId="4">
        <row r="4">
          <cell r="F4">
            <v>-0.52752293577981646</v>
          </cell>
        </row>
      </sheetData>
      <sheetData sheetId="5"/>
      <sheetData sheetId="6">
        <row r="4">
          <cell r="J4">
            <v>67659</v>
          </cell>
        </row>
      </sheetData>
      <sheetData sheetId="7"/>
      <sheetData sheetId="8">
        <row r="5">
          <cell r="B5">
            <v>-87591</v>
          </cell>
        </row>
      </sheetData>
      <sheetData sheetId="9">
        <row r="34">
          <cell r="B34">
            <v>990334</v>
          </cell>
        </row>
      </sheetData>
      <sheetData sheetId="10"/>
      <sheetData sheetId="11"/>
      <sheetData sheetId="12">
        <row r="7">
          <cell r="C7">
            <v>67659</v>
          </cell>
        </row>
        <row r="9">
          <cell r="C9">
            <v>52193</v>
          </cell>
        </row>
        <row r="10">
          <cell r="C10">
            <v>26070</v>
          </cell>
        </row>
        <row r="11">
          <cell r="C11">
            <v>27335</v>
          </cell>
        </row>
        <row r="12">
          <cell r="C12">
            <v>-10116</v>
          </cell>
        </row>
        <row r="13">
          <cell r="C13">
            <v>-321</v>
          </cell>
        </row>
        <row r="14">
          <cell r="C14">
            <v>-12345</v>
          </cell>
        </row>
        <row r="15">
          <cell r="C15">
            <v>614</v>
          </cell>
        </row>
        <row r="16">
          <cell r="C16">
            <v>269</v>
          </cell>
        </row>
        <row r="18">
          <cell r="C18">
            <v>3627</v>
          </cell>
        </row>
        <row r="21">
          <cell r="C21">
            <v>-7093</v>
          </cell>
        </row>
        <row r="22">
          <cell r="C22">
            <v>1215</v>
          </cell>
        </row>
        <row r="23">
          <cell r="C23">
            <v>7194</v>
          </cell>
        </row>
        <row r="24">
          <cell r="C24">
            <v>-2204</v>
          </cell>
        </row>
        <row r="25">
          <cell r="C25">
            <v>134</v>
          </cell>
        </row>
        <row r="26">
          <cell r="C26">
            <v>6679</v>
          </cell>
        </row>
        <row r="27">
          <cell r="C27">
            <v>16915</v>
          </cell>
        </row>
        <row r="28">
          <cell r="C28">
            <v>14141</v>
          </cell>
        </row>
        <row r="29">
          <cell r="C29">
            <v>-24813</v>
          </cell>
        </row>
        <row r="34">
          <cell r="C34">
            <v>-241</v>
          </cell>
        </row>
        <row r="35">
          <cell r="C35">
            <v>0</v>
          </cell>
        </row>
        <row r="36">
          <cell r="C36">
            <v>-187974</v>
          </cell>
        </row>
        <row r="37">
          <cell r="C37">
            <v>176968</v>
          </cell>
        </row>
        <row r="40">
          <cell r="C40">
            <v>-336</v>
          </cell>
        </row>
        <row r="41">
          <cell r="C41">
            <v>46000</v>
          </cell>
        </row>
        <row r="42">
          <cell r="C42">
            <v>-98247</v>
          </cell>
        </row>
        <row r="47">
          <cell r="C47">
            <v>-117</v>
          </cell>
        </row>
        <row r="48">
          <cell r="C48">
            <v>-41364</v>
          </cell>
        </row>
        <row r="49">
          <cell r="C49">
            <v>987</v>
          </cell>
        </row>
        <row r="51">
          <cell r="C51">
            <v>-1045</v>
          </cell>
        </row>
      </sheetData>
      <sheetData sheetId="13"/>
      <sheetData sheetId="14">
        <row r="7">
          <cell r="K7">
            <v>12965</v>
          </cell>
        </row>
      </sheetData>
      <sheetData sheetId="15">
        <row r="5">
          <cell r="C5">
            <v>119165</v>
          </cell>
        </row>
      </sheetData>
      <sheetData sheetId="16">
        <row r="7">
          <cell r="C7">
            <v>53139</v>
          </cell>
        </row>
      </sheetData>
      <sheetData sheetId="17">
        <row r="5">
          <cell r="C5">
            <v>171864</v>
          </cell>
        </row>
      </sheetData>
      <sheetData sheetId="18">
        <row r="15">
          <cell r="K15">
            <v>106375</v>
          </cell>
        </row>
      </sheetData>
      <sheetData sheetId="19"/>
      <sheetData sheetId="20"/>
      <sheetData sheetId="21">
        <row r="30">
          <cell r="B30">
            <v>294159</v>
          </cell>
          <cell r="C30">
            <v>90589</v>
          </cell>
          <cell r="D30">
            <v>68010</v>
          </cell>
          <cell r="E30">
            <v>106580</v>
          </cell>
          <cell r="F30">
            <v>74679</v>
          </cell>
          <cell r="G30">
            <v>357329</v>
          </cell>
        </row>
        <row r="32">
          <cell r="B32">
            <v>94481</v>
          </cell>
          <cell r="C32">
            <v>16939</v>
          </cell>
          <cell r="D32">
            <v>29274</v>
          </cell>
          <cell r="E32">
            <v>43263</v>
          </cell>
          <cell r="F32">
            <v>25815</v>
          </cell>
          <cell r="G32">
            <v>126084</v>
          </cell>
        </row>
        <row r="83">
          <cell r="E83">
            <v>0.8250177032035233</v>
          </cell>
          <cell r="M83">
            <v>0.83745990220810362</v>
          </cell>
        </row>
        <row r="85">
          <cell r="E85">
            <v>0.114022752903628</v>
          </cell>
          <cell r="M85">
            <v>0.10081285620853966</v>
          </cell>
        </row>
        <row r="86">
          <cell r="E86">
            <v>6.095954389284871E-2</v>
          </cell>
          <cell r="M86">
            <v>6.1727241583356691E-2</v>
          </cell>
        </row>
      </sheetData>
      <sheetData sheetId="22"/>
      <sheetData sheetId="23"/>
      <sheetData sheetId="24"/>
      <sheetData sheetId="25"/>
      <sheetData sheetId="26"/>
      <sheetData sheetId="27"/>
      <sheetData sheetId="28"/>
      <sheetData sheetId="29"/>
      <sheetData sheetId="30">
        <row r="6">
          <cell r="E6">
            <v>11044</v>
          </cell>
        </row>
      </sheetData>
      <sheetData sheetId="31">
        <row r="9">
          <cell r="B9">
            <v>38203</v>
          </cell>
        </row>
        <row r="61">
          <cell r="B61">
            <v>21558</v>
          </cell>
        </row>
      </sheetData>
      <sheetData sheetId="32"/>
      <sheetData sheetId="33"/>
      <sheetData sheetId="34"/>
      <sheetData sheetId="35"/>
      <sheetData sheetId="36">
        <row r="7">
          <cell r="B7">
            <v>166330</v>
          </cell>
        </row>
      </sheetData>
      <sheetData sheetId="37">
        <row r="4">
          <cell r="D4">
            <v>3945</v>
          </cell>
        </row>
      </sheetData>
      <sheetData sheetId="38"/>
      <sheetData sheetId="39">
        <row r="15">
          <cell r="L15">
            <v>0</v>
          </cell>
        </row>
      </sheetData>
      <sheetData sheetId="40">
        <row r="6">
          <cell r="C6">
            <v>8773</v>
          </cell>
        </row>
      </sheetData>
      <sheetData sheetId="41">
        <row r="6">
          <cell r="E6">
            <v>98309</v>
          </cell>
        </row>
      </sheetData>
      <sheetData sheetId="42">
        <row r="4">
          <cell r="C4">
            <v>86396</v>
          </cell>
        </row>
      </sheetData>
      <sheetData sheetId="43"/>
      <sheetData sheetId="44"/>
      <sheetData sheetId="45">
        <row r="7">
          <cell r="C7">
            <v>-391</v>
          </cell>
        </row>
      </sheetData>
      <sheetData sheetId="46">
        <row r="4">
          <cell r="B4">
            <v>5895</v>
          </cell>
        </row>
        <row r="7">
          <cell r="B7">
            <v>26070</v>
          </cell>
        </row>
      </sheetData>
      <sheetData sheetId="47"/>
      <sheetData sheetId="48"/>
      <sheetData sheetId="49"/>
      <sheetData sheetId="50"/>
      <sheetData sheetId="51"/>
      <sheetData sheetId="52">
        <row r="5">
          <cell r="C5">
            <v>104.1</v>
          </cell>
        </row>
      </sheetData>
      <sheetData sheetId="53"/>
      <sheetData sheetId="54">
        <row r="4">
          <cell r="B4">
            <v>23859</v>
          </cell>
        </row>
      </sheetData>
      <sheetData sheetId="55">
        <row r="4">
          <cell r="D4">
            <v>300000</v>
          </cell>
        </row>
      </sheetData>
      <sheetData sheetId="56">
        <row r="7">
          <cell r="B7">
            <v>16220</v>
          </cell>
        </row>
      </sheetData>
      <sheetData sheetId="57"/>
      <sheetData sheetId="58">
        <row r="9">
          <cell r="C9">
            <v>1597</v>
          </cell>
        </row>
      </sheetData>
      <sheetData sheetId="5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Segment View"/>
      <sheetName val="Revenue per HC"/>
    </sheetNames>
    <sheetDataSet>
      <sheetData sheetId="0" refreshError="1"/>
      <sheetData sheetId="1">
        <row r="9">
          <cell r="O9">
            <v>2.7551097699270555E-2</v>
          </cell>
        </row>
        <row r="10">
          <cell r="O10">
            <v>7.5681343266865264E-2</v>
          </cell>
        </row>
        <row r="11">
          <cell r="O11">
            <v>0.11964786617880518</v>
          </cell>
        </row>
        <row r="12">
          <cell r="O12">
            <v>-0.1247819651204235</v>
          </cell>
        </row>
        <row r="18">
          <cell r="O18">
            <v>0.10005088587135669</v>
          </cell>
        </row>
      </sheetData>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egment View"/>
      <sheetName val="P&amp;L"/>
      <sheetName val="P&amp;L Half Yearly "/>
      <sheetName val="Revenue per HC QoQ"/>
      <sheetName val="Revenue per HC HoH"/>
    </sheetNames>
    <sheetDataSet>
      <sheetData sheetId="0" refreshError="1"/>
      <sheetData sheetId="1">
        <row r="9">
          <cell r="O9">
            <v>0.14889159851110234</v>
          </cell>
        </row>
        <row r="10">
          <cell r="O10">
            <v>0.14878169746846748</v>
          </cell>
        </row>
        <row r="11">
          <cell r="O11">
            <v>0.13081910310668454</v>
          </cell>
        </row>
        <row r="12">
          <cell r="O12">
            <v>0.16222161892348419</v>
          </cell>
        </row>
        <row r="18">
          <cell r="O18">
            <v>0.35135000790399151</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orking"/>
      <sheetName val="Bandwidth"/>
      <sheetName val="Common Cost"/>
      <sheetName val="Sheet1"/>
    </sheetNames>
    <sheetDataSet>
      <sheetData sheetId="0">
        <row r="4">
          <cell r="J4">
            <v>87830.240012667782</v>
          </cell>
        </row>
        <row r="5">
          <cell r="J5">
            <v>25111.897839999998</v>
          </cell>
          <cell r="L5">
            <v>7119.2778883515457</v>
          </cell>
        </row>
        <row r="7">
          <cell r="J7">
            <v>90498.952496695405</v>
          </cell>
          <cell r="L7">
            <v>34027.680296218474</v>
          </cell>
        </row>
      </sheetData>
      <sheetData sheetId="1" refreshError="1"/>
      <sheetData sheetId="2" refreshError="1"/>
      <sheetData sheetId="3" refreshError="1"/>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come Statement"/>
      <sheetName val="Balance Sheet"/>
      <sheetName val="Cashflow"/>
      <sheetName val="Revenues and Margins"/>
      <sheetName val="Other Metrics"/>
    </sheetNames>
    <sheetDataSet>
      <sheetData sheetId="0" refreshError="1"/>
      <sheetData sheetId="1" refreshError="1"/>
      <sheetData sheetId="2" refreshError="1"/>
      <sheetData sheetId="3" refreshError="1"/>
      <sheetData sheetId="4">
        <row r="25">
          <cell r="V25">
            <v>9.0617499511791433E-2</v>
          </cell>
        </row>
        <row r="31">
          <cell r="V31">
            <v>7.9651754267672015E-2</v>
          </cell>
        </row>
        <row r="37">
          <cell r="V37">
            <v>-4.7263843395054406E-2</v>
          </cell>
        </row>
      </sheetData>
      <sheetData sheetId="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9"/>
      <sheetName val="2018"/>
      <sheetName val="2017"/>
    </sheetNames>
    <sheetDataSet>
      <sheetData sheetId="0" refreshError="1">
        <row r="4">
          <cell r="B4">
            <v>81286</v>
          </cell>
          <cell r="D4">
            <v>26043</v>
          </cell>
          <cell r="H4">
            <v>26167</v>
          </cell>
          <cell r="L4">
            <v>28863</v>
          </cell>
          <cell r="P4">
            <v>26781</v>
          </cell>
          <cell r="T4">
            <v>107854</v>
          </cell>
        </row>
        <row r="5">
          <cell r="D5">
            <v>4446</v>
          </cell>
          <cell r="H5">
            <v>3981</v>
          </cell>
          <cell r="L5">
            <v>5222</v>
          </cell>
          <cell r="P5">
            <v>6768</v>
          </cell>
          <cell r="T5">
            <v>20417</v>
          </cell>
        </row>
        <row r="6">
          <cell r="D6">
            <v>21785</v>
          </cell>
          <cell r="H6">
            <v>20475</v>
          </cell>
          <cell r="L6">
            <v>18845</v>
          </cell>
          <cell r="P6">
            <v>20396</v>
          </cell>
          <cell r="T6">
            <v>81501</v>
          </cell>
        </row>
      </sheetData>
      <sheetData sheetId="1" refreshError="1"/>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pshot- Q2 Checks"/>
      <sheetName val="Master Sheet"/>
      <sheetName val="Index"/>
      <sheetName val="Balance Sheets"/>
      <sheetName val="Statements of Income"/>
      <sheetName val="OCI Movement"/>
      <sheetName val="SCI"/>
      <sheetName val="SCI (Tax grossing)"/>
      <sheetName val="AOCI"/>
      <sheetName val="AOCI (Tax grossing)"/>
      <sheetName val="Shareholders Equity Q2'20 (9M)"/>
      <sheetName val="Shareholders Equity Q3'17"/>
      <sheetName val="Shareholders Equity Q2'21 (6M) "/>
      <sheetName val="Shareholders Equity Q2'21 (3M)"/>
      <sheetName val="Statements of Cash Flow"/>
      <sheetName val="3. Quarterly Financial Data"/>
      <sheetName val="Other income (expense), net"/>
      <sheetName val="Cash &amp; cash equivalent"/>
      <sheetName val="CL,NCL,OCA &amp; OA"/>
      <sheetName val="Revenues,Net"/>
      <sheetName val="EPS"/>
      <sheetName val="MD&amp;A Section- Three months"/>
      <sheetName val="Segment Information "/>
      <sheetName val="Statement of opts data(Item 6)"/>
      <sheetName val="Geographical"/>
      <sheetName val="Reimb Revenue- Unbilled"/>
      <sheetName val="Data - 8K"/>
      <sheetName val="Pro forma (Bus. Com (1)"/>
      <sheetName val="Business Com (2)"/>
      <sheetName val="Business Com"/>
      <sheetName val="Goodwill (2)"/>
      <sheetName val="Goodwill"/>
      <sheetName val="Intangibles"/>
      <sheetName val="MD&amp;A Section- Nine Months End"/>
      <sheetName val="Goodwill &amp; Intangibles"/>
      <sheetName val="Emp Benefits"/>
      <sheetName val="6. Fair Value Measurements"/>
      <sheetName val="Derivatives 1"/>
      <sheetName val="Derivatives 3"/>
      <sheetName val="Derivatives 2 (b)"/>
      <sheetName val="Derivatives 1 "/>
      <sheetName val="Derivatives 2 (a)"/>
      <sheetName val="Derivatives 2 (b) "/>
      <sheetName val="Derivatives 3 (c) "/>
      <sheetName val="FA"/>
      <sheetName val="Lease disclosure"/>
      <sheetName val="12. Leases"/>
      <sheetName val="Income Tax"/>
      <sheetName val="Contractual Obligati &amp; Note 19 "/>
      <sheetName val="Contingencies"/>
      <sheetName val="Sheet1"/>
      <sheetName val="MD&amp;A"/>
      <sheetName val="MD&amp;A (9m)"/>
      <sheetName val="MD&amp;A (PY)"/>
      <sheetName val="Liquidity &amp; CR"/>
      <sheetName val="Item 2"/>
      <sheetName val="18. Capital Structure"/>
      <sheetName val="21. Stock Based Compensation"/>
      <sheetName val="Borrowings &amp; Credit Arrangement"/>
      <sheetName val="MD&amp;A Section- Three Months End"/>
      <sheetName val="MD&amp;A Section- Year End"/>
      <sheetName val="25. Related Party Disclosures"/>
      <sheetName val="Commitment &amp; Contingencies"/>
      <sheetName val="Equity compensation plan Item 5"/>
      <sheetName val="24. Impairment &amp; Restructuring"/>
      <sheetName val="High and 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6">
          <cell r="B6">
            <v>94719</v>
          </cell>
          <cell r="C6">
            <v>28250</v>
          </cell>
          <cell r="D6">
            <v>40690</v>
          </cell>
          <cell r="E6">
            <v>111405</v>
          </cell>
        </row>
        <row r="8">
          <cell r="B8">
            <v>35360</v>
          </cell>
          <cell r="C8">
            <v>10565</v>
          </cell>
          <cell r="D8">
            <v>18344</v>
          </cell>
          <cell r="E8">
            <v>40094</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orking adj "/>
      <sheetName val="Working"/>
      <sheetName val="Bandwidth"/>
      <sheetName val="HC on Common cost"/>
      <sheetName val="Common Cost"/>
      <sheetName val="Var Explanation"/>
      <sheetName val="Common P"/>
      <sheetName val="Common"/>
      <sheetName val="Sheet1"/>
    </sheetNames>
    <sheetDataSet>
      <sheetData sheetId="0">
        <row r="4">
          <cell r="N4">
            <v>88919.04139081738</v>
          </cell>
        </row>
        <row r="7">
          <cell r="N7">
            <v>98069.995171134913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venue vertical(Rep)"/>
    </sheetNames>
    <sheetDataSet>
      <sheetData sheetId="0">
        <row r="28">
          <cell r="K28">
            <v>118.36874818935195</v>
          </cell>
        </row>
        <row r="29">
          <cell r="K29">
            <v>62.25695429999999</v>
          </cell>
        </row>
        <row r="30">
          <cell r="K30">
            <v>80.788873072383197</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by Industry vertical"/>
    </sheetNames>
    <sheetDataSet>
      <sheetData sheetId="0">
        <row r="13">
          <cell r="R13">
            <v>122.9928981440388</v>
          </cell>
        </row>
        <row r="14">
          <cell r="R14">
            <v>64.548337290000021</v>
          </cell>
        </row>
        <row r="15">
          <cell r="R15">
            <v>87.5228859302579</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Leadsheet Q3_2020"/>
      <sheetName val="Geo wise Excl SCIO"/>
      <sheetName val="Pivot"/>
      <sheetName val="Excl SCIO"/>
      <sheetName val="SCIO Geo Rev"/>
      <sheetName val="Total Dump"/>
    </sheetNames>
    <sheetDataSet>
      <sheetData sheetId="0"/>
      <sheetData sheetId="1">
        <row r="8">
          <cell r="C8">
            <v>203927779.00000003</v>
          </cell>
        </row>
        <row r="10">
          <cell r="C10">
            <v>0.84610925274915805</v>
          </cell>
          <cell r="D10">
            <v>9.5027448940333908E-2</v>
          </cell>
          <cell r="E10">
            <v>5.8863298310508079E-2</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sheetName val="Index"/>
      <sheetName val="Balance Sheets"/>
      <sheetName val="Statements of Income"/>
      <sheetName val="Reclass Adjustment"/>
      <sheetName val="SCI"/>
      <sheetName val="SCI (Tax grossing)"/>
      <sheetName val="AOCI"/>
      <sheetName val="AOCI (Tax grossing)"/>
      <sheetName val="Shareholders Equity Q1'20"/>
      <sheetName val="Shareholders Equity Q3'17"/>
      <sheetName val="Shareholders Equity 10K (3M)"/>
      <sheetName val="Statements of Cash Flow"/>
      <sheetName val="3. Quarterly Financial Data"/>
      <sheetName val="Other income (expense), net"/>
      <sheetName val="Cash &amp; cash equivalent"/>
      <sheetName val="CL,NCL,OCA &amp; OA"/>
      <sheetName val="Revenues,Net"/>
      <sheetName val="EPS"/>
      <sheetName val="MD&amp;A Section- Three months"/>
      <sheetName val="Segment Information "/>
      <sheetName val="Statement of opts data(Item 6)"/>
      <sheetName val="Geographical"/>
      <sheetName val="Reimb Revenue- Unbilled"/>
      <sheetName val="MD&amp;A Section- Year End"/>
      <sheetName val="Data - 8K"/>
      <sheetName val="Pro forma (Bus. Com (1)"/>
      <sheetName val="Business Com (2)"/>
      <sheetName val="Business Com"/>
      <sheetName val="Goodwill (2)"/>
      <sheetName val="Goodwill"/>
      <sheetName val="Intangibles"/>
      <sheetName val="MD&amp;A Section- Three Months End"/>
      <sheetName val="Goodwill &amp; Intangibles"/>
      <sheetName val="Emp Benefits"/>
      <sheetName val="6. Fair Value Measurements"/>
      <sheetName val="Derivatives 1"/>
      <sheetName val="Derivatives 3"/>
      <sheetName val="Derivatives 2 (a)"/>
      <sheetName val="Derivatives 2 (b)"/>
      <sheetName val="Derivatives 1 "/>
      <sheetName val="Derivatives 2 (b) "/>
      <sheetName val="FA"/>
      <sheetName val="Lease disclosure"/>
      <sheetName val="12. Leases"/>
      <sheetName val="Income Tax"/>
      <sheetName val="Contractual Obligati &amp; Note 19 "/>
      <sheetName val="Contingencies"/>
      <sheetName val="Sheet1"/>
      <sheetName val="MD&amp;A"/>
      <sheetName val="MD&amp;A (9m)"/>
      <sheetName val="MD&amp;A (PY)"/>
      <sheetName val="Liquidity &amp; CR"/>
      <sheetName val="Item 2"/>
      <sheetName val="18. Capital Structure"/>
      <sheetName val="21. Stock Based Compensation"/>
      <sheetName val="Borrowings &amp; Credit Arrangement"/>
      <sheetName val="Commitment &amp; Contingencies"/>
      <sheetName val="Equity compensation plan Item 5"/>
      <sheetName val="24. Impairment &amp; Restructuring"/>
      <sheetName val="High and Low"/>
      <sheetName val="Contractual Obligation"/>
    </sheetNames>
    <sheetDataSet>
      <sheetData sheetId="0"/>
      <sheetData sheetId="1"/>
      <sheetData sheetId="2">
        <row r="9">
          <cell r="C9">
            <v>224874</v>
          </cell>
        </row>
        <row r="10">
          <cell r="C10">
            <v>142539</v>
          </cell>
        </row>
        <row r="11">
          <cell r="C11">
            <v>6369</v>
          </cell>
        </row>
        <row r="12">
          <cell r="C12">
            <v>187137</v>
          </cell>
        </row>
        <row r="13">
          <cell r="C13">
            <v>11776</v>
          </cell>
        </row>
        <row r="14">
          <cell r="C14">
            <v>6024</v>
          </cell>
        </row>
        <row r="15">
          <cell r="C15">
            <v>26173</v>
          </cell>
        </row>
        <row r="17">
          <cell r="C17">
            <v>90513</v>
          </cell>
        </row>
        <row r="18">
          <cell r="C18">
            <v>99940</v>
          </cell>
        </row>
        <row r="19">
          <cell r="C19">
            <v>2291</v>
          </cell>
        </row>
        <row r="20">
          <cell r="C20">
            <v>16640</v>
          </cell>
        </row>
        <row r="21">
          <cell r="C21">
            <v>69734</v>
          </cell>
        </row>
        <row r="22">
          <cell r="C22">
            <v>348076</v>
          </cell>
        </row>
        <row r="23">
          <cell r="C23">
            <v>32045</v>
          </cell>
        </row>
        <row r="24">
          <cell r="C24">
            <v>3128</v>
          </cell>
        </row>
        <row r="28">
          <cell r="C28">
            <v>8048</v>
          </cell>
        </row>
        <row r="29">
          <cell r="C29">
            <v>100666</v>
          </cell>
        </row>
        <row r="30">
          <cell r="C30">
            <v>16038</v>
          </cell>
        </row>
        <row r="31">
          <cell r="C31">
            <v>28937</v>
          </cell>
        </row>
        <row r="32">
          <cell r="C32">
            <v>84495</v>
          </cell>
        </row>
        <row r="33">
          <cell r="C33">
            <v>18236</v>
          </cell>
        </row>
        <row r="34">
          <cell r="C34">
            <v>1692</v>
          </cell>
        </row>
        <row r="35">
          <cell r="C35">
            <v>252</v>
          </cell>
        </row>
        <row r="37">
          <cell r="C37">
            <v>234820</v>
          </cell>
        </row>
        <row r="38">
          <cell r="C38">
            <v>380</v>
          </cell>
        </row>
        <row r="39">
          <cell r="C39">
            <v>1790</v>
          </cell>
        </row>
        <row r="40">
          <cell r="C40">
            <v>773</v>
          </cell>
        </row>
        <row r="41">
          <cell r="C41">
            <v>93707</v>
          </cell>
        </row>
        <row r="42">
          <cell r="C42">
            <v>21521</v>
          </cell>
        </row>
        <row r="45">
          <cell r="C45">
            <v>0</v>
          </cell>
        </row>
        <row r="47">
          <cell r="C47">
            <v>39</v>
          </cell>
        </row>
        <row r="48">
          <cell r="C48">
            <v>396939</v>
          </cell>
        </row>
        <row r="49">
          <cell r="C49">
            <v>574314</v>
          </cell>
        </row>
        <row r="50">
          <cell r="C50">
            <v>-113104</v>
          </cell>
        </row>
        <row r="52">
          <cell r="C52">
            <v>-202284</v>
          </cell>
        </row>
        <row r="54">
          <cell r="C54">
            <v>0</v>
          </cell>
        </row>
      </sheetData>
      <sheetData sheetId="3">
        <row r="7">
          <cell r="J7">
            <v>245990</v>
          </cell>
        </row>
        <row r="8">
          <cell r="J8">
            <v>162656</v>
          </cell>
        </row>
        <row r="11">
          <cell r="J11">
            <v>28941</v>
          </cell>
        </row>
        <row r="12">
          <cell r="J12">
            <v>14456</v>
          </cell>
        </row>
        <row r="13">
          <cell r="J13">
            <v>12450</v>
          </cell>
        </row>
        <row r="14">
          <cell r="J14">
            <v>0</v>
          </cell>
        </row>
        <row r="17">
          <cell r="J17">
            <v>1377</v>
          </cell>
        </row>
        <row r="18">
          <cell r="J18">
            <v>-3072</v>
          </cell>
        </row>
        <row r="19">
          <cell r="J19">
            <v>2529</v>
          </cell>
        </row>
        <row r="21">
          <cell r="J21">
            <v>5855</v>
          </cell>
        </row>
        <row r="23">
          <cell r="J23">
            <v>55</v>
          </cell>
        </row>
        <row r="29">
          <cell r="J29">
            <v>34401565</v>
          </cell>
        </row>
        <row r="30">
          <cell r="J30">
            <v>34720603</v>
          </cell>
        </row>
      </sheetData>
      <sheetData sheetId="4">
        <row r="7">
          <cell r="C7">
            <v>-4864.1005647263246</v>
          </cell>
        </row>
      </sheetData>
      <sheetData sheetId="5"/>
      <sheetData sheetId="6">
        <row r="4">
          <cell r="A4" t="str">
            <v>Net income</v>
          </cell>
        </row>
      </sheetData>
      <sheetData sheetId="7"/>
      <sheetData sheetId="8">
        <row r="5">
          <cell r="A5" t="str">
            <v>Cumulative foreign currency translation loss</v>
          </cell>
        </row>
      </sheetData>
      <sheetData sheetId="9">
        <row r="22">
          <cell r="B22">
            <v>37850544</v>
          </cell>
        </row>
      </sheetData>
      <sheetData sheetId="10"/>
      <sheetData sheetId="11"/>
      <sheetData sheetId="12">
        <row r="7">
          <cell r="C7">
            <v>22411</v>
          </cell>
        </row>
        <row r="9">
          <cell r="C9">
            <v>12472</v>
          </cell>
        </row>
        <row r="10">
          <cell r="C10">
            <v>4778</v>
          </cell>
        </row>
        <row r="11">
          <cell r="C11">
            <v>6853</v>
          </cell>
        </row>
        <row r="12">
          <cell r="C12">
            <v>267</v>
          </cell>
        </row>
        <row r="14">
          <cell r="C14">
            <v>3539</v>
          </cell>
        </row>
        <row r="15">
          <cell r="C15">
            <v>195</v>
          </cell>
        </row>
        <row r="16">
          <cell r="C16">
            <v>55</v>
          </cell>
        </row>
        <row r="18">
          <cell r="C18">
            <v>0</v>
          </cell>
        </row>
        <row r="21">
          <cell r="C21">
            <v>-17518</v>
          </cell>
        </row>
        <row r="23">
          <cell r="C23">
            <v>-1109</v>
          </cell>
        </row>
        <row r="24">
          <cell r="C24">
            <v>925</v>
          </cell>
        </row>
        <row r="25">
          <cell r="C25">
            <v>1400</v>
          </cell>
        </row>
        <row r="26">
          <cell r="C26">
            <v>2579</v>
          </cell>
        </row>
        <row r="27">
          <cell r="C27">
            <v>-37046</v>
          </cell>
        </row>
        <row r="28">
          <cell r="C28">
            <v>972</v>
          </cell>
        </row>
        <row r="29">
          <cell r="C29">
            <v>-6576</v>
          </cell>
        </row>
        <row r="33">
          <cell r="C33">
            <v>-700</v>
          </cell>
        </row>
        <row r="34">
          <cell r="C34">
            <v>0</v>
          </cell>
        </row>
        <row r="35">
          <cell r="C35">
            <v>0</v>
          </cell>
        </row>
        <row r="36">
          <cell r="C36">
            <v>-23830</v>
          </cell>
        </row>
        <row r="37">
          <cell r="C37">
            <v>72844</v>
          </cell>
        </row>
        <row r="40">
          <cell r="C40">
            <v>-67</v>
          </cell>
        </row>
        <row r="41">
          <cell r="C41">
            <v>110000</v>
          </cell>
        </row>
        <row r="42">
          <cell r="C42">
            <v>-10201</v>
          </cell>
        </row>
        <row r="43">
          <cell r="C43">
            <v>0</v>
          </cell>
        </row>
        <row r="47">
          <cell r="C47">
            <v>0</v>
          </cell>
        </row>
        <row r="48">
          <cell r="C48">
            <v>-13995</v>
          </cell>
        </row>
        <row r="49">
          <cell r="C49">
            <v>921</v>
          </cell>
        </row>
        <row r="51">
          <cell r="C51">
            <v>-2653</v>
          </cell>
        </row>
      </sheetData>
      <sheetData sheetId="13"/>
      <sheetData sheetId="14">
        <row r="4">
          <cell r="D4">
            <v>532</v>
          </cell>
        </row>
      </sheetData>
      <sheetData sheetId="15">
        <row r="5">
          <cell r="C5">
            <v>224874</v>
          </cell>
        </row>
      </sheetData>
      <sheetData sheetId="16">
        <row r="7">
          <cell r="C7">
            <v>53106</v>
          </cell>
        </row>
      </sheetData>
      <sheetData sheetId="17">
        <row r="5">
          <cell r="C5">
            <v>187137</v>
          </cell>
        </row>
      </sheetData>
      <sheetData sheetId="18">
        <row r="7">
          <cell r="K7">
            <v>22411</v>
          </cell>
        </row>
      </sheetData>
      <sheetData sheetId="19"/>
      <sheetData sheetId="20">
        <row r="30">
          <cell r="B30">
            <v>83739</v>
          </cell>
          <cell r="C30">
            <v>27029</v>
          </cell>
          <cell r="D30">
            <v>42791</v>
          </cell>
          <cell r="H30">
            <v>92431</v>
          </cell>
        </row>
        <row r="32">
          <cell r="B32">
            <v>24774</v>
          </cell>
          <cell r="C32">
            <v>7436</v>
          </cell>
          <cell r="D32">
            <v>17309</v>
          </cell>
          <cell r="H32">
            <v>33815</v>
          </cell>
        </row>
      </sheetData>
      <sheetData sheetId="21"/>
      <sheetData sheetId="22"/>
      <sheetData sheetId="23"/>
      <sheetData sheetId="24"/>
      <sheetData sheetId="25"/>
      <sheetData sheetId="26"/>
      <sheetData sheetId="27"/>
      <sheetData sheetId="28"/>
      <sheetData sheetId="29"/>
      <sheetData sheetId="30"/>
      <sheetData sheetId="31"/>
      <sheetData sheetId="32">
        <row r="32">
          <cell r="B32">
            <v>83.7</v>
          </cell>
        </row>
      </sheetData>
      <sheetData sheetId="33">
        <row r="4">
          <cell r="B4">
            <v>38203</v>
          </cell>
        </row>
        <row r="59">
          <cell r="B59">
            <v>4153</v>
          </cell>
        </row>
      </sheetData>
      <sheetData sheetId="34">
        <row r="7">
          <cell r="E7">
            <v>678</v>
          </cell>
        </row>
      </sheetData>
      <sheetData sheetId="35">
        <row r="7">
          <cell r="B7">
            <v>114116</v>
          </cell>
        </row>
      </sheetData>
      <sheetData sheetId="36"/>
      <sheetData sheetId="37"/>
      <sheetData sheetId="38"/>
      <sheetData sheetId="39"/>
      <sheetData sheetId="40">
        <row r="4">
          <cell r="D4">
            <v>2403</v>
          </cell>
        </row>
      </sheetData>
      <sheetData sheetId="41">
        <row r="6">
          <cell r="C6">
            <v>-14846</v>
          </cell>
        </row>
      </sheetData>
      <sheetData sheetId="42">
        <row r="6">
          <cell r="E6">
            <v>96669</v>
          </cell>
        </row>
      </sheetData>
      <sheetData sheetId="43">
        <row r="4">
          <cell r="C4">
            <v>99940</v>
          </cell>
        </row>
      </sheetData>
      <sheetData sheetId="44"/>
      <sheetData sheetId="45">
        <row r="37">
          <cell r="E37">
            <v>804</v>
          </cell>
        </row>
      </sheetData>
      <sheetData sheetId="46">
        <row r="9">
          <cell r="D9">
            <v>0</v>
          </cell>
        </row>
      </sheetData>
      <sheetData sheetId="47"/>
      <sheetData sheetId="48"/>
      <sheetData sheetId="49"/>
      <sheetData sheetId="50"/>
      <sheetData sheetId="51"/>
      <sheetData sheetId="52">
        <row r="5">
          <cell r="C5">
            <v>127</v>
          </cell>
        </row>
      </sheetData>
      <sheetData sheetId="53">
        <row r="3">
          <cell r="D3">
            <v>83430</v>
          </cell>
        </row>
      </sheetData>
      <sheetData sheetId="54">
        <row r="3">
          <cell r="B3" t="str">
            <v>one</v>
          </cell>
        </row>
      </sheetData>
      <sheetData sheetId="55">
        <row r="4">
          <cell r="B4">
            <v>1418</v>
          </cell>
        </row>
        <row r="7">
          <cell r="B7">
            <v>4778</v>
          </cell>
        </row>
      </sheetData>
      <sheetData sheetId="56">
        <row r="4">
          <cell r="D4">
            <v>300000</v>
          </cell>
        </row>
      </sheetData>
      <sheetData sheetId="57">
        <row r="6">
          <cell r="B6">
            <v>12323</v>
          </cell>
        </row>
      </sheetData>
      <sheetData sheetId="58"/>
      <sheetData sheetId="59">
        <row r="6">
          <cell r="C6">
            <v>1597</v>
          </cell>
        </row>
      </sheetData>
      <sheetData sheetId="60"/>
      <sheetData sheetId="6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Q3'20"/>
      <sheetName val="Q2'20"/>
      <sheetName val="Q1'20"/>
    </sheetNames>
    <sheetDataSet>
      <sheetData sheetId="0">
        <row r="25">
          <cell r="C25">
            <v>0.85892786847547209</v>
          </cell>
          <cell r="D25">
            <v>9.4985781730874436E-2</v>
          </cell>
          <cell r="E25">
            <v>4.6086349793653482E-2</v>
          </cell>
        </row>
        <row r="31">
          <cell r="C31">
            <v>0.85000351799429719</v>
          </cell>
          <cell r="D31">
            <v>9.2503463849838291E-2</v>
          </cell>
          <cell r="E31">
            <v>5.749301815586453E-2</v>
          </cell>
        </row>
      </sheetData>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heet Q1'21"/>
      <sheetName val="Geo wise Excl SCIO"/>
      <sheetName val="Excl SCIO"/>
      <sheetName val="Q1'21 Revenue Dump"/>
      <sheetName val="Sheet1"/>
      <sheetName val="Geo Rev SCIO"/>
    </sheetNames>
    <sheetDataSet>
      <sheetData sheetId="0">
        <row r="7">
          <cell r="C7">
            <v>224367550.72999993</v>
          </cell>
        </row>
        <row r="9">
          <cell r="C9">
            <v>0.85828202509147322</v>
          </cell>
          <cell r="D9">
            <v>9.4679987238737287E-2</v>
          </cell>
          <cell r="E9">
            <v>4.7037987669789338E-2</v>
          </cell>
        </row>
      </sheetData>
      <sheetData sheetId="1"/>
      <sheetData sheetId="2"/>
      <sheetData sheetId="3"/>
      <sheetData sheetId="4"/>
      <sheetData sheetId="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heet Q2'21"/>
      <sheetName val="Geowise Exl SCIO"/>
      <sheetName val="Exl SCIO"/>
      <sheetName val="Q2'21 Revenue Dump"/>
      <sheetName val="Geo Rev SCIO"/>
    </sheetNames>
    <sheetDataSet>
      <sheetData sheetId="0">
        <row r="7">
          <cell r="C7">
            <v>235288273.6699999</v>
          </cell>
        </row>
        <row r="9">
          <cell r="C9">
            <v>0.85539427073740448</v>
          </cell>
          <cell r="D9">
            <v>9.5157845905182364E-2</v>
          </cell>
          <cell r="E9">
            <v>5.0447883357413167E-2</v>
          </cell>
        </row>
      </sheetData>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eadcount Details"/>
      <sheetName val="Additional Details"/>
      <sheetName val="Headcount as on 30 Sep 2019"/>
      <sheetName val="Separation - Q3 2019"/>
    </sheetNames>
    <sheetDataSet>
      <sheetData sheetId="0">
        <row r="4">
          <cell r="AD4">
            <v>0.34489076991892847</v>
          </cell>
        </row>
      </sheetData>
      <sheetData sheetId="1">
        <row r="35">
          <cell r="K35">
            <v>31496</v>
          </cell>
        </row>
      </sheetData>
      <sheetData sheetId="2" refreshError="1"/>
      <sheetData sheetId="3" refreshError="1"/>
      <sheetData sheetId="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eadcount Details"/>
      <sheetName val="Headcount as on 31 Dec 2019"/>
      <sheetName val="Separation - Q4 2019"/>
      <sheetName val="Additional Details"/>
    </sheetNames>
    <sheetDataSet>
      <sheetData sheetId="0">
        <row r="4">
          <cell r="AE4">
            <v>0.30887759596046266</v>
          </cell>
          <cell r="AF4">
            <v>0.33160055826371893</v>
          </cell>
        </row>
      </sheetData>
      <sheetData sheetId="1">
        <row r="35">
          <cell r="L35">
            <v>31728</v>
          </cell>
        </row>
      </sheetData>
      <sheetData sheetId="2" refreshError="1"/>
      <sheetData sheetId="3" refreshError="1"/>
      <sheetData sheetId="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eadcount Details"/>
      <sheetName val="Headcount as on 31 Mar 2020"/>
      <sheetName val="Separation - Q1 2020"/>
      <sheetName val="Additional Details"/>
    </sheetNames>
    <sheetDataSet>
      <sheetData sheetId="0">
        <row r="4">
          <cell r="AG4">
            <v>0.31995558781720007</v>
          </cell>
        </row>
      </sheetData>
      <sheetData sheetId="1">
        <row r="36">
          <cell r="J36">
            <v>32780</v>
          </cell>
        </row>
      </sheetData>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Headcount Details-2020"/>
      <sheetName val="Headcount Details till 2019"/>
      <sheetName val="Headcount as on 30 June 2020"/>
      <sheetName val="Separation - Q2 2020"/>
      <sheetName val="Additional Details"/>
    </sheetNames>
    <sheetDataSet>
      <sheetData sheetId="0"/>
      <sheetData sheetId="1">
        <row r="4">
          <cell r="AH4">
            <v>0.14480475861212913</v>
          </cell>
        </row>
      </sheetData>
      <sheetData sheetId="2"/>
      <sheetData sheetId="3"/>
      <sheetData sheetId="4"/>
      <sheetData sheetId="5"/>
      <sheetData sheetId="6">
        <row r="9">
          <cell r="C9">
            <v>31622</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Headcount Details-2020"/>
      <sheetName val="Headcount Details till 2019"/>
      <sheetName val="Raw Dump - 30 Sep 2020"/>
      <sheetName val="Separation - Q3 2020"/>
      <sheetName val="Additional Details"/>
    </sheetNames>
    <sheetDataSet>
      <sheetData sheetId="0"/>
      <sheetData sheetId="1">
        <row r="4">
          <cell r="AI4">
            <v>0.2187065381701101</v>
          </cell>
        </row>
      </sheetData>
      <sheetData sheetId="2"/>
      <sheetData sheetId="3"/>
      <sheetData sheetId="4"/>
      <sheetData sheetId="5"/>
      <sheetData sheetId="6">
        <row r="9">
          <cell r="C9">
            <v>31816</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Headcount Details-2020"/>
      <sheetName val="Headcount Details till 2019"/>
      <sheetName val="Raw Data - 31 Dec 2020"/>
      <sheetName val="Separation - Q4 2020"/>
      <sheetName val="Additional Details"/>
    </sheetNames>
    <sheetDataSet>
      <sheetData sheetId="0"/>
      <sheetData sheetId="1">
        <row r="4">
          <cell r="AJ4">
            <v>0.22339677692447238</v>
          </cell>
        </row>
        <row r="11">
          <cell r="RJ11">
            <v>0.23403179596651874</v>
          </cell>
        </row>
      </sheetData>
      <sheetData sheetId="2"/>
      <sheetData sheetId="3"/>
      <sheetData sheetId="4"/>
      <sheetData sheetId="5"/>
      <sheetData sheetId="6">
        <row r="9">
          <cell r="C9">
            <v>31936</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Headcount Details-2020 onwards"/>
      <sheetName val="Headcount Details till 2019"/>
      <sheetName val="Raw Data - 31 March 2021"/>
      <sheetName val="Separation - Q1 2021"/>
      <sheetName val="Additional Details"/>
    </sheetNames>
    <sheetDataSet>
      <sheetData sheetId="0"/>
      <sheetData sheetId="1">
        <row r="4">
          <cell r="AL4">
            <v>0.26809255500268453</v>
          </cell>
        </row>
      </sheetData>
      <sheetData sheetId="2"/>
      <sheetData sheetId="3"/>
      <sheetData sheetId="4"/>
      <sheetData sheetId="5"/>
      <sheetData sheetId="6">
        <row r="9">
          <cell r="C9">
            <v>31631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pshot- 10Q Checks"/>
      <sheetName val="Master Sheet"/>
      <sheetName val="Index"/>
      <sheetName val="Balance Sheets"/>
      <sheetName val="Statements of Income"/>
      <sheetName val="Reclass Adjustment"/>
      <sheetName val="SCI"/>
      <sheetName val="SCI (Tax grossing)"/>
      <sheetName val="AOCI"/>
      <sheetName val="AOCI (Tax grossing)"/>
      <sheetName val="Shareholders Equity Q2'20 (6M)"/>
      <sheetName val="Shareholders Equity Q3'17"/>
      <sheetName val="Shareholders Equity 10K (3M)"/>
      <sheetName val="Shareholders Equity Q2'20 (3M)"/>
      <sheetName val="Statements of Cash Flow"/>
      <sheetName val="3. Quarterly Financial Data"/>
      <sheetName val="Other income (expense), net"/>
      <sheetName val="Cash &amp; cash equivalent"/>
      <sheetName val="CL,NCL,OCA &amp; OA"/>
      <sheetName val="Revenues,Net"/>
      <sheetName val="EPS"/>
      <sheetName val="MD&amp;A Section- Three months"/>
      <sheetName val="Segment Information "/>
      <sheetName val="Statement of opts data(Item 6)"/>
      <sheetName val="Geographical"/>
      <sheetName val="Reimb Revenue- Unbilled"/>
      <sheetName val="MD&amp;A Section- Year End"/>
      <sheetName val="Data - 8K"/>
      <sheetName val="Pro forma (Bus. Com (1)"/>
      <sheetName val="Business Com (2)"/>
      <sheetName val="Business Com"/>
      <sheetName val="Goodwill (2)"/>
      <sheetName val="Goodwill"/>
      <sheetName val="Intangibles"/>
      <sheetName val="MD&amp;A Section- Three Months End"/>
      <sheetName val="MD&amp;A Section- Six Months End"/>
      <sheetName val="Goodwill &amp; Intangibles"/>
      <sheetName val="Emp Benefits"/>
      <sheetName val="6. Fair Value Measurements"/>
      <sheetName val="Derivatives 1"/>
      <sheetName val="Derivatives 3"/>
      <sheetName val="Derivatives 2 (b)"/>
      <sheetName val="Derivatives 1 "/>
      <sheetName val="Derivatives 2 (a)"/>
      <sheetName val="Derivatives 2 (b) "/>
      <sheetName val="FA"/>
      <sheetName val="Lease disclosure"/>
      <sheetName val="12. Leases"/>
      <sheetName val="Income Tax"/>
      <sheetName val="Contractual Obligati &amp; Note 19 "/>
      <sheetName val="Contingencies"/>
      <sheetName val="Sheet1"/>
      <sheetName val="MD&amp;A"/>
      <sheetName val="MD&amp;A (9m)"/>
      <sheetName val="MD&amp;A (PY)"/>
      <sheetName val="Liquidity &amp; CR"/>
      <sheetName val="Item 2"/>
      <sheetName val="18. Capital Structure"/>
      <sheetName val="21. Stock Based Compensation"/>
      <sheetName val="Borrowings &amp; Credit Arrangement"/>
      <sheetName val="Commitment &amp; Contingencies"/>
      <sheetName val="Equity compensation plan Item 5"/>
      <sheetName val="24. Impairment &amp; Restructuring"/>
      <sheetName val="High and Low"/>
    </sheetNames>
    <sheetDataSet>
      <sheetData sheetId="0" refreshError="1"/>
      <sheetData sheetId="1" refreshError="1"/>
      <sheetData sheetId="2" refreshError="1"/>
      <sheetData sheetId="3">
        <row r="9">
          <cell r="C9">
            <v>163619</v>
          </cell>
        </row>
        <row r="10">
          <cell r="C10">
            <v>171962</v>
          </cell>
        </row>
        <row r="11">
          <cell r="C11">
            <v>4858</v>
          </cell>
        </row>
        <row r="12">
          <cell r="C12">
            <v>157505</v>
          </cell>
        </row>
        <row r="13">
          <cell r="C13">
            <v>10121</v>
          </cell>
        </row>
        <row r="14">
          <cell r="C14">
            <v>1003</v>
          </cell>
        </row>
        <row r="15">
          <cell r="C15">
            <v>27472</v>
          </cell>
        </row>
        <row r="17">
          <cell r="C17">
            <v>91848</v>
          </cell>
        </row>
        <row r="18">
          <cell r="C18">
            <v>96789</v>
          </cell>
        </row>
        <row r="19">
          <cell r="C19">
            <v>2298</v>
          </cell>
        </row>
        <row r="20">
          <cell r="C20">
            <v>17070</v>
          </cell>
        </row>
        <row r="21">
          <cell r="C21">
            <v>66296</v>
          </cell>
        </row>
        <row r="22">
          <cell r="C22">
            <v>348110</v>
          </cell>
        </row>
        <row r="23">
          <cell r="C23">
            <v>31599</v>
          </cell>
        </row>
        <row r="24">
          <cell r="C24">
            <v>3063</v>
          </cell>
        </row>
        <row r="28">
          <cell r="C28">
            <v>9048</v>
          </cell>
        </row>
        <row r="29">
          <cell r="C29">
            <v>20657</v>
          </cell>
        </row>
        <row r="30">
          <cell r="C30">
            <v>16752</v>
          </cell>
        </row>
        <row r="31">
          <cell r="C31">
            <v>42376</v>
          </cell>
        </row>
        <row r="32">
          <cell r="C32">
            <v>74772</v>
          </cell>
        </row>
        <row r="33">
          <cell r="C33">
            <v>18199</v>
          </cell>
        </row>
        <row r="34">
          <cell r="C34">
            <v>2359</v>
          </cell>
        </row>
        <row r="37">
          <cell r="C37">
            <v>215527</v>
          </cell>
        </row>
        <row r="39">
          <cell r="C39">
            <v>1790</v>
          </cell>
        </row>
        <row r="40">
          <cell r="C40">
            <v>705</v>
          </cell>
        </row>
        <row r="41">
          <cell r="C41">
            <v>90934</v>
          </cell>
        </row>
        <row r="42">
          <cell r="C42">
            <v>19566</v>
          </cell>
        </row>
        <row r="45">
          <cell r="C45">
            <v>0</v>
          </cell>
        </row>
        <row r="47">
          <cell r="C47">
            <v>39</v>
          </cell>
        </row>
        <row r="48">
          <cell r="C48">
            <v>404704</v>
          </cell>
        </row>
        <row r="49">
          <cell r="C49">
            <v>582743</v>
          </cell>
        </row>
        <row r="50">
          <cell r="C50">
            <v>-104274</v>
          </cell>
        </row>
        <row r="52">
          <cell r="C52">
            <v>-202284</v>
          </cell>
        </row>
      </sheetData>
      <sheetData sheetId="4">
        <row r="7">
          <cell r="F7">
            <v>222473</v>
          </cell>
        </row>
        <row r="8">
          <cell r="F8">
            <v>158401</v>
          </cell>
        </row>
        <row r="11">
          <cell r="F11">
            <v>28750</v>
          </cell>
        </row>
        <row r="12">
          <cell r="F12">
            <v>13051</v>
          </cell>
        </row>
        <row r="13">
          <cell r="F13">
            <v>12405</v>
          </cell>
        </row>
        <row r="14">
          <cell r="F14">
            <v>0</v>
          </cell>
        </row>
        <row r="17">
          <cell r="F17">
            <v>1359</v>
          </cell>
        </row>
        <row r="18">
          <cell r="F18">
            <v>-2883</v>
          </cell>
        </row>
        <row r="19">
          <cell r="F19">
            <v>4225</v>
          </cell>
        </row>
        <row r="21">
          <cell r="F21">
            <v>4072</v>
          </cell>
        </row>
        <row r="23">
          <cell r="F23">
            <v>66</v>
          </cell>
        </row>
        <row r="29">
          <cell r="F29">
            <v>34486202</v>
          </cell>
        </row>
        <row r="30">
          <cell r="F30">
            <v>34597688</v>
          </cell>
        </row>
      </sheetData>
      <sheetData sheetId="5">
        <row r="7">
          <cell r="C7">
            <v>-2158.7180712423979</v>
          </cell>
        </row>
      </sheetData>
      <sheetData sheetId="6" refreshError="1"/>
      <sheetData sheetId="7">
        <row r="4">
          <cell r="F4">
            <v>8429</v>
          </cell>
        </row>
      </sheetData>
      <sheetData sheetId="8" refreshError="1"/>
      <sheetData sheetId="9">
        <row r="5">
          <cell r="B5">
            <v>-97766</v>
          </cell>
        </row>
      </sheetData>
      <sheetData sheetId="10">
        <row r="22">
          <cell r="B22">
            <v>37850544.200000003</v>
          </cell>
        </row>
      </sheetData>
      <sheetData sheetId="11" refreshError="1"/>
      <sheetData sheetId="12" refreshError="1"/>
      <sheetData sheetId="13">
        <row r="55">
          <cell r="B55">
            <v>38480654.200000003</v>
          </cell>
        </row>
      </sheetData>
      <sheetData sheetId="14">
        <row r="7">
          <cell r="C7">
            <v>30840</v>
          </cell>
        </row>
        <row r="9">
          <cell r="C9">
            <v>24806</v>
          </cell>
        </row>
        <row r="10">
          <cell r="C10">
            <v>12504</v>
          </cell>
        </row>
        <row r="11">
          <cell r="C11">
            <v>13703</v>
          </cell>
        </row>
        <row r="12">
          <cell r="C12">
            <v>-2842</v>
          </cell>
        </row>
        <row r="13">
          <cell r="C13">
            <v>-3316</v>
          </cell>
        </row>
        <row r="14">
          <cell r="C14">
            <v>-663</v>
          </cell>
        </row>
        <row r="15">
          <cell r="C15">
            <v>389</v>
          </cell>
        </row>
        <row r="16">
          <cell r="C16">
            <v>121</v>
          </cell>
        </row>
        <row r="18">
          <cell r="C18">
            <v>0</v>
          </cell>
        </row>
        <row r="21">
          <cell r="C21">
            <v>12380</v>
          </cell>
        </row>
        <row r="22">
          <cell r="C22">
            <v>-1091</v>
          </cell>
        </row>
        <row r="23">
          <cell r="C23">
            <v>4446</v>
          </cell>
        </row>
        <row r="24">
          <cell r="C24">
            <v>3046</v>
          </cell>
        </row>
        <row r="25">
          <cell r="C25">
            <v>1943</v>
          </cell>
        </row>
        <row r="26">
          <cell r="C26">
            <v>3066</v>
          </cell>
        </row>
        <row r="27">
          <cell r="C27">
            <v>-23497</v>
          </cell>
        </row>
        <row r="28">
          <cell r="C28">
            <v>-4182</v>
          </cell>
        </row>
        <row r="29">
          <cell r="C29">
            <v>-12831</v>
          </cell>
        </row>
        <row r="32">
          <cell r="C32">
            <v>-22051</v>
          </cell>
        </row>
        <row r="33">
          <cell r="C33">
            <v>-700</v>
          </cell>
        </row>
        <row r="34">
          <cell r="C34">
            <v>0</v>
          </cell>
        </row>
        <row r="35">
          <cell r="C35">
            <v>0</v>
          </cell>
        </row>
        <row r="36">
          <cell r="C36">
            <v>-49027</v>
          </cell>
        </row>
        <row r="37">
          <cell r="C37">
            <v>72844</v>
          </cell>
        </row>
        <row r="40">
          <cell r="C40">
            <v>-124</v>
          </cell>
        </row>
        <row r="41">
          <cell r="C41">
            <v>110000</v>
          </cell>
        </row>
        <row r="42">
          <cell r="C42">
            <v>-110210</v>
          </cell>
        </row>
        <row r="43">
          <cell r="C43">
            <v>0</v>
          </cell>
        </row>
        <row r="47">
          <cell r="C47">
            <v>0</v>
          </cell>
        </row>
        <row r="48">
          <cell r="C48">
            <v>-13995</v>
          </cell>
        </row>
        <row r="49">
          <cell r="C49">
            <v>960</v>
          </cell>
        </row>
        <row r="51">
          <cell r="C51">
            <v>-2873</v>
          </cell>
        </row>
      </sheetData>
      <sheetData sheetId="15" refreshError="1"/>
      <sheetData sheetId="16">
        <row r="4">
          <cell r="D4">
            <v>632</v>
          </cell>
        </row>
      </sheetData>
      <sheetData sheetId="17">
        <row r="5">
          <cell r="C5">
            <v>163619</v>
          </cell>
        </row>
      </sheetData>
      <sheetData sheetId="18" refreshError="1"/>
      <sheetData sheetId="19">
        <row r="31">
          <cell r="C31">
            <v>1215</v>
          </cell>
        </row>
      </sheetData>
      <sheetData sheetId="20">
        <row r="7">
          <cell r="G7">
            <v>8429</v>
          </cell>
        </row>
      </sheetData>
      <sheetData sheetId="21" refreshError="1"/>
      <sheetData sheetId="22">
        <row r="6">
          <cell r="B6">
            <v>81281</v>
          </cell>
          <cell r="C6">
            <v>24978</v>
          </cell>
          <cell r="D6">
            <v>34535</v>
          </cell>
          <cell r="E6">
            <v>81679</v>
          </cell>
        </row>
        <row r="8">
          <cell r="B8">
            <v>22168</v>
          </cell>
          <cell r="C8">
            <v>5338</v>
          </cell>
          <cell r="D8">
            <v>12119</v>
          </cell>
          <cell r="E8">
            <v>24447</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73">
          <cell r="H73">
            <v>-0.14333403718339316</v>
          </cell>
        </row>
      </sheetData>
      <sheetData sheetId="36">
        <row r="6">
          <cell r="B6">
            <v>38276</v>
          </cell>
        </row>
        <row r="59">
          <cell r="B59">
            <v>3430</v>
          </cell>
        </row>
      </sheetData>
      <sheetData sheetId="37">
        <row r="7">
          <cell r="E7">
            <v>664</v>
          </cell>
        </row>
      </sheetData>
      <sheetData sheetId="38" refreshError="1"/>
      <sheetData sheetId="39" refreshError="1"/>
      <sheetData sheetId="40" refreshError="1"/>
      <sheetData sheetId="41" refreshError="1"/>
      <sheetData sheetId="42">
        <row r="11">
          <cell r="D11">
            <v>58</v>
          </cell>
        </row>
      </sheetData>
      <sheetData sheetId="43">
        <row r="6">
          <cell r="C6">
            <v>7721</v>
          </cell>
        </row>
      </sheetData>
      <sheetData sheetId="44">
        <row r="6">
          <cell r="C6">
            <v>-7125</v>
          </cell>
        </row>
      </sheetData>
      <sheetData sheetId="45">
        <row r="6">
          <cell r="E6">
            <v>96759</v>
          </cell>
        </row>
      </sheetData>
      <sheetData sheetId="46">
        <row r="25">
          <cell r="C25">
            <v>63</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5">
          <cell r="C5">
            <v>127</v>
          </cell>
        </row>
      </sheetData>
      <sheetData sheetId="56" refreshError="1"/>
      <sheetData sheetId="57">
        <row r="4">
          <cell r="B4">
            <v>0</v>
          </cell>
        </row>
      </sheetData>
      <sheetData sheetId="58">
        <row r="4">
          <cell r="B4">
            <v>1624</v>
          </cell>
        </row>
        <row r="7">
          <cell r="B7">
            <v>7726</v>
          </cell>
        </row>
      </sheetData>
      <sheetData sheetId="59">
        <row r="72">
          <cell r="D72">
            <v>2.1903963123843479E-2</v>
          </cell>
        </row>
      </sheetData>
      <sheetData sheetId="60">
        <row r="6">
          <cell r="B6">
            <v>9949</v>
          </cell>
        </row>
      </sheetData>
      <sheetData sheetId="61" refreshError="1"/>
      <sheetData sheetId="62" refreshError="1"/>
      <sheetData sheetId="6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Headcount Details-2020 onwards"/>
      <sheetName val="Headcount Details till 2019"/>
      <sheetName val="Raw Data - 30 June 2021"/>
      <sheetName val="Separation - Q2 2021"/>
      <sheetName val="Additional Details"/>
    </sheetNames>
    <sheetDataSet>
      <sheetData sheetId="0"/>
      <sheetData sheetId="1">
        <row r="4">
          <cell r="AM4">
            <v>0.29480874988485051</v>
          </cell>
        </row>
      </sheetData>
      <sheetData sheetId="2"/>
      <sheetData sheetId="3"/>
      <sheetData sheetId="4"/>
      <sheetData sheetId="5"/>
      <sheetData sheetId="6">
        <row r="9">
          <cell r="C9">
            <v>32994</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10 20 30 Q3'19VsQ2'19"/>
      <sheetName val="Console RSOB Q3'2019_Revenue"/>
    </sheetNames>
    <sheetDataSet>
      <sheetData sheetId="0">
        <row r="9">
          <cell r="H9">
            <v>7.5242799743906075E-2</v>
          </cell>
        </row>
        <row r="10">
          <cell r="H10">
            <v>0.14878314416660995</v>
          </cell>
        </row>
        <row r="11">
          <cell r="H11">
            <v>0.21674863331481722</v>
          </cell>
        </row>
        <row r="12">
          <cell r="H12">
            <v>0.35706193682575654</v>
          </cell>
        </row>
      </sheetData>
      <sheetData sheetId="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10 20 30 Q4'19VsQ3'19"/>
      <sheetName val="Console RSOB Revenue Dump_Q4'19"/>
      <sheetName val="Qlik Dump_Q4'19"/>
    </sheetNames>
    <sheetDataSet>
      <sheetData sheetId="0">
        <row r="5">
          <cell r="N5">
            <v>8.1402448811873057E-2</v>
          </cell>
        </row>
        <row r="6">
          <cell r="N6">
            <v>0.16350984859168816</v>
          </cell>
        </row>
        <row r="7">
          <cell r="N7">
            <v>0.22833874714387031</v>
          </cell>
        </row>
        <row r="8">
          <cell r="N8">
            <v>0.36199840679369394</v>
          </cell>
        </row>
      </sheetData>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_Dec'19_ Top10,20&amp;30_Clients"/>
      <sheetName val="Qlik_YTD2019-Revenue Dump"/>
      <sheetName val="YTD"/>
    </sheetNames>
    <sheetDataSet>
      <sheetData sheetId="0">
        <row r="5">
          <cell r="R5">
            <v>7.996062015913441E-2</v>
          </cell>
        </row>
        <row r="6">
          <cell r="R6">
            <v>0.15225578197830744</v>
          </cell>
        </row>
        <row r="7">
          <cell r="R7">
            <v>0.21954984667495586</v>
          </cell>
        </row>
        <row r="8">
          <cell r="R8">
            <v>0.36146546649661448</v>
          </cell>
        </row>
      </sheetData>
      <sheetData sheetId="1" refreshError="1"/>
      <sheetData sheetId="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Wise Summary_Q'1'2020"/>
      <sheetName val="Console RSOB_Rev Dump_Q1'20"/>
      <sheetName val="OSI"/>
    </sheetNames>
    <sheetDataSet>
      <sheetData sheetId="0">
        <row r="4">
          <cell r="M4">
            <v>8.0666291683971769E-2</v>
          </cell>
        </row>
        <row r="5">
          <cell r="M5">
            <v>0.17756147197119954</v>
          </cell>
        </row>
        <row r="6">
          <cell r="M6">
            <v>0.24349506187494788</v>
          </cell>
        </row>
        <row r="7">
          <cell r="M7">
            <v>0.37293535284921092</v>
          </cell>
        </row>
      </sheetData>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10,20 30_Q-2,Q-1 &amp; H-1'2020"/>
    </sheetNames>
    <sheetDataSet>
      <sheetData sheetId="0">
        <row r="4">
          <cell r="L4">
            <v>8.9891554169399771E-2</v>
          </cell>
        </row>
        <row r="5">
          <cell r="L5">
            <v>0.1974545126171123</v>
          </cell>
        </row>
        <row r="6">
          <cell r="L6">
            <v>0.26353252217925593</v>
          </cell>
        </row>
        <row r="7">
          <cell r="L7">
            <v>0.38745042926556528</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10,20 30_Q-3,Q-2 &amp; YTD'2020"/>
    </sheetNames>
    <sheetDataSet>
      <sheetData sheetId="0">
        <row r="4">
          <cell r="M4">
            <v>8.4717007371973033E-2</v>
          </cell>
        </row>
        <row r="5">
          <cell r="M5">
            <v>0.19667141217386097</v>
          </cell>
        </row>
        <row r="6">
          <cell r="M6">
            <v>0.25893702285417286</v>
          </cell>
        </row>
        <row r="7">
          <cell r="M7">
            <v>0.38677134006324027</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10,20 30_Q-4,Q-3 &amp; YTD'2020"/>
    </sheetNames>
    <sheetDataSet>
      <sheetData sheetId="0">
        <row r="4">
          <cell r="O4">
            <v>8.2128349430730371E-2</v>
          </cell>
          <cell r="Q4">
            <v>8.7893571549537419E-2</v>
          </cell>
        </row>
        <row r="5">
          <cell r="O5">
            <v>0.19182918602069332</v>
          </cell>
          <cell r="Q5">
            <v>0.20412117815548159</v>
          </cell>
        </row>
        <row r="6">
          <cell r="O6">
            <v>0.25396202207835289</v>
          </cell>
          <cell r="Q6">
            <v>0.26637160193390208</v>
          </cell>
        </row>
        <row r="7">
          <cell r="O7">
            <v>0.37386473773063189</v>
          </cell>
          <cell r="Q7">
            <v>0.37850956690687021</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SOB_Rev Dump_Q1'2021"/>
      <sheetName val="Qlik Rev Dump-Q1'21"/>
    </sheetNames>
    <sheetDataSet>
      <sheetData sheetId="0">
        <row r="4">
          <cell r="O4">
            <v>8.2573813172722055E-2</v>
          </cell>
        </row>
        <row r="5">
          <cell r="O5">
            <v>0.19682799792728145</v>
          </cell>
        </row>
        <row r="6">
          <cell r="O6">
            <v>0.26503966246249155</v>
          </cell>
        </row>
        <row r="7">
          <cell r="O7">
            <v>0.39280543210797381</v>
          </cell>
        </row>
      </sheetData>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ow r="4">
          <cell r="N4">
            <v>7.2942283209148681E-2</v>
          </cell>
        </row>
        <row r="5">
          <cell r="N5">
            <v>0.18612988897315338</v>
          </cell>
        </row>
        <row r="6">
          <cell r="N6">
            <v>0.24937191673295264</v>
          </cell>
        </row>
        <row r="7">
          <cell r="N7">
            <v>0.37829173543400607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pshot- 10Q Checks"/>
      <sheetName val="Master Sheet"/>
      <sheetName val="Index"/>
      <sheetName val="Balance Sheets"/>
      <sheetName val="Statements of Income"/>
      <sheetName val="Reclass Adjustment"/>
      <sheetName val="SCI"/>
      <sheetName val="SCI (Tax grossing)"/>
      <sheetName val="AOCI"/>
      <sheetName val="AOCI (Tax grossing)"/>
      <sheetName val="Shareholders Equity Q2'20 (9M)"/>
      <sheetName val="Shareholders Equity Q3'17"/>
      <sheetName val="Shareholders Equity 10K (3M)"/>
      <sheetName val="Shareholders Equity Q2'20 (3M)"/>
      <sheetName val="Statements of Cash Flow"/>
      <sheetName val="3. Quarterly Financial Data"/>
      <sheetName val="Other income (expense), net"/>
      <sheetName val="Cash &amp; cash equivalent"/>
      <sheetName val="CL,NCL,OCA &amp; OA"/>
      <sheetName val="Revenues,Net"/>
      <sheetName val="EPS"/>
      <sheetName val="MD&amp;A Section- Three months"/>
      <sheetName val="Segment Information "/>
      <sheetName val="Statement of opts data(Item 6)"/>
      <sheetName val="Geographical"/>
      <sheetName val="Reimb Revenue- Unbilled"/>
      <sheetName val="MD&amp;A Section- Year End"/>
      <sheetName val="Data - 8K"/>
      <sheetName val="Pro forma (Bus. Com (1)"/>
      <sheetName val="Business Com (2)"/>
      <sheetName val="Business Com"/>
      <sheetName val="Goodwill (2)"/>
      <sheetName val="Goodwill"/>
      <sheetName val="Intangibles"/>
      <sheetName val="MD&amp;A Section- Three Months End"/>
      <sheetName val="MD&amp;A Section- Nine Months End"/>
      <sheetName val="Goodwill &amp; Intangibles"/>
      <sheetName val="Emp Benefits"/>
      <sheetName val="6. Fair Value Measurements"/>
      <sheetName val="Derivatives 1"/>
      <sheetName val="Derivatives 3"/>
      <sheetName val="Derivatives 2 (b)"/>
      <sheetName val="Derivatives 1 "/>
      <sheetName val="Derivatives 2 (a)"/>
      <sheetName val="Derivatives 2 (b) "/>
      <sheetName val="FA"/>
      <sheetName val="Lease disclosure"/>
      <sheetName val="12. Leases"/>
      <sheetName val="Income Tax"/>
      <sheetName val="Contractual Obligati &amp; Note 19 "/>
      <sheetName val="Contingencies"/>
      <sheetName val="Sheet1"/>
      <sheetName val="MD&amp;A"/>
      <sheetName val="MD&amp;A (9m)"/>
      <sheetName val="MD&amp;A (PY)"/>
      <sheetName val="Liquidity &amp; CR"/>
      <sheetName val="Item 2"/>
      <sheetName val="18. Capital Structure"/>
      <sheetName val="21. Stock Based Compensation"/>
      <sheetName val="Borrowings &amp; Credit Arrangement"/>
      <sheetName val="Commitment &amp; Contingencies"/>
      <sheetName val="Equity compensation plan Item 5"/>
      <sheetName val="24. Impairment &amp; Restructuring"/>
      <sheetName val="High and Low"/>
    </sheetNames>
    <sheetDataSet>
      <sheetData sheetId="0" refreshError="1"/>
      <sheetData sheetId="1" refreshError="1"/>
      <sheetData sheetId="2" refreshError="1"/>
      <sheetData sheetId="3" refreshError="1">
        <row r="9">
          <cell r="C9">
            <v>206423</v>
          </cell>
        </row>
        <row r="10">
          <cell r="C10">
            <v>156175</v>
          </cell>
        </row>
        <row r="11">
          <cell r="C11">
            <v>7312</v>
          </cell>
        </row>
        <row r="12">
          <cell r="C12">
            <v>154983</v>
          </cell>
        </row>
        <row r="13">
          <cell r="C13">
            <v>8248</v>
          </cell>
        </row>
        <row r="14">
          <cell r="C14">
            <v>1138</v>
          </cell>
        </row>
        <row r="15">
          <cell r="C15">
            <v>30784</v>
          </cell>
        </row>
        <row r="17">
          <cell r="C17">
            <v>94103</v>
          </cell>
        </row>
        <row r="18">
          <cell r="C18">
            <v>95873</v>
          </cell>
        </row>
        <row r="19">
          <cell r="C19">
            <v>2277</v>
          </cell>
        </row>
        <row r="20">
          <cell r="C20">
            <v>13230</v>
          </cell>
        </row>
        <row r="21">
          <cell r="C21">
            <v>62941</v>
          </cell>
        </row>
        <row r="22">
          <cell r="C22">
            <v>348723</v>
          </cell>
        </row>
        <row r="23">
          <cell r="C23">
            <v>34280</v>
          </cell>
        </row>
        <row r="24">
          <cell r="C24">
            <v>2991</v>
          </cell>
        </row>
        <row r="28">
          <cell r="C28">
            <v>6213</v>
          </cell>
        </row>
        <row r="29">
          <cell r="C29">
            <v>10474</v>
          </cell>
        </row>
        <row r="30">
          <cell r="C30">
            <v>13562</v>
          </cell>
        </row>
        <row r="31">
          <cell r="C31">
            <v>57402</v>
          </cell>
          <cell r="E31">
            <v>68885</v>
          </cell>
        </row>
        <row r="32">
          <cell r="C32">
            <v>73043</v>
          </cell>
          <cell r="E32">
            <v>74017</v>
          </cell>
        </row>
        <row r="33">
          <cell r="C33">
            <v>19048</v>
          </cell>
        </row>
        <row r="34">
          <cell r="C34">
            <v>5157</v>
          </cell>
        </row>
        <row r="37">
          <cell r="C37">
            <v>216235</v>
          </cell>
        </row>
        <row r="39">
          <cell r="C39">
            <v>1790</v>
          </cell>
        </row>
        <row r="40">
          <cell r="C40">
            <v>841</v>
          </cell>
        </row>
        <row r="41">
          <cell r="C41">
            <v>89412</v>
          </cell>
        </row>
        <row r="42">
          <cell r="C42">
            <v>16376</v>
          </cell>
          <cell r="E42">
            <v>12142</v>
          </cell>
        </row>
        <row r="45">
          <cell r="C45">
            <v>0</v>
          </cell>
        </row>
        <row r="47">
          <cell r="C47">
            <v>39</v>
          </cell>
        </row>
        <row r="48">
          <cell r="C48">
            <v>413135</v>
          </cell>
        </row>
        <row r="49">
          <cell r="C49">
            <v>609161</v>
          </cell>
        </row>
        <row r="50">
          <cell r="C50">
            <v>-85217</v>
          </cell>
        </row>
        <row r="52">
          <cell r="C52">
            <v>-227190</v>
          </cell>
        </row>
      </sheetData>
      <sheetData sheetId="4" refreshError="1">
        <row r="7">
          <cell r="F7">
            <v>241018</v>
          </cell>
        </row>
        <row r="8">
          <cell r="F8">
            <v>152087</v>
          </cell>
        </row>
        <row r="11">
          <cell r="F11">
            <v>26810</v>
          </cell>
        </row>
        <row r="12">
          <cell r="F12">
            <v>15290</v>
          </cell>
        </row>
        <row r="13">
          <cell r="F13">
            <v>12425</v>
          </cell>
        </row>
        <row r="14">
          <cell r="F14">
            <v>0</v>
          </cell>
        </row>
        <row r="17">
          <cell r="F17">
            <v>716</v>
          </cell>
        </row>
        <row r="18">
          <cell r="F18">
            <v>-2628</v>
          </cell>
        </row>
        <row r="19">
          <cell r="F19">
            <v>2485</v>
          </cell>
        </row>
        <row r="21">
          <cell r="F21">
            <v>8490</v>
          </cell>
        </row>
        <row r="23">
          <cell r="F23">
            <v>71</v>
          </cell>
        </row>
        <row r="29">
          <cell r="F29">
            <v>34327477</v>
          </cell>
        </row>
        <row r="30">
          <cell r="F30">
            <v>34536049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7">
          <cell r="C7">
            <v>57258</v>
          </cell>
        </row>
        <row r="9">
          <cell r="C9">
            <v>37249</v>
          </cell>
        </row>
        <row r="10">
          <cell r="C10">
            <v>20850</v>
          </cell>
        </row>
        <row r="11">
          <cell r="C11">
            <v>20484</v>
          </cell>
        </row>
        <row r="12">
          <cell r="C12">
            <v>-4807</v>
          </cell>
        </row>
        <row r="13">
          <cell r="C13">
            <v>-437</v>
          </cell>
        </row>
        <row r="14">
          <cell r="C14">
            <v>-1572</v>
          </cell>
        </row>
        <row r="15">
          <cell r="C15">
            <v>353</v>
          </cell>
        </row>
        <row r="16">
          <cell r="C16">
            <v>193</v>
          </cell>
        </row>
        <row r="18">
          <cell r="C18">
            <v>0</v>
          </cell>
        </row>
        <row r="21">
          <cell r="C21">
            <v>16078</v>
          </cell>
        </row>
        <row r="22">
          <cell r="C22">
            <v>1498</v>
          </cell>
        </row>
        <row r="23">
          <cell r="C23">
            <v>7001</v>
          </cell>
        </row>
        <row r="24">
          <cell r="C24">
            <v>3096</v>
          </cell>
        </row>
        <row r="25">
          <cell r="C25">
            <v>-490</v>
          </cell>
        </row>
        <row r="26">
          <cell r="C26">
            <v>295</v>
          </cell>
        </row>
        <row r="27">
          <cell r="C27">
            <v>-11854</v>
          </cell>
        </row>
        <row r="28">
          <cell r="C28">
            <v>-109</v>
          </cell>
        </row>
        <row r="29">
          <cell r="C29">
            <v>-19780</v>
          </cell>
        </row>
        <row r="32">
          <cell r="C32">
            <v>-34614</v>
          </cell>
        </row>
        <row r="33">
          <cell r="C33">
            <v>624</v>
          </cell>
        </row>
        <row r="34">
          <cell r="C34">
            <v>-700</v>
          </cell>
        </row>
        <row r="35">
          <cell r="C35">
            <v>0</v>
          </cell>
        </row>
        <row r="36">
          <cell r="C36">
            <v>0</v>
          </cell>
        </row>
        <row r="37">
          <cell r="C37">
            <v>-57965</v>
          </cell>
        </row>
        <row r="38">
          <cell r="C38">
            <v>103718</v>
          </cell>
        </row>
        <row r="41">
          <cell r="C41">
            <v>-180</v>
          </cell>
        </row>
        <row r="42">
          <cell r="C42">
            <v>110000</v>
          </cell>
        </row>
        <row r="43">
          <cell r="C43">
            <v>-120393</v>
          </cell>
        </row>
        <row r="44">
          <cell r="C44">
            <v>0</v>
          </cell>
        </row>
        <row r="48">
          <cell r="C48">
            <v>0</v>
          </cell>
        </row>
        <row r="49">
          <cell r="C49">
            <v>-38901</v>
          </cell>
        </row>
        <row r="50">
          <cell r="C50">
            <v>1045</v>
          </cell>
        </row>
        <row r="52">
          <cell r="C52">
            <v>20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B6">
            <v>87830</v>
          </cell>
          <cell r="D6">
            <v>37577</v>
          </cell>
        </row>
        <row r="8">
          <cell r="B8">
            <v>30999</v>
          </cell>
          <cell r="D8">
            <v>16785</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59">
          <cell r="B59">
            <v>3413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row r="7">
          <cell r="B7">
            <v>8346</v>
          </cell>
        </row>
      </sheetData>
      <sheetData sheetId="59" refreshError="1"/>
      <sheetData sheetId="60" refreshError="1"/>
      <sheetData sheetId="61" refreshError="1"/>
      <sheetData sheetId="62" refreshError="1"/>
      <sheetData sheetId="6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mmary"/>
      <sheetName val="Sheet1"/>
      <sheetName val="Sheet2"/>
      <sheetName val="Sheet3"/>
    </sheetNames>
    <sheetDataSet>
      <sheetData sheetId="0">
        <row r="172">
          <cell r="M172">
            <v>70.87</v>
          </cell>
          <cell r="N172">
            <v>70.353333333333339</v>
          </cell>
        </row>
        <row r="175">
          <cell r="N175">
            <v>1.2212333333333334</v>
          </cell>
        </row>
        <row r="177">
          <cell r="N177">
            <v>51.589999999999996</v>
          </cell>
        </row>
      </sheetData>
      <sheetData sheetId="1"/>
      <sheetData sheetId="2"/>
      <sheetData sheetId="3"/>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mmary"/>
      <sheetName val="Sheet1"/>
      <sheetName val="Sheet2"/>
      <sheetName val="Sheet3"/>
    </sheetNames>
    <sheetDataSet>
      <sheetData sheetId="0">
        <row r="172">
          <cell r="T172">
            <v>71.346666666666664</v>
          </cell>
          <cell r="U172">
            <v>70.358333333333348</v>
          </cell>
        </row>
        <row r="175">
          <cell r="T175">
            <v>1.3024</v>
          </cell>
          <cell r="U175">
            <v>1.2786416666666667</v>
          </cell>
        </row>
        <row r="177">
          <cell r="T177">
            <v>50.728333333333332</v>
          </cell>
          <cell r="U177">
            <v>51.565000000000005</v>
          </cell>
        </row>
      </sheetData>
      <sheetData sheetId="1"/>
      <sheetData sheetId="2"/>
      <sheetData sheetId="3"/>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mmary"/>
      <sheetName val="Sheet1"/>
      <sheetName val="Sheet2"/>
      <sheetName val="Sheet3"/>
    </sheetNames>
    <sheetDataSet>
      <sheetData sheetId="0">
        <row r="185">
          <cell r="F185">
            <v>73.081666666666663</v>
          </cell>
        </row>
        <row r="188">
          <cell r="F188">
            <v>1.2763666666666669</v>
          </cell>
        </row>
        <row r="190">
          <cell r="F190">
            <v>50.826666666666661</v>
          </cell>
        </row>
      </sheetData>
      <sheetData sheetId="1"/>
      <sheetData sheetId="2"/>
      <sheetData sheetId="3"/>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mmary"/>
      <sheetName val="Sheet1"/>
      <sheetName val="Sheet2"/>
      <sheetName val="Sheet3"/>
    </sheetNames>
    <sheetDataSet>
      <sheetData sheetId="0">
        <row r="185">
          <cell r="E185">
            <v>75.674999999999997</v>
          </cell>
          <cell r="J185">
            <v>75.408333333333331</v>
          </cell>
        </row>
        <row r="188">
          <cell r="J188">
            <v>1.2370666666666665</v>
          </cell>
        </row>
        <row r="190">
          <cell r="J190">
            <v>50.279999999999994</v>
          </cell>
        </row>
      </sheetData>
      <sheetData sheetId="1"/>
      <sheetData sheetId="2"/>
      <sheetData sheetId="3"/>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mmary"/>
      <sheetName val="Sheet1"/>
      <sheetName val="Sheet2"/>
      <sheetName val="Sheet3"/>
    </sheetNames>
    <sheetDataSet>
      <sheetData sheetId="0">
        <row r="172">
          <cell r="Q172">
            <v>71.38</v>
          </cell>
        </row>
        <row r="185">
          <cell r="N185">
            <v>74.061666666666667</v>
          </cell>
        </row>
        <row r="188">
          <cell r="N188">
            <v>1.3096333333333332</v>
          </cell>
        </row>
        <row r="190">
          <cell r="N190">
            <v>48.71</v>
          </cell>
        </row>
      </sheetData>
      <sheetData sheetId="1"/>
      <sheetData sheetId="2"/>
      <sheetData sheetId="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mmary"/>
      <sheetName val="Sheet1"/>
      <sheetName val="Sheet2"/>
      <sheetName val="Sheet3"/>
    </sheetNames>
    <sheetDataSet>
      <sheetData sheetId="0">
        <row r="185">
          <cell r="T185">
            <v>73.73833333333333</v>
          </cell>
          <cell r="U185">
            <v>74.072500000000005</v>
          </cell>
        </row>
        <row r="188">
          <cell r="T188">
            <v>1.3313333333333333</v>
          </cell>
          <cell r="U188">
            <v>1.2886</v>
          </cell>
        </row>
        <row r="190">
          <cell r="T190">
            <v>48.161000000000001</v>
          </cell>
          <cell r="U190">
            <v>49.494416666666666</v>
          </cell>
        </row>
      </sheetData>
      <sheetData sheetId="1"/>
      <sheetData sheetId="2"/>
      <sheetData sheetId="3"/>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mmary"/>
      <sheetName val="Sheet1"/>
      <sheetName val="Sheet2"/>
      <sheetName val="Sheet3"/>
    </sheetNames>
    <sheetDataSet>
      <sheetData sheetId="0">
        <row r="185">
          <cell r="J185">
            <v>75.408333333333331</v>
          </cell>
        </row>
        <row r="202">
          <cell r="F202">
            <v>73.173333333333346</v>
          </cell>
        </row>
        <row r="205">
          <cell r="F205">
            <v>1.3805333333333332</v>
          </cell>
        </row>
        <row r="207">
          <cell r="F207">
            <v>48.386666666666663</v>
          </cell>
        </row>
      </sheetData>
      <sheetData sheetId="1"/>
      <sheetData sheetId="2"/>
      <sheetData sheetId="3"/>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mmary"/>
      <sheetName val="Sheet1"/>
      <sheetName val="Sheet2"/>
      <sheetName val="Sheet3"/>
    </sheetNames>
    <sheetDataSet>
      <sheetData sheetId="0">
        <row r="202">
          <cell r="I202">
            <v>74.325000000000003</v>
          </cell>
          <cell r="J202">
            <v>73.665000000000006</v>
          </cell>
        </row>
        <row r="205">
          <cell r="J205">
            <v>1.3984333333333332</v>
          </cell>
        </row>
        <row r="207">
          <cell r="J207">
            <v>48.198333333333331</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pshot- 10K Checks"/>
      <sheetName val="Master Sheet"/>
      <sheetName val="Index"/>
      <sheetName val="Balance Sheets"/>
      <sheetName val="Statements of Income"/>
      <sheetName val="Reclass Adjustment"/>
      <sheetName val="SCI"/>
      <sheetName val="SCI (Tax grossing)"/>
      <sheetName val="AOCI"/>
      <sheetName val="AOCI (Tax grossing)"/>
      <sheetName val="Shareholders Equity Q2'20 (9M)"/>
      <sheetName val="Shareholders Equity Q3'17"/>
      <sheetName val="Shareholders Equity 10K "/>
      <sheetName val="Shareholders Equity Q2'20 (3M)"/>
      <sheetName val="Statements of Cash Flow"/>
      <sheetName val="3. Quarterly Financial Data"/>
      <sheetName val="Other income (expense), net"/>
      <sheetName val="Cash &amp; cash equivalent"/>
      <sheetName val="CL,NCL,OCA &amp; OA"/>
      <sheetName val="Revenues,Net"/>
      <sheetName val="EPS"/>
      <sheetName val="MD&amp;A Section- Three months"/>
      <sheetName val="Segment Information "/>
      <sheetName val="Statement of opts data(Item 6)"/>
      <sheetName val="Geographical"/>
      <sheetName val="Reimb Revenue- Unbilled"/>
      <sheetName val="MD&amp;A Section- Year End"/>
      <sheetName val="Data - 8K"/>
      <sheetName val="Pro forma (Bus. Com (1)"/>
      <sheetName val="Business Com (2)"/>
      <sheetName val="Business Com"/>
      <sheetName val="Goodwill (2)"/>
      <sheetName val="Goodwill"/>
      <sheetName val="Intangibles"/>
      <sheetName val="MD&amp;A Section- Three Months End"/>
      <sheetName val="MD&amp;A Section- Nine Months End"/>
      <sheetName val="Goodwill &amp; Intangibles"/>
      <sheetName val="Emp Benefits"/>
      <sheetName val="6. Fair Value Measurements"/>
      <sheetName val="Derivatives 1"/>
      <sheetName val="Derivatives 3"/>
      <sheetName val="Derivatives 2 (b)"/>
      <sheetName val="Derivatives 1 "/>
      <sheetName val="Derivatives 2 (a)"/>
      <sheetName val="Derivatives 2 (b) "/>
      <sheetName val="FA"/>
      <sheetName val="Lease disclosure"/>
      <sheetName val="12. Leases"/>
      <sheetName val="Income Tax"/>
      <sheetName val="Contractual Obligati &amp; Note 19 "/>
      <sheetName val="Contingencies"/>
      <sheetName val="Sheet1"/>
      <sheetName val="MD&amp;A"/>
      <sheetName val="MD&amp;A (9m)"/>
      <sheetName val="MD&amp;A (PY)"/>
      <sheetName val="Liquidity &amp; CR"/>
      <sheetName val="Item 2"/>
      <sheetName val="18. Capital Structure"/>
      <sheetName val="21. Stock Based Compensation"/>
      <sheetName val="Borrowings &amp; Credit Arrangement"/>
      <sheetName val="Commitment &amp; Contingencies"/>
      <sheetName val="Equity compensation plan Item 5"/>
      <sheetName val="24. Impairment &amp; Restructuring"/>
      <sheetName val="High and Low"/>
    </sheetNames>
    <sheetDataSet>
      <sheetData sheetId="0">
        <row r="52">
          <cell r="B52">
            <v>-87509</v>
          </cell>
        </row>
      </sheetData>
      <sheetData sheetId="1" refreshError="1"/>
      <sheetData sheetId="2" refreshError="1"/>
      <sheetData sheetId="3">
        <row r="9">
          <cell r="C9">
            <v>218530</v>
          </cell>
        </row>
        <row r="10">
          <cell r="C10">
            <v>184286</v>
          </cell>
        </row>
        <row r="11">
          <cell r="C11">
            <v>4690</v>
          </cell>
        </row>
        <row r="12">
          <cell r="C12">
            <v>147635</v>
          </cell>
        </row>
        <row r="13">
          <cell r="C13">
            <v>11344</v>
          </cell>
        </row>
        <row r="14">
          <cell r="C14">
            <v>5684</v>
          </cell>
        </row>
        <row r="15">
          <cell r="C15">
            <v>37109</v>
          </cell>
        </row>
        <row r="17">
          <cell r="C17">
            <v>92875</v>
          </cell>
        </row>
        <row r="18">
          <cell r="C18">
            <v>91918</v>
          </cell>
        </row>
        <row r="19">
          <cell r="C19">
            <v>2299</v>
          </cell>
        </row>
        <row r="20">
          <cell r="C20">
            <v>7749</v>
          </cell>
        </row>
        <row r="21">
          <cell r="C21">
            <v>59594</v>
          </cell>
        </row>
        <row r="22">
          <cell r="C22">
            <v>349088</v>
          </cell>
        </row>
        <row r="23">
          <cell r="C23">
            <v>32099</v>
          </cell>
        </row>
        <row r="24">
          <cell r="C24">
            <v>2957</v>
          </cell>
        </row>
        <row r="28">
          <cell r="C28">
            <v>6992</v>
          </cell>
        </row>
        <row r="29">
          <cell r="C29">
            <v>25000</v>
          </cell>
        </row>
        <row r="30">
          <cell r="C30">
            <v>32649</v>
          </cell>
        </row>
        <row r="31">
          <cell r="C31">
            <v>67645</v>
          </cell>
        </row>
        <row r="32">
          <cell r="C32">
            <v>66410</v>
          </cell>
        </row>
        <row r="33">
          <cell r="C33">
            <v>18894</v>
          </cell>
        </row>
        <row r="34">
          <cell r="C34">
            <v>3488</v>
          </cell>
        </row>
        <row r="37">
          <cell r="C37">
            <v>201961</v>
          </cell>
        </row>
        <row r="38">
          <cell r="C38">
            <v>0</v>
          </cell>
        </row>
        <row r="39">
          <cell r="C39">
            <v>1790</v>
          </cell>
        </row>
        <row r="40">
          <cell r="C40">
            <v>847</v>
          </cell>
        </row>
        <row r="41">
          <cell r="C41">
            <v>84874</v>
          </cell>
        </row>
        <row r="42">
          <cell r="C42">
            <v>18135</v>
          </cell>
        </row>
        <row r="45">
          <cell r="C45">
            <v>0</v>
          </cell>
        </row>
        <row r="47">
          <cell r="C47">
            <v>39</v>
          </cell>
        </row>
        <row r="48">
          <cell r="C48">
            <v>420976</v>
          </cell>
        </row>
        <row r="49">
          <cell r="C49">
            <v>641379</v>
          </cell>
        </row>
        <row r="50">
          <cell r="C50">
            <v>-74984</v>
          </cell>
        </row>
        <row r="52">
          <cell r="C52">
            <v>-268238</v>
          </cell>
        </row>
      </sheetData>
      <sheetData sheetId="4" refreshError="1">
        <row r="7">
          <cell r="J7">
            <v>958434</v>
          </cell>
        </row>
        <row r="8">
          <cell r="J8">
            <v>623936</v>
          </cell>
        </row>
        <row r="11">
          <cell r="J11">
            <v>113891</v>
          </cell>
        </row>
        <row r="12">
          <cell r="J12">
            <v>60123</v>
          </cell>
        </row>
        <row r="13">
          <cell r="J13">
            <v>50462</v>
          </cell>
        </row>
        <row r="14">
          <cell r="J14">
            <v>0</v>
          </cell>
        </row>
        <row r="17">
          <cell r="J17">
            <v>4432</v>
          </cell>
        </row>
        <row r="18">
          <cell r="J18">
            <v>-11190</v>
          </cell>
        </row>
        <row r="19">
          <cell r="J19">
            <v>12065</v>
          </cell>
        </row>
        <row r="21">
          <cell r="J21">
            <v>25626</v>
          </cell>
        </row>
        <row r="23">
          <cell r="J23">
            <v>227</v>
          </cell>
        </row>
      </sheetData>
      <sheetData sheetId="5">
        <row r="4">
          <cell r="A4" t="str">
            <v>Balance as on Dec 31, 2019</v>
          </cell>
        </row>
      </sheetData>
      <sheetData sheetId="6" refreshError="1"/>
      <sheetData sheetId="7" refreshError="1"/>
      <sheetData sheetId="8" refreshError="1"/>
      <sheetData sheetId="9">
        <row r="20">
          <cell r="B20">
            <v>-629</v>
          </cell>
        </row>
      </sheetData>
      <sheetData sheetId="10" refreshError="1"/>
      <sheetData sheetId="11" refreshError="1"/>
      <sheetData sheetId="12">
        <row r="64">
          <cell r="B64">
            <v>38968053</v>
          </cell>
        </row>
      </sheetData>
      <sheetData sheetId="13" refreshError="1"/>
      <sheetData sheetId="14">
        <row r="7">
          <cell r="C7">
            <v>89476</v>
          </cell>
        </row>
        <row r="9">
          <cell r="C9">
            <v>50513</v>
          </cell>
        </row>
        <row r="10">
          <cell r="C10">
            <v>28235</v>
          </cell>
        </row>
        <row r="11">
          <cell r="C11">
            <v>27146</v>
          </cell>
        </row>
        <row r="12">
          <cell r="C12">
            <v>-7174</v>
          </cell>
        </row>
        <row r="13">
          <cell r="C13">
            <v>402</v>
          </cell>
        </row>
        <row r="14">
          <cell r="C14">
            <v>2697</v>
          </cell>
        </row>
        <row r="15">
          <cell r="C15">
            <v>297</v>
          </cell>
        </row>
        <row r="16">
          <cell r="C16">
            <v>227</v>
          </cell>
        </row>
        <row r="18">
          <cell r="C18">
            <v>0</v>
          </cell>
        </row>
        <row r="21">
          <cell r="C21">
            <v>24696</v>
          </cell>
        </row>
        <row r="22">
          <cell r="C22">
            <v>-5133</v>
          </cell>
        </row>
        <row r="23">
          <cell r="C23">
            <v>696</v>
          </cell>
        </row>
        <row r="24">
          <cell r="C24">
            <v>6505</v>
          </cell>
        </row>
        <row r="25">
          <cell r="C25">
            <v>243</v>
          </cell>
        </row>
        <row r="26">
          <cell r="C26">
            <v>18222</v>
          </cell>
        </row>
        <row r="27">
          <cell r="C27">
            <v>335</v>
          </cell>
        </row>
        <row r="28">
          <cell r="C28">
            <v>-9895</v>
          </cell>
        </row>
        <row r="29">
          <cell r="C29">
            <v>-26589</v>
          </cell>
        </row>
        <row r="32">
          <cell r="C32">
            <v>-42224</v>
          </cell>
          <cell r="E32">
            <v>-40545</v>
          </cell>
          <cell r="G32">
            <v>-40789</v>
          </cell>
        </row>
        <row r="33">
          <cell r="C33">
            <v>916</v>
          </cell>
          <cell r="E33">
            <v>407</v>
          </cell>
          <cell r="G33">
            <v>352</v>
          </cell>
        </row>
        <row r="34">
          <cell r="C34">
            <v>-700</v>
          </cell>
        </row>
        <row r="35">
          <cell r="C35">
            <v>0</v>
          </cell>
        </row>
        <row r="36">
          <cell r="C36">
            <v>0</v>
          </cell>
        </row>
        <row r="37">
          <cell r="C37">
            <v>-102462</v>
          </cell>
        </row>
        <row r="38">
          <cell r="C38">
            <v>126154</v>
          </cell>
        </row>
        <row r="41">
          <cell r="C41">
            <v>-249</v>
          </cell>
        </row>
        <row r="42">
          <cell r="C42">
            <v>110000</v>
          </cell>
        </row>
        <row r="43">
          <cell r="C43">
            <v>-120867</v>
          </cell>
        </row>
        <row r="44">
          <cell r="C44">
            <v>0</v>
          </cell>
        </row>
        <row r="48">
          <cell r="C48">
            <v>0</v>
          </cell>
        </row>
        <row r="49">
          <cell r="C49">
            <v>-79949</v>
          </cell>
        </row>
        <row r="50">
          <cell r="C50">
            <v>1501</v>
          </cell>
        </row>
        <row r="52">
          <cell r="C52">
            <v>3382</v>
          </cell>
        </row>
      </sheetData>
      <sheetData sheetId="15" refreshError="1"/>
      <sheetData sheetId="16" refreshError="1"/>
      <sheetData sheetId="17">
        <row r="5">
          <cell r="C5">
            <v>218530</v>
          </cell>
        </row>
      </sheetData>
      <sheetData sheetId="18" refreshError="1"/>
      <sheetData sheetId="19">
        <row r="5">
          <cell r="C5">
            <v>147635</v>
          </cell>
        </row>
      </sheetData>
      <sheetData sheetId="20" refreshError="1"/>
      <sheetData sheetId="21" refreshError="1"/>
      <sheetData sheetId="22" refreshError="1">
        <row r="6">
          <cell r="B6">
            <v>341770</v>
          </cell>
          <cell r="C6">
            <v>101315</v>
          </cell>
          <cell r="D6">
            <v>152670</v>
          </cell>
          <cell r="E6">
            <v>362679</v>
          </cell>
        </row>
        <row r="8">
          <cell r="B8">
            <v>109886</v>
          </cell>
          <cell r="C8">
            <v>28172</v>
          </cell>
          <cell r="D8">
            <v>63211</v>
          </cell>
          <cell r="E8">
            <v>133229</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4">
          <cell r="B4">
            <v>38203</v>
          </cell>
        </row>
        <row r="59">
          <cell r="B59">
            <v>14412</v>
          </cell>
        </row>
      </sheetData>
      <sheetData sheetId="37">
        <row r="66">
          <cell r="K66">
            <v>11512</v>
          </cell>
        </row>
      </sheetData>
      <sheetData sheetId="38">
        <row r="7">
          <cell r="B7">
            <v>160441</v>
          </cell>
        </row>
      </sheetData>
      <sheetData sheetId="39" refreshError="1"/>
      <sheetData sheetId="40" refreshError="1"/>
      <sheetData sheetId="41" refreshError="1"/>
      <sheetData sheetId="42">
        <row r="4">
          <cell r="D4">
            <v>9740</v>
          </cell>
        </row>
      </sheetData>
      <sheetData sheetId="43" refreshError="1"/>
      <sheetData sheetId="44" refreshError="1"/>
      <sheetData sheetId="45">
        <row r="6">
          <cell r="E6">
            <v>107109</v>
          </cell>
        </row>
      </sheetData>
      <sheetData sheetId="46">
        <row r="4">
          <cell r="C4">
            <v>91918</v>
          </cell>
        </row>
      </sheetData>
      <sheetData sheetId="47" refreshError="1"/>
      <sheetData sheetId="48" refreshError="1"/>
      <sheetData sheetId="49">
        <row r="12">
          <cell r="D12">
            <v>2.8</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ow r="4">
          <cell r="B4">
            <v>6300</v>
          </cell>
        </row>
        <row r="7">
          <cell r="B7">
            <v>28235</v>
          </cell>
        </row>
      </sheetData>
      <sheetData sheetId="59">
        <row r="4">
          <cell r="D4">
            <v>200000</v>
          </cell>
        </row>
      </sheetData>
      <sheetData sheetId="60">
        <row r="6">
          <cell r="B6">
            <v>6100</v>
          </cell>
        </row>
      </sheetData>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pshot- Q1 Checks"/>
      <sheetName val="Master Sheet"/>
      <sheetName val="Index"/>
      <sheetName val="Balance Sheets"/>
      <sheetName val="Statements of Income"/>
      <sheetName val="Reclass Adjustment"/>
      <sheetName val="SCI"/>
      <sheetName val="SCI (Tax grossing)"/>
      <sheetName val="AOCI"/>
      <sheetName val="AOCI (Tax grossing)"/>
      <sheetName val="Shareholders Equity Q2'20 (9M)"/>
      <sheetName val="Shareholders Equity Q3'17"/>
      <sheetName val="Shareholders Equity 10K "/>
      <sheetName val="Shareholders Equity Q2'20 (3M)"/>
      <sheetName val="Statements of Cash Flow"/>
      <sheetName val="3. Quarterly Financial Data"/>
      <sheetName val="Other income (expense), net"/>
      <sheetName val="Cash &amp; cash equivalent"/>
      <sheetName val="CL,NCL,OCA &amp; OA"/>
      <sheetName val="Revenues,Net"/>
      <sheetName val="EPS"/>
      <sheetName val="MD&amp;A Section- Three months"/>
      <sheetName val="Segment Information "/>
      <sheetName val="Statement of opts data(Item 6)"/>
      <sheetName val="Geographical"/>
      <sheetName val="Reimb Revenue- Unbilled"/>
      <sheetName val="Data - 8K"/>
      <sheetName val="Pro forma (Bus. Com (1)"/>
      <sheetName val="Business Com (2)"/>
      <sheetName val="Business Com"/>
      <sheetName val="Goodwill (2)"/>
      <sheetName val="Goodwill"/>
      <sheetName val="Intangibles"/>
      <sheetName val="MD&amp;A Section- Three Months End"/>
      <sheetName val="MD&amp;A Section- Nine Months End"/>
      <sheetName val="Goodwill &amp; Intangibles"/>
      <sheetName val="Emp Benefits"/>
      <sheetName val="6. Fair Value Measurements"/>
      <sheetName val="Derivatives 1"/>
      <sheetName val="Derivatives 3"/>
      <sheetName val="Derivatives 2 (b)"/>
      <sheetName val="Derivatives 1 "/>
      <sheetName val="Derivatives 2 (a)"/>
      <sheetName val="Derivatives 2 (b) "/>
      <sheetName val="Derivatives 3 (c) "/>
      <sheetName val="FA"/>
      <sheetName val="Lease disclosu`re"/>
      <sheetName val="12. Leases"/>
      <sheetName val="Income Tax"/>
      <sheetName val="Contractual Obligati &amp; Note 19 "/>
      <sheetName val="Contingencies"/>
      <sheetName val="Sheet1"/>
      <sheetName val="MD&amp;A"/>
      <sheetName val="MD&amp;A (9m)"/>
      <sheetName val="MD&amp;A (PY)"/>
      <sheetName val="Liquidity &amp; CR"/>
      <sheetName val="Item 2"/>
      <sheetName val="18. Capital Structure"/>
      <sheetName val="21. Stock Based Compensation"/>
      <sheetName val="Borrowings &amp; Credit Arrangement"/>
      <sheetName val="MD&amp;A Section- Year End"/>
      <sheetName val="Commitment &amp; Contingencies"/>
      <sheetName val="Equity compensation plan Item 5"/>
      <sheetName val="24. Impairment &amp; Restructuring"/>
      <sheetName val="High and Low"/>
    </sheetNames>
    <sheetDataSet>
      <sheetData sheetId="0"/>
      <sheetData sheetId="1"/>
      <sheetData sheetId="2"/>
      <sheetData sheetId="3">
        <row r="9">
          <cell r="C9">
            <v>177121</v>
          </cell>
        </row>
        <row r="10">
          <cell r="C10">
            <v>198721</v>
          </cell>
        </row>
        <row r="11">
          <cell r="C11">
            <v>5295</v>
          </cell>
        </row>
        <row r="12">
          <cell r="C12">
            <v>159296</v>
          </cell>
        </row>
        <row r="13">
          <cell r="C13">
            <v>12709</v>
          </cell>
        </row>
        <row r="14">
          <cell r="C14">
            <v>7580</v>
          </cell>
        </row>
        <row r="15">
          <cell r="C15">
            <v>35828</v>
          </cell>
        </row>
        <row r="17">
          <cell r="C17">
            <v>90153</v>
          </cell>
        </row>
        <row r="18">
          <cell r="C18">
            <v>88777</v>
          </cell>
        </row>
        <row r="19">
          <cell r="C19">
            <v>2298</v>
          </cell>
        </row>
        <row r="20">
          <cell r="C20">
            <v>10657</v>
          </cell>
        </row>
        <row r="21">
          <cell r="C21">
            <v>56243</v>
          </cell>
        </row>
        <row r="22">
          <cell r="C22">
            <v>349098</v>
          </cell>
        </row>
        <row r="23">
          <cell r="C23">
            <v>29669</v>
          </cell>
        </row>
        <row r="24">
          <cell r="C24">
            <v>2921</v>
          </cell>
        </row>
        <row r="28">
          <cell r="C28">
            <v>8304</v>
          </cell>
        </row>
        <row r="29">
          <cell r="C29">
            <v>25000</v>
          </cell>
        </row>
        <row r="30">
          <cell r="C30">
            <v>14764</v>
          </cell>
        </row>
        <row r="31">
          <cell r="C31">
            <v>43492</v>
          </cell>
        </row>
        <row r="32">
          <cell r="C32">
            <v>73241</v>
          </cell>
        </row>
        <row r="33">
          <cell r="C33">
            <v>18476</v>
          </cell>
        </row>
        <row r="34">
          <cell r="C34">
            <v>14443</v>
          </cell>
        </row>
        <row r="37">
          <cell r="C37">
            <v>202687</v>
          </cell>
        </row>
        <row r="38">
          <cell r="C38">
            <v>0</v>
          </cell>
        </row>
        <row r="39">
          <cell r="C39">
            <v>1790</v>
          </cell>
        </row>
        <row r="40">
          <cell r="C40">
            <v>877</v>
          </cell>
        </row>
        <row r="41">
          <cell r="C41">
            <v>81948</v>
          </cell>
        </row>
        <row r="42">
          <cell r="C42">
            <v>15119</v>
          </cell>
        </row>
        <row r="45">
          <cell r="C45">
            <v>0</v>
          </cell>
        </row>
        <row r="47">
          <cell r="C47">
            <v>39</v>
          </cell>
        </row>
        <row r="48">
          <cell r="C48">
            <v>428882</v>
          </cell>
        </row>
        <row r="49">
          <cell r="C49">
            <v>673310</v>
          </cell>
        </row>
        <row r="50">
          <cell r="C50">
            <v>-78753</v>
          </cell>
        </row>
        <row r="52">
          <cell r="C52">
            <v>-297253</v>
          </cell>
        </row>
      </sheetData>
      <sheetData sheetId="4">
        <row r="7">
          <cell r="J7">
            <v>261415</v>
          </cell>
        </row>
        <row r="8">
          <cell r="J8">
            <v>158821</v>
          </cell>
        </row>
        <row r="11">
          <cell r="J11">
            <v>30703</v>
          </cell>
        </row>
        <row r="12">
          <cell r="J12">
            <v>18235</v>
          </cell>
        </row>
        <row r="13">
          <cell r="J13">
            <v>12101</v>
          </cell>
        </row>
        <row r="14">
          <cell r="J14">
            <v>0</v>
          </cell>
        </row>
        <row r="17">
          <cell r="J17">
            <v>434</v>
          </cell>
        </row>
        <row r="18">
          <cell r="J18">
            <v>-2474</v>
          </cell>
        </row>
        <row r="19">
          <cell r="J19">
            <v>1410</v>
          </cell>
        </row>
        <row r="21">
          <cell r="J21">
            <v>8958</v>
          </cell>
        </row>
        <row r="23">
          <cell r="J23">
            <v>36</v>
          </cell>
        </row>
        <row r="29">
          <cell r="J29">
            <v>33734118</v>
          </cell>
        </row>
        <row r="30">
          <cell r="J30">
            <v>34318318</v>
          </cell>
        </row>
      </sheetData>
      <sheetData sheetId="5"/>
      <sheetData sheetId="6"/>
      <sheetData sheetId="7"/>
      <sheetData sheetId="8"/>
      <sheetData sheetId="9"/>
      <sheetData sheetId="10"/>
      <sheetData sheetId="11"/>
      <sheetData sheetId="12"/>
      <sheetData sheetId="13"/>
      <sheetData sheetId="14">
        <row r="7">
          <cell r="C7">
            <v>31931</v>
          </cell>
        </row>
        <row r="9">
          <cell r="C9">
            <v>12266</v>
          </cell>
        </row>
        <row r="10">
          <cell r="C10">
            <v>7832</v>
          </cell>
        </row>
        <row r="11">
          <cell r="C11">
            <v>6761</v>
          </cell>
        </row>
        <row r="12">
          <cell r="C12">
            <v>-1103</v>
          </cell>
        </row>
        <row r="13">
          <cell r="C13">
            <v>-1139</v>
          </cell>
          <cell r="E13">
            <v>-6490</v>
          </cell>
        </row>
        <row r="14">
          <cell r="C14">
            <v>-2695</v>
          </cell>
        </row>
        <row r="15">
          <cell r="C15">
            <v>48</v>
          </cell>
        </row>
        <row r="16">
          <cell r="C16">
            <v>36</v>
          </cell>
        </row>
        <row r="18">
          <cell r="C18">
            <v>0</v>
          </cell>
        </row>
        <row r="21">
          <cell r="C21">
            <v>-11818</v>
          </cell>
        </row>
        <row r="22">
          <cell r="C22">
            <v>-21</v>
          </cell>
          <cell r="E22">
            <v>-1871</v>
          </cell>
        </row>
        <row r="23">
          <cell r="C23">
            <v>9057</v>
          </cell>
        </row>
        <row r="24">
          <cell r="C24">
            <v>1268</v>
          </cell>
        </row>
        <row r="25">
          <cell r="C25">
            <v>1902</v>
          </cell>
        </row>
        <row r="26">
          <cell r="C26">
            <v>-17986</v>
          </cell>
        </row>
        <row r="27">
          <cell r="C27">
            <v>-23611</v>
          </cell>
        </row>
        <row r="28">
          <cell r="C28">
            <v>8456</v>
          </cell>
        </row>
        <row r="29">
          <cell r="C29">
            <v>-6868</v>
          </cell>
        </row>
        <row r="32">
          <cell r="C32">
            <v>-12680</v>
          </cell>
          <cell r="E32">
            <v>-12347</v>
          </cell>
        </row>
        <row r="33">
          <cell r="C33">
            <v>129</v>
          </cell>
          <cell r="E33">
            <v>73</v>
          </cell>
        </row>
        <row r="34">
          <cell r="C34">
            <v>0</v>
          </cell>
        </row>
        <row r="35">
          <cell r="C35">
            <v>0</v>
          </cell>
        </row>
        <row r="36">
          <cell r="C36">
            <v>0</v>
          </cell>
        </row>
        <row r="37">
          <cell r="C37">
            <v>-18835</v>
          </cell>
        </row>
        <row r="38">
          <cell r="C38">
            <v>5357</v>
          </cell>
        </row>
        <row r="41">
          <cell r="C41">
            <v>-57</v>
          </cell>
        </row>
        <row r="42">
          <cell r="C42">
            <v>25000</v>
          </cell>
        </row>
        <row r="43">
          <cell r="C43">
            <v>-25000</v>
          </cell>
        </row>
        <row r="44">
          <cell r="C44">
            <v>0</v>
          </cell>
        </row>
        <row r="48">
          <cell r="C48">
            <v>0</v>
          </cell>
        </row>
        <row r="49">
          <cell r="C49">
            <v>-29015</v>
          </cell>
        </row>
        <row r="50">
          <cell r="C50">
            <v>75</v>
          </cell>
        </row>
        <row r="52">
          <cell r="C52">
            <v>-984</v>
          </cell>
        </row>
      </sheetData>
      <sheetData sheetId="15"/>
      <sheetData sheetId="16"/>
      <sheetData sheetId="17"/>
      <sheetData sheetId="18"/>
      <sheetData sheetId="19"/>
      <sheetData sheetId="20"/>
      <sheetData sheetId="21"/>
      <sheetData sheetId="22">
        <row r="6">
          <cell r="B6">
            <v>91160</v>
          </cell>
          <cell r="C6">
            <v>30265</v>
          </cell>
          <cell r="D6">
            <v>37668</v>
          </cell>
          <cell r="E6">
            <v>102322</v>
          </cell>
        </row>
        <row r="8">
          <cell r="B8">
            <v>35067</v>
          </cell>
          <cell r="C8">
            <v>12874</v>
          </cell>
          <cell r="D8">
            <v>16824</v>
          </cell>
          <cell r="E8">
            <v>37829</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ow r="57">
          <cell r="B57">
            <v>3361</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7">
          <cell r="B7">
            <v>7832</v>
          </cell>
        </row>
      </sheetData>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8"/>
  <sheetViews>
    <sheetView showGridLines="0" zoomScale="80" zoomScaleNormal="80" workbookViewId="0">
      <selection activeCell="B17" sqref="B17"/>
    </sheetView>
  </sheetViews>
  <sheetFormatPr defaultColWidth="9.1796875" defaultRowHeight="12.5" x14ac:dyDescent="0.25"/>
  <cols>
    <col min="1" max="1" width="9.1796875" style="5"/>
    <col min="2" max="2" width="36.453125" style="5" customWidth="1"/>
    <col min="3" max="16384" width="9.1796875" style="5"/>
  </cols>
  <sheetData>
    <row r="1" spans="1:10" s="56" customFormat="1" x14ac:dyDescent="0.25"/>
    <row r="2" spans="1:10" ht="34.5" customHeight="1" x14ac:dyDescent="0.25"/>
    <row r="3" spans="1:10" ht="34.5" customHeight="1" x14ac:dyDescent="0.25"/>
    <row r="4" spans="1:10" ht="15.5" x14ac:dyDescent="0.35">
      <c r="A4" s="88">
        <v>1</v>
      </c>
      <c r="B4" s="150" t="s">
        <v>14</v>
      </c>
    </row>
    <row r="5" spans="1:10" ht="15.5" x14ac:dyDescent="0.35">
      <c r="A5" s="88">
        <v>2</v>
      </c>
      <c r="B5" s="150" t="s">
        <v>15</v>
      </c>
    </row>
    <row r="6" spans="1:10" ht="15.5" x14ac:dyDescent="0.35">
      <c r="A6" s="88">
        <v>3</v>
      </c>
      <c r="B6" s="150" t="s">
        <v>51</v>
      </c>
    </row>
    <row r="7" spans="1:10" ht="15.5" x14ac:dyDescent="0.35">
      <c r="A7" s="88">
        <v>4</v>
      </c>
      <c r="B7" s="150" t="s">
        <v>170</v>
      </c>
    </row>
    <row r="8" spans="1:10" ht="15.5" x14ac:dyDescent="0.35">
      <c r="A8" s="88">
        <v>5</v>
      </c>
      <c r="B8" s="150" t="s">
        <v>59</v>
      </c>
    </row>
    <row r="9" spans="1:10" s="41" customFormat="1" x14ac:dyDescent="0.25">
      <c r="A9" s="39"/>
      <c r="C9" s="39"/>
      <c r="D9" s="39"/>
      <c r="E9" s="39"/>
      <c r="F9" s="39"/>
      <c r="G9" s="39"/>
      <c r="H9" s="39"/>
      <c r="I9" s="39"/>
      <c r="J9" s="39"/>
    </row>
    <row r="10" spans="1:10" ht="13" x14ac:dyDescent="0.3">
      <c r="A10" s="39"/>
      <c r="B10" s="40"/>
      <c r="C10" s="39"/>
      <c r="D10" s="39"/>
      <c r="E10" s="39"/>
      <c r="F10" s="39"/>
      <c r="G10" s="39"/>
      <c r="H10" s="39"/>
      <c r="I10" s="39"/>
      <c r="J10" s="39"/>
    </row>
    <row r="11" spans="1:10" ht="13" x14ac:dyDescent="0.3">
      <c r="A11" s="39"/>
      <c r="B11" s="40"/>
      <c r="C11" s="39"/>
      <c r="D11" s="39"/>
      <c r="E11" s="39"/>
      <c r="F11" s="39"/>
      <c r="G11" s="39"/>
      <c r="H11" s="39"/>
      <c r="I11" s="39"/>
      <c r="J11" s="39"/>
    </row>
    <row r="12" spans="1:10" ht="13" x14ac:dyDescent="0.3">
      <c r="A12" s="39"/>
      <c r="B12" s="40"/>
      <c r="C12" s="39"/>
      <c r="D12" s="39"/>
      <c r="E12" s="39"/>
      <c r="F12" s="39"/>
      <c r="G12" s="39"/>
      <c r="H12" s="39"/>
      <c r="I12" s="39"/>
      <c r="J12" s="39"/>
    </row>
    <row r="13" spans="1:10" ht="13" x14ac:dyDescent="0.3">
      <c r="A13" s="39"/>
      <c r="B13" s="40"/>
      <c r="C13" s="39"/>
      <c r="D13" s="39"/>
      <c r="E13" s="39"/>
      <c r="F13" s="39"/>
      <c r="G13" s="39"/>
      <c r="H13" s="39"/>
      <c r="I13" s="39"/>
      <c r="J13" s="39"/>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x14ac:dyDescent="0.25">
      <c r="A16" s="39"/>
      <c r="B16" s="39"/>
      <c r="C16" s="39"/>
      <c r="D16" s="39"/>
      <c r="E16" s="39"/>
      <c r="F16" s="39"/>
      <c r="G16" s="39"/>
      <c r="H16" s="39"/>
      <c r="I16" s="39"/>
      <c r="J16" s="39"/>
    </row>
    <row r="17" spans="1:10" x14ac:dyDescent="0.25">
      <c r="A17" s="41"/>
      <c r="B17" s="41"/>
      <c r="C17" s="41"/>
      <c r="D17" s="41"/>
      <c r="E17" s="41"/>
      <c r="F17" s="41"/>
      <c r="G17" s="41"/>
      <c r="H17" s="41"/>
      <c r="I17" s="41"/>
      <c r="J17" s="41"/>
    </row>
    <row r="18" spans="1:10" x14ac:dyDescent="0.25">
      <c r="A18" s="41"/>
      <c r="B18" s="41"/>
      <c r="C18" s="41"/>
      <c r="D18" s="41"/>
      <c r="E18" s="41"/>
      <c r="F18" s="41"/>
      <c r="G18" s="41"/>
      <c r="H18" s="41"/>
      <c r="I18" s="41"/>
      <c r="J18" s="41"/>
    </row>
  </sheetData>
  <hyperlinks>
    <hyperlink ref="B4" location="'Income Statement'!A1" display="Income Statement"/>
    <hyperlink ref="B5" location="'Balance Sheet'!A1" display="Balance Sheet"/>
    <hyperlink ref="B6" location="Cashflow!A1" display="Cashflow Statement"/>
    <hyperlink ref="B8" location="'Other Metrics'!A1" display="Other metrics"/>
    <hyperlink ref="B7" location="'Revenues and Margins'!A1" display="Revenues and Margins"/>
  </hyperlink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B1048576"/>
  <sheetViews>
    <sheetView showGridLines="0" tabSelected="1" view="pageBreakPreview" zoomScale="90" zoomScaleNormal="90" zoomScaleSheetLayoutView="90" workbookViewId="0">
      <pane xSplit="1" ySplit="5" topLeftCell="F6" activePane="bottomRight" state="frozen"/>
      <selection activeCell="W48" sqref="W48"/>
      <selection pane="topRight" activeCell="W48" sqref="W48"/>
      <selection pane="bottomLeft" activeCell="W48" sqref="W48"/>
      <selection pane="bottomRight" activeCell="A7" sqref="A7"/>
    </sheetView>
  </sheetViews>
  <sheetFormatPr defaultColWidth="9.1796875" defaultRowHeight="12.5" outlineLevelRow="1" outlineLevelCol="1" x14ac:dyDescent="0.25"/>
  <cols>
    <col min="1" max="1" width="65.1796875" style="24" customWidth="1"/>
    <col min="2" max="2" width="11.1796875" style="24" hidden="1" customWidth="1" outlineLevel="1"/>
    <col min="3" max="3" width="10.1796875" style="24" hidden="1" customWidth="1" outlineLevel="1"/>
    <col min="4" max="4" width="11.453125" style="24" hidden="1" customWidth="1" outlineLevel="1"/>
    <col min="5" max="5" width="12.81640625" style="24" hidden="1" customWidth="1" outlineLevel="1"/>
    <col min="6" max="6" width="11.453125" style="24" customWidth="1" collapsed="1"/>
    <col min="7" max="7" width="11.453125" style="24" hidden="1" customWidth="1" outlineLevel="1"/>
    <col min="8" max="10" width="12.1796875" style="24" hidden="1" customWidth="1" outlineLevel="1"/>
    <col min="11" max="11" width="12.1796875" style="24" customWidth="1" collapsed="1"/>
    <col min="12" max="15" width="12.1796875" style="24" hidden="1" customWidth="1" outlineLevel="1"/>
    <col min="16" max="16" width="12.1796875" style="24" customWidth="1" collapsed="1"/>
    <col min="17" max="20" width="12.1796875" style="24" customWidth="1" outlineLevel="1"/>
    <col min="21" max="23" width="12.1796875" style="24" customWidth="1"/>
    <col min="24" max="25" width="9.1796875" style="24" hidden="1" customWidth="1" outlineLevel="1"/>
    <col min="26" max="26" width="9.1796875" style="24" collapsed="1"/>
    <col min="27" max="16384" width="9.1796875" style="24"/>
  </cols>
  <sheetData>
    <row r="1" spans="1:54" ht="15.5" x14ac:dyDescent="0.35">
      <c r="A1" s="94"/>
      <c r="W1" s="376"/>
    </row>
    <row r="2" spans="1:54" ht="30.75" customHeight="1" x14ac:dyDescent="0.25">
      <c r="A2" s="113"/>
      <c r="B2" s="31"/>
    </row>
    <row r="3" spans="1:54" x14ac:dyDescent="0.25">
      <c r="A3" s="94"/>
    </row>
    <row r="4" spans="1:54" s="4" customFormat="1" ht="13" x14ac:dyDescent="0.3">
      <c r="A4" s="114" t="s">
        <v>14</v>
      </c>
      <c r="B4" s="210">
        <v>2017</v>
      </c>
      <c r="C4" s="210">
        <v>2017</v>
      </c>
      <c r="D4" s="210">
        <v>2017</v>
      </c>
      <c r="E4" s="210">
        <v>2017</v>
      </c>
      <c r="F4" s="210">
        <v>2017</v>
      </c>
      <c r="G4" s="210">
        <v>2018</v>
      </c>
      <c r="H4" s="158">
        <v>2018</v>
      </c>
      <c r="I4" s="158">
        <v>2018</v>
      </c>
      <c r="J4" s="158">
        <v>2018</v>
      </c>
      <c r="K4" s="158">
        <v>2018</v>
      </c>
      <c r="L4" s="158">
        <v>2019</v>
      </c>
      <c r="M4" s="158">
        <v>2019</v>
      </c>
      <c r="N4" s="158">
        <v>2019</v>
      </c>
      <c r="O4" s="158">
        <v>2019</v>
      </c>
      <c r="P4" s="158">
        <v>2019</v>
      </c>
      <c r="Q4" s="158">
        <v>2020</v>
      </c>
      <c r="R4" s="158">
        <v>2020</v>
      </c>
      <c r="S4" s="158">
        <v>2020</v>
      </c>
      <c r="T4" s="158">
        <v>2020</v>
      </c>
      <c r="U4" s="158">
        <v>2020</v>
      </c>
      <c r="V4" s="158">
        <v>2021</v>
      </c>
      <c r="W4" s="158">
        <v>2021</v>
      </c>
    </row>
    <row r="5" spans="1:54" s="4" customFormat="1" ht="15" x14ac:dyDescent="0.3">
      <c r="A5" s="114" t="s">
        <v>72</v>
      </c>
      <c r="B5" s="210" t="s">
        <v>246</v>
      </c>
      <c r="C5" s="210" t="s">
        <v>247</v>
      </c>
      <c r="D5" s="210" t="s">
        <v>248</v>
      </c>
      <c r="E5" s="210" t="s">
        <v>249</v>
      </c>
      <c r="F5" s="210" t="s">
        <v>250</v>
      </c>
      <c r="G5" s="210" t="s">
        <v>260</v>
      </c>
      <c r="H5" s="158" t="s">
        <v>10</v>
      </c>
      <c r="I5" s="158" t="s">
        <v>11</v>
      </c>
      <c r="J5" s="158" t="s">
        <v>12</v>
      </c>
      <c r="K5" s="158" t="s">
        <v>13</v>
      </c>
      <c r="L5" s="158" t="s">
        <v>9</v>
      </c>
      <c r="M5" s="158" t="s">
        <v>10</v>
      </c>
      <c r="N5" s="158" t="s">
        <v>11</v>
      </c>
      <c r="O5" s="158" t="s">
        <v>12</v>
      </c>
      <c r="P5" s="158" t="s">
        <v>13</v>
      </c>
      <c r="Q5" s="158" t="s">
        <v>9</v>
      </c>
      <c r="R5" s="158" t="s">
        <v>10</v>
      </c>
      <c r="S5" s="158" t="s">
        <v>11</v>
      </c>
      <c r="T5" s="158" t="s">
        <v>12</v>
      </c>
      <c r="U5" s="158" t="s">
        <v>13</v>
      </c>
      <c r="V5" s="158" t="s">
        <v>9</v>
      </c>
      <c r="W5" s="158" t="s">
        <v>10</v>
      </c>
    </row>
    <row r="6" spans="1:54" ht="6" customHeight="1" x14ac:dyDescent="0.25">
      <c r="A6" s="94"/>
      <c r="B6" s="211"/>
      <c r="C6" s="211"/>
      <c r="D6" s="211"/>
      <c r="E6" s="211"/>
      <c r="F6" s="211"/>
      <c r="G6" s="211"/>
    </row>
    <row r="7" spans="1:54" ht="6" customHeight="1" x14ac:dyDescent="0.25">
      <c r="A7" s="94"/>
      <c r="B7" s="211"/>
      <c r="C7" s="211"/>
      <c r="D7" s="211"/>
      <c r="E7" s="211"/>
      <c r="F7" s="211"/>
      <c r="G7" s="211"/>
    </row>
    <row r="8" spans="1:54" s="27" customFormat="1" ht="13" x14ac:dyDescent="0.3">
      <c r="A8" s="59" t="s">
        <v>1</v>
      </c>
      <c r="B8" s="212">
        <v>183033</v>
      </c>
      <c r="C8" s="212">
        <v>189057</v>
      </c>
      <c r="D8" s="217">
        <v>192345</v>
      </c>
      <c r="E8" s="217">
        <f>+F8-SUM(B8,C8,D8)</f>
        <v>197875</v>
      </c>
      <c r="F8" s="217">
        <v>762310</v>
      </c>
      <c r="G8" s="217">
        <v>206973</v>
      </c>
      <c r="H8" s="42">
        <v>210112</v>
      </c>
      <c r="I8" s="42">
        <v>231124</v>
      </c>
      <c r="J8" s="42">
        <f>+K8-SUM(G8:I8)</f>
        <v>234903</v>
      </c>
      <c r="K8" s="42">
        <v>883112</v>
      </c>
      <c r="L8" s="42">
        <f>ROUND('[1]Statements of Income'!$F$7,0)</f>
        <v>239573</v>
      </c>
      <c r="M8" s="42">
        <f>ROUND('[2]Statements of Income'!$F$7,0)</f>
        <v>243509</v>
      </c>
      <c r="N8" s="42">
        <f>ROUND('[3]Statements of Income'!$F$7,0)</f>
        <v>251392</v>
      </c>
      <c r="O8" s="42">
        <f>+P8-SUM(L8:N8)</f>
        <v>256872</v>
      </c>
      <c r="P8" s="42">
        <f>'[4]Statements of Income'!$J$7</f>
        <v>991346</v>
      </c>
      <c r="Q8" s="42">
        <f>'[5]Statements of Income'!$J$7</f>
        <v>245990</v>
      </c>
      <c r="R8" s="42">
        <f>'[6]Statements of Income'!$F$7</f>
        <v>222473</v>
      </c>
      <c r="S8" s="42">
        <f>ROUND('[7]Statements of Income'!$F$7,0)</f>
        <v>241018</v>
      </c>
      <c r="T8" s="42">
        <f>+U8-SUM(Q8:S8)</f>
        <v>248953</v>
      </c>
      <c r="U8" s="42">
        <f>'[8]Statements of Income'!$J$7</f>
        <v>958434</v>
      </c>
      <c r="V8" s="42">
        <f>'[9]Statements of Income'!$J$7</f>
        <v>261415</v>
      </c>
      <c r="W8" s="42">
        <f>'[10]Statements of Income'!$F$7</f>
        <v>275064</v>
      </c>
    </row>
    <row r="9" spans="1:54" s="27" customFormat="1" ht="13" x14ac:dyDescent="0.3">
      <c r="A9" s="60" t="s">
        <v>131</v>
      </c>
      <c r="B9" s="213">
        <v>3.2486433430734429E-2</v>
      </c>
      <c r="C9" s="213">
        <v>3.2912097818426078E-2</v>
      </c>
      <c r="D9" s="213">
        <v>1.7391580317047239E-2</v>
      </c>
      <c r="E9" s="213">
        <v>2.8750422418050814E-2</v>
      </c>
      <c r="F9" s="220" t="s">
        <v>83</v>
      </c>
      <c r="G9" s="213">
        <f>G8/E8-1</f>
        <v>4.5978521794061811E-2</v>
      </c>
      <c r="H9" s="35">
        <f>H8/G8-1</f>
        <v>1.5166229411565757E-2</v>
      </c>
      <c r="I9" s="35">
        <f>I8/H8-1</f>
        <v>0.10000380749314641</v>
      </c>
      <c r="J9" s="35">
        <f>J8/I8-1</f>
        <v>1.6350530451186396E-2</v>
      </c>
      <c r="K9" s="35" t="s">
        <v>83</v>
      </c>
      <c r="L9" s="146">
        <f>L8/J8-1</f>
        <v>1.9880546438317159E-2</v>
      </c>
      <c r="M9" s="146">
        <f>M8/L8-1</f>
        <v>1.642923033897814E-2</v>
      </c>
      <c r="N9" s="146">
        <f>N8/M8-1</f>
        <v>3.2372520112192937E-2</v>
      </c>
      <c r="O9" s="146">
        <f>O8/N8-1</f>
        <v>2.1798625254582538E-2</v>
      </c>
      <c r="P9" s="35" t="s">
        <v>83</v>
      </c>
      <c r="Q9" s="146">
        <f>Q8/O8-1</f>
        <v>-4.2363511787972263E-2</v>
      </c>
      <c r="R9" s="146">
        <f>R8/Q8-1</f>
        <v>-9.5601447213301327E-2</v>
      </c>
      <c r="S9" s="146">
        <f>S8/R8-1</f>
        <v>8.3358430011731821E-2</v>
      </c>
      <c r="T9" s="146">
        <f>T8/S8-1</f>
        <v>3.2922852235102829E-2</v>
      </c>
      <c r="U9" s="358" t="s">
        <v>83</v>
      </c>
      <c r="V9" s="146">
        <f>V8/T8-1</f>
        <v>5.0057641402192488E-2</v>
      </c>
      <c r="W9" s="146">
        <f>W8/V8-1</f>
        <v>5.2212000076506726E-2</v>
      </c>
    </row>
    <row r="10" spans="1:54" s="27" customFormat="1" ht="13" x14ac:dyDescent="0.3">
      <c r="A10" s="60" t="s">
        <v>132</v>
      </c>
      <c r="B10" s="213">
        <v>9.5769774180416212E-2</v>
      </c>
      <c r="C10" s="213">
        <v>0.10898180410375535</v>
      </c>
      <c r="D10" s="213">
        <v>0.12351051401869162</v>
      </c>
      <c r="E10" s="213">
        <v>0.11620993490303144</v>
      </c>
      <c r="F10" s="213">
        <v>0.11125850597969644</v>
      </c>
      <c r="G10" s="213">
        <f t="shared" ref="G10:R10" si="0">G8/B8-1</f>
        <v>0.13079608595171366</v>
      </c>
      <c r="H10" s="34">
        <f t="shared" si="0"/>
        <v>0.11136852906795314</v>
      </c>
      <c r="I10" s="34">
        <f t="shared" si="0"/>
        <v>0.20161168733265744</v>
      </c>
      <c r="J10" s="34">
        <f t="shared" si="0"/>
        <v>0.18712823752368912</v>
      </c>
      <c r="K10" s="34">
        <f t="shared" si="0"/>
        <v>0.15846833965184759</v>
      </c>
      <c r="L10" s="34">
        <f t="shared" si="0"/>
        <v>0.15750846728800383</v>
      </c>
      <c r="M10" s="34">
        <f t="shared" si="0"/>
        <v>0.15894856076759067</v>
      </c>
      <c r="N10" s="34">
        <f t="shared" si="0"/>
        <v>8.7693186341530893E-2</v>
      </c>
      <c r="O10" s="34">
        <f t="shared" si="0"/>
        <v>9.3523709786592857E-2</v>
      </c>
      <c r="P10" s="34">
        <f t="shared" si="0"/>
        <v>0.12255976591870565</v>
      </c>
      <c r="Q10" s="34">
        <f t="shared" si="0"/>
        <v>2.6785155255391935E-2</v>
      </c>
      <c r="R10" s="34">
        <f t="shared" si="0"/>
        <v>-8.6386950790319883E-2</v>
      </c>
      <c r="S10" s="34">
        <f>S8/N8-1</f>
        <v>-4.1266229633401208E-2</v>
      </c>
      <c r="T10" s="34">
        <f>T8/O8-1</f>
        <v>-3.082858388613785E-2</v>
      </c>
      <c r="U10" s="34">
        <f>U8/P8-1</f>
        <v>-3.3199306801056316E-2</v>
      </c>
      <c r="V10" s="34">
        <f t="shared" ref="V10:W10" si="1">V8/Q8-1</f>
        <v>6.2705801048823062E-2</v>
      </c>
      <c r="W10" s="34">
        <f t="shared" si="1"/>
        <v>0.23639273080328849</v>
      </c>
    </row>
    <row r="11" spans="1:54" s="27" customFormat="1" ht="6" customHeight="1" x14ac:dyDescent="0.3">
      <c r="A11" s="60"/>
      <c r="B11" s="213"/>
      <c r="C11" s="234"/>
      <c r="D11" s="234"/>
      <c r="E11" s="234"/>
      <c r="F11" s="234"/>
      <c r="G11" s="234"/>
    </row>
    <row r="12" spans="1:54" ht="13" x14ac:dyDescent="0.3">
      <c r="A12" s="61" t="s">
        <v>92</v>
      </c>
      <c r="B12" s="214">
        <v>-119072</v>
      </c>
      <c r="C12" s="214">
        <v>-123734</v>
      </c>
      <c r="D12" s="214">
        <v>-123077</v>
      </c>
      <c r="E12" s="214">
        <v>-129259</v>
      </c>
      <c r="F12" s="214">
        <v>-495142</v>
      </c>
      <c r="G12" s="214">
        <v>-138101</v>
      </c>
      <c r="H12" s="188">
        <v>-139649</v>
      </c>
      <c r="I12" s="188">
        <v>-152157</v>
      </c>
      <c r="J12" s="188">
        <f>+K12-SUM(G12:I12)</f>
        <v>-154948</v>
      </c>
      <c r="K12" s="188">
        <v>-584855</v>
      </c>
      <c r="L12" s="188">
        <f>-ROUND('[1]Statements of Income'!$F$8,0)</f>
        <v>-157240</v>
      </c>
      <c r="M12" s="188">
        <f>-ROUND('[2]Statements of Income'!$F$8,0)</f>
        <v>-162446</v>
      </c>
      <c r="N12" s="188">
        <f>-ROUND('[3]Statements of Income'!$F$8,0)</f>
        <v>-167542</v>
      </c>
      <c r="O12" s="188">
        <f>+P12-SUM(L12:N12)</f>
        <v>-168262</v>
      </c>
      <c r="P12" s="188">
        <f>-'[4]Statements of Income'!$J$8</f>
        <v>-655490</v>
      </c>
      <c r="Q12" s="188">
        <f>-ROUND('[5]Statements of Income'!$J$8,0)</f>
        <v>-162656</v>
      </c>
      <c r="R12" s="188">
        <f>-ROUND('[6]Statements of Income'!$F$8,0)</f>
        <v>-158401</v>
      </c>
      <c r="S12" s="188">
        <f>-ROUND('[7]Statements of Income'!$F$8,0)</f>
        <v>-152087</v>
      </c>
      <c r="T12" s="188">
        <f>+U12-SUM(Q12:S12)</f>
        <v>-150792</v>
      </c>
      <c r="U12" s="188">
        <f>-'[8]Statements of Income'!$J$8</f>
        <v>-623936</v>
      </c>
      <c r="V12" s="188">
        <f>-'[9]Statements of Income'!$J$8</f>
        <v>-158821</v>
      </c>
      <c r="W12" s="188">
        <f>-'[10]Statements of Income'!$F$8</f>
        <v>-170701</v>
      </c>
      <c r="AL12" s="27"/>
      <c r="AM12" s="27"/>
      <c r="AN12" s="27"/>
      <c r="AO12" s="27"/>
      <c r="AP12" s="27"/>
      <c r="AQ12" s="27"/>
      <c r="AR12" s="27"/>
      <c r="AS12" s="27"/>
      <c r="AT12" s="27"/>
      <c r="AU12" s="27"/>
      <c r="AV12" s="27"/>
      <c r="AW12" s="27"/>
      <c r="AX12" s="27"/>
      <c r="AY12" s="27"/>
      <c r="AZ12" s="27"/>
      <c r="BA12" s="27"/>
      <c r="BB12" s="27"/>
    </row>
    <row r="13" spans="1:54" s="27" customFormat="1" ht="13" x14ac:dyDescent="0.3">
      <c r="A13" s="62" t="s">
        <v>2</v>
      </c>
      <c r="B13" s="216">
        <f t="shared" ref="B13:M13" si="2">B8+B12</f>
        <v>63961</v>
      </c>
      <c r="C13" s="216">
        <f t="shared" si="2"/>
        <v>65323</v>
      </c>
      <c r="D13" s="235">
        <f t="shared" si="2"/>
        <v>69268</v>
      </c>
      <c r="E13" s="235">
        <f t="shared" si="2"/>
        <v>68616</v>
      </c>
      <c r="F13" s="235">
        <f t="shared" si="2"/>
        <v>267168</v>
      </c>
      <c r="G13" s="235">
        <f t="shared" si="2"/>
        <v>68872</v>
      </c>
      <c r="H13" s="145">
        <f t="shared" si="2"/>
        <v>70463</v>
      </c>
      <c r="I13" s="145">
        <f t="shared" si="2"/>
        <v>78967</v>
      </c>
      <c r="J13" s="145">
        <f t="shared" si="2"/>
        <v>79955</v>
      </c>
      <c r="K13" s="145">
        <f t="shared" si="2"/>
        <v>298257</v>
      </c>
      <c r="L13" s="145">
        <f t="shared" si="2"/>
        <v>82333</v>
      </c>
      <c r="M13" s="145">
        <f t="shared" si="2"/>
        <v>81063</v>
      </c>
      <c r="N13" s="145">
        <f t="shared" ref="N13:U13" si="3">N8+N12</f>
        <v>83850</v>
      </c>
      <c r="O13" s="145">
        <f t="shared" si="3"/>
        <v>88610</v>
      </c>
      <c r="P13" s="145">
        <f t="shared" si="3"/>
        <v>335856</v>
      </c>
      <c r="Q13" s="145">
        <f t="shared" si="3"/>
        <v>83334</v>
      </c>
      <c r="R13" s="145">
        <f>R8+R12</f>
        <v>64072</v>
      </c>
      <c r="S13" s="145">
        <f t="shared" si="3"/>
        <v>88931</v>
      </c>
      <c r="T13" s="145">
        <f t="shared" si="3"/>
        <v>98161</v>
      </c>
      <c r="U13" s="145">
        <f t="shared" si="3"/>
        <v>334498</v>
      </c>
      <c r="V13" s="145">
        <f t="shared" ref="V13:W13" si="4">V8+V12</f>
        <v>102594</v>
      </c>
      <c r="W13" s="145">
        <f t="shared" si="4"/>
        <v>104363</v>
      </c>
    </row>
    <row r="14" spans="1:54" ht="13" x14ac:dyDescent="0.3">
      <c r="A14" s="60" t="s">
        <v>67</v>
      </c>
      <c r="B14" s="213">
        <f t="shared" ref="B14:N14" si="5">B13/B8</f>
        <v>0.34945064551201149</v>
      </c>
      <c r="C14" s="213">
        <f t="shared" si="5"/>
        <v>0.34552013413943944</v>
      </c>
      <c r="D14" s="213">
        <f t="shared" si="5"/>
        <v>0.36012373599521691</v>
      </c>
      <c r="E14" s="213">
        <f t="shared" si="5"/>
        <v>0.34676437144662037</v>
      </c>
      <c r="F14" s="213">
        <f t="shared" si="5"/>
        <v>0.35047159292151486</v>
      </c>
      <c r="G14" s="213">
        <f t="shared" si="5"/>
        <v>0.33275837911225137</v>
      </c>
      <c r="H14" s="146">
        <f t="shared" si="5"/>
        <v>0.33535923697837344</v>
      </c>
      <c r="I14" s="146">
        <f t="shared" si="5"/>
        <v>0.34166508021668024</v>
      </c>
      <c r="J14" s="146">
        <f t="shared" si="5"/>
        <v>0.34037453757508418</v>
      </c>
      <c r="K14" s="146">
        <f t="shared" si="5"/>
        <v>0.33773405864714784</v>
      </c>
      <c r="L14" s="146">
        <f t="shared" si="5"/>
        <v>0.34366560505566152</v>
      </c>
      <c r="M14" s="146">
        <f t="shared" si="5"/>
        <v>0.33289529339777996</v>
      </c>
      <c r="N14" s="146">
        <f t="shared" si="5"/>
        <v>0.33354283350305497</v>
      </c>
      <c r="O14" s="146">
        <f t="shared" ref="O14:U14" si="6">O13/O8</f>
        <v>0.34495779999377124</v>
      </c>
      <c r="P14" s="146">
        <f t="shared" si="6"/>
        <v>0.33878787022896145</v>
      </c>
      <c r="Q14" s="146">
        <f t="shared" si="6"/>
        <v>0.33876986869384934</v>
      </c>
      <c r="R14" s="146">
        <f t="shared" si="6"/>
        <v>0.28799899313624577</v>
      </c>
      <c r="S14" s="146">
        <f t="shared" si="6"/>
        <v>0.36898074002771575</v>
      </c>
      <c r="T14" s="146">
        <f t="shared" si="6"/>
        <v>0.39429530875305779</v>
      </c>
      <c r="U14" s="146">
        <f t="shared" si="6"/>
        <v>0.34900473063351256</v>
      </c>
      <c r="V14" s="146">
        <f t="shared" ref="V14:W14" si="7">V13/V8</f>
        <v>0.39245643899546701</v>
      </c>
      <c r="W14" s="146">
        <f t="shared" si="7"/>
        <v>0.37941351830846637</v>
      </c>
      <c r="AL14" s="27"/>
      <c r="AM14" s="27"/>
      <c r="AN14" s="27"/>
      <c r="AO14" s="27"/>
      <c r="AP14" s="27"/>
      <c r="AQ14" s="27"/>
      <c r="AR14" s="27"/>
      <c r="AS14" s="27"/>
      <c r="AT14" s="27"/>
      <c r="AU14" s="27"/>
      <c r="AV14" s="27"/>
      <c r="AW14" s="27"/>
      <c r="AX14" s="27"/>
      <c r="AY14" s="27"/>
      <c r="AZ14" s="27"/>
      <c r="BA14" s="27"/>
      <c r="BB14" s="27"/>
    </row>
    <row r="15" spans="1:54" ht="6" customHeight="1" x14ac:dyDescent="0.3">
      <c r="A15" s="60"/>
      <c r="B15" s="213"/>
      <c r="C15" s="211"/>
      <c r="D15" s="211"/>
      <c r="E15" s="211"/>
      <c r="F15" s="211"/>
      <c r="G15" s="211"/>
      <c r="AL15" s="27"/>
      <c r="AM15" s="27"/>
      <c r="AN15" s="27"/>
      <c r="AO15" s="27"/>
      <c r="AP15" s="27"/>
      <c r="AQ15" s="27"/>
      <c r="AR15" s="27"/>
      <c r="AS15" s="27"/>
      <c r="AT15" s="27"/>
      <c r="AU15" s="27"/>
      <c r="AV15" s="27"/>
      <c r="AW15" s="27"/>
      <c r="AX15" s="27"/>
      <c r="AY15" s="27"/>
      <c r="AZ15" s="27"/>
      <c r="BA15" s="27"/>
      <c r="BB15" s="27"/>
    </row>
    <row r="16" spans="1:54" ht="13" x14ac:dyDescent="0.3">
      <c r="A16" s="62" t="s">
        <v>63</v>
      </c>
      <c r="B16" s="215"/>
      <c r="C16" s="211"/>
      <c r="D16" s="211"/>
      <c r="E16" s="211"/>
      <c r="F16" s="211"/>
      <c r="G16" s="211"/>
      <c r="AL16" s="27"/>
      <c r="AM16" s="27"/>
      <c r="AN16" s="27"/>
      <c r="AO16" s="27"/>
      <c r="AP16" s="27"/>
      <c r="AQ16" s="27"/>
      <c r="AR16" s="27"/>
      <c r="AS16" s="27"/>
      <c r="AT16" s="27"/>
      <c r="AU16" s="27"/>
      <c r="AV16" s="27"/>
      <c r="AW16" s="27"/>
      <c r="AX16" s="27"/>
      <c r="AY16" s="27"/>
      <c r="AZ16" s="27"/>
      <c r="BA16" s="27"/>
      <c r="BB16" s="27"/>
    </row>
    <row r="17" spans="1:54" ht="13" x14ac:dyDescent="0.3">
      <c r="A17" s="61" t="s">
        <v>3</v>
      </c>
      <c r="B17" s="214">
        <v>-24037</v>
      </c>
      <c r="C17" s="214">
        <v>-24425</v>
      </c>
      <c r="D17" s="214">
        <v>-26545</v>
      </c>
      <c r="E17" s="214">
        <f>+F17-SUM(B17,C17,D17)</f>
        <v>-27508</v>
      </c>
      <c r="F17" s="214">
        <v>-102515</v>
      </c>
      <c r="G17" s="214">
        <v>-29266</v>
      </c>
      <c r="H17" s="188">
        <f>-27640</f>
        <v>-27640</v>
      </c>
      <c r="I17" s="188">
        <v>-28704</v>
      </c>
      <c r="J17" s="188">
        <f>+K17-SUM(G17:I17)</f>
        <v>-30592</v>
      </c>
      <c r="K17" s="188">
        <v>-116202</v>
      </c>
      <c r="L17" s="188">
        <f>-ROUND('[1]Statements of Income'!$F$11,0)</f>
        <v>-32531</v>
      </c>
      <c r="M17" s="188">
        <f>-ROUND('[2]Statements of Income'!$F$11,0)</f>
        <v>-31228</v>
      </c>
      <c r="N17" s="188">
        <f>-ROUND('[3]Statements of Income'!$F$11,0)</f>
        <v>-29590</v>
      </c>
      <c r="O17" s="188">
        <f>+P17-SUM(L17:N17)</f>
        <v>-33560</v>
      </c>
      <c r="P17" s="188">
        <f>-'[4]Statements of Income'!$J$11</f>
        <v>-126909</v>
      </c>
      <c r="Q17" s="188">
        <f>-ROUND('[5]Statements of Income'!$J$11,0)</f>
        <v>-28941</v>
      </c>
      <c r="R17" s="188">
        <f>-ROUND('[6]Statements of Income'!$F$11,0)</f>
        <v>-28750</v>
      </c>
      <c r="S17" s="188">
        <f>-ROUND('[7]Statements of Income'!$F$11,0)</f>
        <v>-26810</v>
      </c>
      <c r="T17" s="188">
        <f>+U17-SUM(Q17:S17)</f>
        <v>-29390</v>
      </c>
      <c r="U17" s="188">
        <f>-'[8]Statements of Income'!$J$11</f>
        <v>-113891</v>
      </c>
      <c r="V17" s="188">
        <f>-'[9]Statements of Income'!$J$11</f>
        <v>-30703</v>
      </c>
      <c r="W17" s="188">
        <f>-'[10]Statements of Income'!$F$11</f>
        <v>-36499</v>
      </c>
      <c r="AL17" s="27"/>
      <c r="AM17" s="27"/>
      <c r="AN17" s="27"/>
      <c r="AO17" s="27"/>
      <c r="AP17" s="27"/>
      <c r="AQ17" s="27"/>
      <c r="AR17" s="27"/>
      <c r="AS17" s="27"/>
      <c r="AT17" s="27"/>
      <c r="AU17" s="27"/>
      <c r="AV17" s="27"/>
      <c r="AW17" s="27"/>
      <c r="AX17" s="27"/>
      <c r="AY17" s="27"/>
      <c r="AZ17" s="27"/>
      <c r="BA17" s="27"/>
      <c r="BB17" s="27"/>
    </row>
    <row r="18" spans="1:54" ht="13" x14ac:dyDescent="0.3">
      <c r="A18" s="60" t="s">
        <v>133</v>
      </c>
      <c r="B18" s="213">
        <f t="shared" ref="B18:M18" si="8">-B17/B$8</f>
        <v>0.13132604503013118</v>
      </c>
      <c r="C18" s="213">
        <f t="shared" si="8"/>
        <v>0.12919384101091205</v>
      </c>
      <c r="D18" s="213">
        <f t="shared" si="8"/>
        <v>0.13800722659803999</v>
      </c>
      <c r="E18" s="213">
        <f t="shared" si="8"/>
        <v>0.1390170562223626</v>
      </c>
      <c r="F18" s="213">
        <f t="shared" si="8"/>
        <v>0.13447941126313442</v>
      </c>
      <c r="G18" s="213">
        <f t="shared" si="8"/>
        <v>0.14140008600155576</v>
      </c>
      <c r="H18" s="146">
        <f t="shared" si="8"/>
        <v>0.13154888821200122</v>
      </c>
      <c r="I18" s="146">
        <f t="shared" si="8"/>
        <v>0.12419307384780465</v>
      </c>
      <c r="J18" s="146">
        <f t="shared" si="8"/>
        <v>0.13023247893811488</v>
      </c>
      <c r="K18" s="146">
        <f t="shared" si="8"/>
        <v>0.13158240404388119</v>
      </c>
      <c r="L18" s="146">
        <f t="shared" si="8"/>
        <v>0.13578742178793102</v>
      </c>
      <c r="M18" s="146">
        <f t="shared" si="8"/>
        <v>0.1282416666324448</v>
      </c>
      <c r="N18" s="146">
        <f t="shared" ref="N18:U18" si="9">-N17/N$8</f>
        <v>0.11770462067209776</v>
      </c>
      <c r="O18" s="146">
        <f t="shared" si="9"/>
        <v>0.13064872777102993</v>
      </c>
      <c r="P18" s="146">
        <f t="shared" si="9"/>
        <v>0.12801685788816417</v>
      </c>
      <c r="Q18" s="146">
        <f t="shared" si="9"/>
        <v>0.11765112402943209</v>
      </c>
      <c r="R18" s="146">
        <f>-R17/R$8</f>
        <v>0.12922916488742453</v>
      </c>
      <c r="S18" s="146">
        <f t="shared" si="9"/>
        <v>0.11123650515729115</v>
      </c>
      <c r="T18" s="146">
        <f t="shared" si="9"/>
        <v>0.11805441187694063</v>
      </c>
      <c r="U18" s="146">
        <f t="shared" si="9"/>
        <v>0.11883030026063349</v>
      </c>
      <c r="V18" s="146">
        <f t="shared" ref="V18:W18" si="10">-V17/V$8</f>
        <v>0.11744926649197636</v>
      </c>
      <c r="W18" s="146">
        <f t="shared" si="10"/>
        <v>0.13269275514062182</v>
      </c>
      <c r="AL18" s="27"/>
      <c r="AM18" s="27"/>
      <c r="AN18" s="27"/>
      <c r="AO18" s="27"/>
      <c r="AP18" s="27"/>
      <c r="AQ18" s="27"/>
      <c r="AR18" s="27"/>
      <c r="AS18" s="27"/>
      <c r="AT18" s="27"/>
      <c r="AU18" s="27"/>
      <c r="AV18" s="27"/>
      <c r="AW18" s="27"/>
      <c r="AX18" s="27"/>
      <c r="AY18" s="27"/>
      <c r="AZ18" s="27"/>
      <c r="BA18" s="27"/>
      <c r="BB18" s="27"/>
    </row>
    <row r="19" spans="1:54" ht="6" customHeight="1" x14ac:dyDescent="0.3">
      <c r="A19" s="60"/>
      <c r="B19" s="213"/>
      <c r="C19" s="211"/>
      <c r="D19" s="211"/>
      <c r="E19" s="211"/>
      <c r="F19" s="211"/>
      <c r="G19" s="211"/>
      <c r="AL19" s="27"/>
      <c r="AM19" s="27"/>
      <c r="AN19" s="27"/>
      <c r="AO19" s="27"/>
      <c r="AP19" s="27"/>
      <c r="AQ19" s="27"/>
      <c r="AR19" s="27"/>
      <c r="AS19" s="27"/>
      <c r="AT19" s="27"/>
      <c r="AU19" s="27"/>
      <c r="AV19" s="27"/>
      <c r="AW19" s="27"/>
      <c r="AX19" s="27"/>
      <c r="AY19" s="27"/>
      <c r="AZ19" s="27"/>
      <c r="BA19" s="27"/>
      <c r="BB19" s="27"/>
    </row>
    <row r="20" spans="1:54" ht="13" x14ac:dyDescent="0.3">
      <c r="A20" s="61" t="s">
        <v>4</v>
      </c>
      <c r="B20" s="214">
        <v>-13340</v>
      </c>
      <c r="C20" s="214">
        <v>-13095</v>
      </c>
      <c r="D20" s="214">
        <v>-12196</v>
      </c>
      <c r="E20" s="214">
        <f>+F20-SUM(B20,C20,D20)</f>
        <v>-14748</v>
      </c>
      <c r="F20" s="214">
        <v>-53379</v>
      </c>
      <c r="G20" s="214">
        <v>-13952</v>
      </c>
      <c r="H20" s="188">
        <v>-15151</v>
      </c>
      <c r="I20" s="188">
        <v>-16490</v>
      </c>
      <c r="J20" s="188">
        <f>+K20-SUM(G20:I20)</f>
        <v>-18019</v>
      </c>
      <c r="K20" s="188">
        <v>-63612</v>
      </c>
      <c r="L20" s="188">
        <f>-ROUND('[1]Statements of Income'!$F$12,0)</f>
        <v>-18047</v>
      </c>
      <c r="M20" s="188">
        <f>-ROUND('[2]Statements of Income'!$F$12,0)</f>
        <v>-17647</v>
      </c>
      <c r="N20" s="188">
        <f>-ROUND('[3]Statements of Income'!$F$12,0)</f>
        <v>-18302</v>
      </c>
      <c r="O20" s="188">
        <f>+P20-SUM(L20:N20)</f>
        <v>-17846</v>
      </c>
      <c r="P20" s="188">
        <f>-'[4]Statements of Income'!$J$12</f>
        <v>-71842</v>
      </c>
      <c r="Q20" s="188">
        <f>-ROUND('[5]Statements of Income'!$J$12,0)</f>
        <v>-14456</v>
      </c>
      <c r="R20" s="188">
        <f>-ROUND('[6]Statements of Income'!$F$12,0)</f>
        <v>-13051</v>
      </c>
      <c r="S20" s="188">
        <f>-ROUND('[7]Statements of Income'!$F$12,0)</f>
        <v>-15290</v>
      </c>
      <c r="T20" s="188">
        <f>+U20-SUM(Q20:S20)</f>
        <v>-17326</v>
      </c>
      <c r="U20" s="188">
        <f>-'[8]Statements of Income'!$J$12</f>
        <v>-60123</v>
      </c>
      <c r="V20" s="188">
        <f>-'[9]Statements of Income'!$J$12</f>
        <v>-18235</v>
      </c>
      <c r="W20" s="188">
        <f>-'[10]Statements of Income'!$F$12</f>
        <v>-19724</v>
      </c>
      <c r="AL20" s="27"/>
      <c r="AM20" s="27"/>
      <c r="AN20" s="27"/>
      <c r="AO20" s="27"/>
      <c r="AP20" s="27"/>
      <c r="AQ20" s="27"/>
      <c r="AR20" s="27"/>
      <c r="AS20" s="27"/>
      <c r="AT20" s="27"/>
      <c r="AU20" s="27"/>
      <c r="AV20" s="27"/>
      <c r="AW20" s="27"/>
      <c r="AX20" s="27"/>
      <c r="AY20" s="27"/>
      <c r="AZ20" s="27"/>
      <c r="BA20" s="27"/>
      <c r="BB20" s="27"/>
    </row>
    <row r="21" spans="1:54" ht="13" x14ac:dyDescent="0.3">
      <c r="A21" s="60" t="s">
        <v>133</v>
      </c>
      <c r="B21" s="213">
        <f t="shared" ref="B21:M21" si="11">-B20/B$8</f>
        <v>7.2883032021548028E-2</v>
      </c>
      <c r="C21" s="213">
        <f t="shared" si="11"/>
        <v>6.9264824894079563E-2</v>
      </c>
      <c r="D21" s="213">
        <f t="shared" si="11"/>
        <v>6.3406899061582048E-2</v>
      </c>
      <c r="E21" s="213">
        <f t="shared" si="11"/>
        <v>7.4531901452937463E-2</v>
      </c>
      <c r="F21" s="213">
        <f t="shared" si="11"/>
        <v>7.002269417953326E-2</v>
      </c>
      <c r="G21" s="213">
        <f t="shared" si="11"/>
        <v>6.7409758760804545E-2</v>
      </c>
      <c r="H21" s="146">
        <f t="shared" si="11"/>
        <v>7.2109160828510502E-2</v>
      </c>
      <c r="I21" s="146">
        <f t="shared" si="11"/>
        <v>7.1346982572125781E-2</v>
      </c>
      <c r="J21" s="146">
        <f t="shared" si="11"/>
        <v>7.6708258302363108E-2</v>
      </c>
      <c r="K21" s="146">
        <f t="shared" si="11"/>
        <v>7.2031633586679827E-2</v>
      </c>
      <c r="L21" s="146">
        <f t="shared" si="11"/>
        <v>7.5329857705167105E-2</v>
      </c>
      <c r="M21" s="146">
        <f t="shared" si="11"/>
        <v>7.246960071290999E-2</v>
      </c>
      <c r="N21" s="146">
        <f t="shared" ref="N21:U21" si="12">-N20/N$8</f>
        <v>7.28026349287169E-2</v>
      </c>
      <c r="O21" s="146">
        <f t="shared" si="12"/>
        <v>6.9474290697312285E-2</v>
      </c>
      <c r="P21" s="146">
        <f t="shared" si="12"/>
        <v>7.2469148006851294E-2</v>
      </c>
      <c r="Q21" s="146">
        <f t="shared" si="12"/>
        <v>5.8766616529127201E-2</v>
      </c>
      <c r="R21" s="146">
        <f>-R20/R$8</f>
        <v>5.8663298467679224E-2</v>
      </c>
      <c r="S21" s="146">
        <f t="shared" si="12"/>
        <v>6.3439245201603198E-2</v>
      </c>
      <c r="T21" s="146">
        <f t="shared" si="12"/>
        <v>6.9595465810815701E-2</v>
      </c>
      <c r="U21" s="146">
        <f t="shared" si="12"/>
        <v>6.2730454053174234E-2</v>
      </c>
      <c r="V21" s="146">
        <f t="shared" ref="V21:W21" si="13">-V20/V$8</f>
        <v>6.9754987280760475E-2</v>
      </c>
      <c r="W21" s="146">
        <f t="shared" si="13"/>
        <v>7.1706948201145912E-2</v>
      </c>
      <c r="AL21" s="27"/>
      <c r="AM21" s="27"/>
      <c r="AN21" s="27"/>
      <c r="AO21" s="27"/>
      <c r="AP21" s="27"/>
      <c r="AQ21" s="27"/>
      <c r="AR21" s="27"/>
      <c r="AS21" s="27"/>
      <c r="AT21" s="27"/>
      <c r="AU21" s="27"/>
      <c r="AV21" s="27"/>
      <c r="AW21" s="27"/>
      <c r="AX21" s="27"/>
      <c r="AY21" s="27"/>
      <c r="AZ21" s="27"/>
      <c r="BA21" s="27"/>
      <c r="BB21" s="27"/>
    </row>
    <row r="22" spans="1:54" ht="6" customHeight="1" x14ac:dyDescent="0.3">
      <c r="A22" s="60"/>
      <c r="B22" s="213"/>
      <c r="C22" s="211"/>
      <c r="D22" s="211"/>
      <c r="E22" s="211"/>
      <c r="F22" s="211"/>
      <c r="G22" s="211"/>
      <c r="AL22" s="27"/>
      <c r="AM22" s="27"/>
      <c r="AN22" s="27"/>
      <c r="AO22" s="27"/>
      <c r="AP22" s="27"/>
      <c r="AQ22" s="27"/>
      <c r="AR22" s="27"/>
      <c r="AS22" s="27"/>
      <c r="AT22" s="27"/>
      <c r="AU22" s="27"/>
      <c r="AV22" s="27"/>
      <c r="AW22" s="27"/>
      <c r="AX22" s="27"/>
      <c r="AY22" s="27"/>
      <c r="AZ22" s="27"/>
      <c r="BA22" s="27"/>
      <c r="BB22" s="27"/>
    </row>
    <row r="23" spans="1:54" ht="13" x14ac:dyDescent="0.3">
      <c r="A23" s="61" t="s">
        <v>222</v>
      </c>
      <c r="B23" s="214">
        <v>-9372</v>
      </c>
      <c r="C23" s="214">
        <v>-9535</v>
      </c>
      <c r="D23" s="214">
        <v>-9582</v>
      </c>
      <c r="E23" s="214">
        <f>+F23-SUM(B23,C23,D23)</f>
        <v>-10060</v>
      </c>
      <c r="F23" s="214">
        <v>-38549</v>
      </c>
      <c r="G23" s="214">
        <v>-10504</v>
      </c>
      <c r="H23" s="86">
        <v>-10582</v>
      </c>
      <c r="I23" s="86">
        <v>-14099</v>
      </c>
      <c r="J23" s="188">
        <f>+K23-SUM(G23:I23)</f>
        <v>-13381</v>
      </c>
      <c r="K23" s="28">
        <v>-48566</v>
      </c>
      <c r="L23" s="28">
        <f>-ROUND('[1]Statements of Income'!$F$13,0)</f>
        <v>-13667</v>
      </c>
      <c r="M23" s="28">
        <f>-ROUND('[2]Statements of Income'!$F$13,0)</f>
        <v>-12752</v>
      </c>
      <c r="N23" s="28">
        <f>-ROUND('[3]Statements of Income'!$F$13,0)</f>
        <v>-13047</v>
      </c>
      <c r="O23" s="188">
        <f>+P23-SUM(L23:N23)</f>
        <v>-12515</v>
      </c>
      <c r="P23" s="28">
        <f>-'[4]Statements of Income'!$J$13</f>
        <v>-51981</v>
      </c>
      <c r="Q23" s="28">
        <f>-ROUND('[5]Statements of Income'!$J$13,0)</f>
        <v>-12450</v>
      </c>
      <c r="R23" s="28">
        <f>-ROUND('[6]Statements of Income'!$F$13,0)</f>
        <v>-12405</v>
      </c>
      <c r="S23" s="28">
        <f>-ROUND('[7]Statements of Income'!$F$13,0)</f>
        <v>-12425</v>
      </c>
      <c r="T23" s="28">
        <f>+U23-SUM(Q23:S23)</f>
        <v>-13182</v>
      </c>
      <c r="U23" s="28">
        <f>-'[8]Statements of Income'!$J$13</f>
        <v>-50462</v>
      </c>
      <c r="V23" s="28">
        <f>-'[9]Statements of Income'!$J$13</f>
        <v>-12101</v>
      </c>
      <c r="W23" s="28">
        <f>-'[10]Statements of Income'!$F$13</f>
        <v>-12310</v>
      </c>
      <c r="AL23" s="27"/>
      <c r="AM23" s="27"/>
      <c r="AN23" s="27"/>
      <c r="AO23" s="27"/>
      <c r="AP23" s="27"/>
      <c r="AQ23" s="27"/>
      <c r="AR23" s="27"/>
      <c r="AS23" s="27"/>
      <c r="AT23" s="27"/>
      <c r="AU23" s="27"/>
      <c r="AV23" s="27"/>
      <c r="AW23" s="27"/>
      <c r="AX23" s="27"/>
      <c r="AY23" s="27"/>
      <c r="AZ23" s="27"/>
      <c r="BA23" s="27"/>
      <c r="BB23" s="27"/>
    </row>
    <row r="24" spans="1:54" ht="13" x14ac:dyDescent="0.3">
      <c r="A24" s="60" t="s">
        <v>133</v>
      </c>
      <c r="B24" s="213">
        <f t="shared" ref="B24:M24" si="14">-B23/B$8</f>
        <v>5.120388126731245E-2</v>
      </c>
      <c r="C24" s="213">
        <f t="shared" si="14"/>
        <v>5.0434525037422573E-2</v>
      </c>
      <c r="D24" s="213">
        <f t="shared" si="14"/>
        <v>4.9816735553302662E-2</v>
      </c>
      <c r="E24" s="213">
        <f t="shared" si="14"/>
        <v>5.0840176879343023E-2</v>
      </c>
      <c r="F24" s="213">
        <f t="shared" si="14"/>
        <v>5.0568666290616682E-2</v>
      </c>
      <c r="G24" s="213">
        <f t="shared" si="14"/>
        <v>5.0750580993656175E-2</v>
      </c>
      <c r="H24" s="34">
        <f t="shared" si="14"/>
        <v>5.0363615595491927E-2</v>
      </c>
      <c r="I24" s="34">
        <f t="shared" si="14"/>
        <v>6.1001886433256609E-2</v>
      </c>
      <c r="J24" s="34">
        <f t="shared" si="14"/>
        <v>5.6963938306449899E-2</v>
      </c>
      <c r="K24" s="34">
        <f t="shared" si="14"/>
        <v>5.4994157026515327E-2</v>
      </c>
      <c r="L24" s="34">
        <f t="shared" si="14"/>
        <v>5.7047330041365266E-2</v>
      </c>
      <c r="M24" s="34">
        <f t="shared" si="14"/>
        <v>5.2367674295405918E-2</v>
      </c>
      <c r="N24" s="34">
        <f t="shared" ref="N24:U24" si="15">-N23/N$8</f>
        <v>5.1899026221995929E-2</v>
      </c>
      <c r="O24" s="34">
        <f t="shared" si="15"/>
        <v>4.8720763648821205E-2</v>
      </c>
      <c r="P24" s="34">
        <f t="shared" si="15"/>
        <v>5.243477050394111E-2</v>
      </c>
      <c r="Q24" s="34">
        <f t="shared" si="15"/>
        <v>5.0611813488353183E-2</v>
      </c>
      <c r="R24" s="34">
        <f>-R23/R$8</f>
        <v>5.5759575319252221E-2</v>
      </c>
      <c r="S24" s="34">
        <f t="shared" si="15"/>
        <v>5.1552166228248514E-2</v>
      </c>
      <c r="T24" s="34">
        <f t="shared" si="15"/>
        <v>5.2949753567942542E-2</v>
      </c>
      <c r="U24" s="34">
        <f t="shared" si="15"/>
        <v>5.2650469411560943E-2</v>
      </c>
      <c r="V24" s="34">
        <f t="shared" ref="V24:W24" si="16">-V23/V$8</f>
        <v>4.6290381194652182E-2</v>
      </c>
      <c r="W24" s="34">
        <f t="shared" si="16"/>
        <v>4.475322106855132E-2</v>
      </c>
      <c r="AL24" s="27"/>
      <c r="AM24" s="27"/>
      <c r="AN24" s="27"/>
      <c r="AO24" s="27"/>
      <c r="AP24" s="27"/>
      <c r="AQ24" s="27"/>
      <c r="AR24" s="27"/>
      <c r="AS24" s="27"/>
      <c r="AT24" s="27"/>
      <c r="AU24" s="27"/>
      <c r="AV24" s="27"/>
      <c r="AW24" s="27"/>
      <c r="AX24" s="27"/>
      <c r="AY24" s="27"/>
      <c r="AZ24" s="27"/>
      <c r="BA24" s="27"/>
      <c r="BB24" s="27"/>
    </row>
    <row r="25" spans="1:54" ht="6" customHeight="1" x14ac:dyDescent="0.3">
      <c r="A25" s="60"/>
      <c r="B25" s="213"/>
      <c r="C25" s="211"/>
      <c r="D25" s="211"/>
      <c r="E25" s="211"/>
      <c r="F25" s="211"/>
      <c r="G25" s="211"/>
      <c r="AL25" s="27"/>
      <c r="AM25" s="27"/>
      <c r="AN25" s="27"/>
      <c r="AO25" s="27"/>
      <c r="AP25" s="27"/>
      <c r="AQ25" s="27"/>
      <c r="AR25" s="27"/>
      <c r="AS25" s="27"/>
      <c r="AT25" s="27"/>
      <c r="AU25" s="27"/>
      <c r="AV25" s="27"/>
      <c r="AW25" s="27"/>
      <c r="AX25" s="27"/>
      <c r="AY25" s="27"/>
      <c r="AZ25" s="27"/>
      <c r="BA25" s="27"/>
      <c r="BB25" s="27"/>
    </row>
    <row r="26" spans="1:54" ht="13" x14ac:dyDescent="0.3">
      <c r="A26" s="61" t="s">
        <v>215</v>
      </c>
      <c r="B26" s="295">
        <v>0</v>
      </c>
      <c r="C26" s="295">
        <v>0</v>
      </c>
      <c r="D26" s="295">
        <v>0</v>
      </c>
      <c r="E26" s="295">
        <v>0</v>
      </c>
      <c r="F26" s="295">
        <v>0</v>
      </c>
      <c r="G26" s="295">
        <v>0</v>
      </c>
      <c r="H26" s="293">
        <v>0</v>
      </c>
      <c r="I26" s="33">
        <v>0</v>
      </c>
      <c r="J26" s="188">
        <f>+K26-SUM(G26:I26)</f>
        <v>-20056</v>
      </c>
      <c r="K26" s="28">
        <v>-20056</v>
      </c>
      <c r="L26" s="28">
        <f>-'[1]Statements of Income'!$F$14</f>
        <v>-1227</v>
      </c>
      <c r="M26" s="28">
        <f>-ROUND('[2]Statements of Income'!$F$14,0)</f>
        <v>-5580</v>
      </c>
      <c r="N26" s="294">
        <f>-ROUND('[3]Statements of Income'!$F$14,0)</f>
        <v>-489</v>
      </c>
      <c r="O26" s="188">
        <f>+P26-SUM(L26:N26)</f>
        <v>-1375</v>
      </c>
      <c r="P26" s="28">
        <f>-'[4]Statements of Income'!$J$14</f>
        <v>-8671</v>
      </c>
      <c r="Q26" s="28">
        <f>-ROUND('[5]Statements of Income'!$J$14,0)</f>
        <v>0</v>
      </c>
      <c r="R26" s="28">
        <f>-ROUND('[6]Statements of Income'!$F$14,0)</f>
        <v>0</v>
      </c>
      <c r="S26" s="28">
        <f>-ROUND('[7]Statements of Income'!$F$14,0)</f>
        <v>0</v>
      </c>
      <c r="T26" s="28">
        <f>+U26-SUM(Q26:S26)</f>
        <v>0</v>
      </c>
      <c r="U26" s="28">
        <f>-'[8]Statements of Income'!$J$14</f>
        <v>0</v>
      </c>
      <c r="V26" s="28">
        <f>-'[9]Statements of Income'!$J$14</f>
        <v>0</v>
      </c>
      <c r="W26" s="28">
        <f>-'[10]Statements of Income'!$F$14</f>
        <v>0</v>
      </c>
      <c r="AL26" s="27"/>
      <c r="AM26" s="27"/>
      <c r="AN26" s="27"/>
      <c r="AO26" s="27"/>
      <c r="AP26" s="27"/>
      <c r="AQ26" s="27"/>
      <c r="AR26" s="27"/>
      <c r="AS26" s="27"/>
      <c r="AT26" s="27"/>
      <c r="AU26" s="27"/>
      <c r="AV26" s="27"/>
      <c r="AW26" s="27"/>
      <c r="AX26" s="27"/>
      <c r="AY26" s="27"/>
      <c r="AZ26" s="27"/>
      <c r="BA26" s="27"/>
      <c r="BB26" s="27"/>
    </row>
    <row r="27" spans="1:54" ht="13" x14ac:dyDescent="0.3">
      <c r="A27" s="60" t="s">
        <v>133</v>
      </c>
      <c r="B27" s="213">
        <v>0</v>
      </c>
      <c r="C27" s="213">
        <v>0</v>
      </c>
      <c r="D27" s="213">
        <v>0</v>
      </c>
      <c r="E27" s="213">
        <v>0</v>
      </c>
      <c r="F27" s="213">
        <v>0</v>
      </c>
      <c r="G27" s="213">
        <v>0</v>
      </c>
      <c r="H27" s="34">
        <v>0</v>
      </c>
      <c r="I27" s="34">
        <v>0</v>
      </c>
      <c r="J27" s="34">
        <f>-J26/J$8</f>
        <v>8.5379922776635461E-2</v>
      </c>
      <c r="K27" s="34">
        <f>-K26/K$8</f>
        <v>2.2710596164472911E-2</v>
      </c>
      <c r="L27" s="34">
        <f>-L26/L$8</f>
        <v>5.1216122017088738E-3</v>
      </c>
      <c r="M27" s="34">
        <f>-M26/M$8</f>
        <v>2.2914964128635903E-2</v>
      </c>
      <c r="N27" s="34">
        <f t="shared" ref="N27:U27" si="17">-N26/N$8</f>
        <v>1.9451692973523422E-3</v>
      </c>
      <c r="O27" s="34">
        <f t="shared" si="17"/>
        <v>5.3528605686879067E-3</v>
      </c>
      <c r="P27" s="34">
        <f t="shared" si="17"/>
        <v>8.7466938889146674E-3</v>
      </c>
      <c r="Q27" s="34">
        <f t="shared" si="17"/>
        <v>0</v>
      </c>
      <c r="R27" s="34">
        <f>-R26/R$8</f>
        <v>0</v>
      </c>
      <c r="S27" s="34">
        <f t="shared" si="17"/>
        <v>0</v>
      </c>
      <c r="T27" s="34">
        <f t="shared" si="17"/>
        <v>0</v>
      </c>
      <c r="U27" s="34">
        <f t="shared" si="17"/>
        <v>0</v>
      </c>
      <c r="V27" s="34">
        <f t="shared" ref="V27:W27" si="18">-V26/V$8</f>
        <v>0</v>
      </c>
      <c r="W27" s="34">
        <f t="shared" si="18"/>
        <v>0</v>
      </c>
      <c r="AL27" s="27"/>
      <c r="AM27" s="27"/>
      <c r="AN27" s="27"/>
      <c r="AO27" s="27"/>
      <c r="AP27" s="27"/>
      <c r="AQ27" s="27"/>
      <c r="AR27" s="27"/>
      <c r="AS27" s="27"/>
      <c r="AT27" s="27"/>
      <c r="AU27" s="27"/>
      <c r="AV27" s="27"/>
      <c r="AW27" s="27"/>
      <c r="AX27" s="27"/>
      <c r="AY27" s="27"/>
      <c r="AZ27" s="27"/>
      <c r="BA27" s="27"/>
      <c r="BB27" s="27"/>
    </row>
    <row r="28" spans="1:54" ht="6" customHeight="1" x14ac:dyDescent="0.3">
      <c r="A28" s="60"/>
      <c r="B28" s="213"/>
      <c r="C28" s="211"/>
      <c r="D28" s="211"/>
      <c r="E28" s="211"/>
      <c r="F28" s="211"/>
      <c r="G28" s="211"/>
      <c r="AL28" s="27"/>
      <c r="AM28" s="27"/>
      <c r="AN28" s="27"/>
      <c r="AO28" s="27"/>
      <c r="AP28" s="27"/>
      <c r="AQ28" s="27"/>
      <c r="AR28" s="27"/>
      <c r="AS28" s="27"/>
      <c r="AT28" s="27"/>
      <c r="AU28" s="27"/>
      <c r="AV28" s="27"/>
      <c r="AW28" s="27"/>
      <c r="AX28" s="27"/>
      <c r="AY28" s="27"/>
      <c r="AZ28" s="27"/>
      <c r="BA28" s="27"/>
      <c r="BB28" s="27"/>
    </row>
    <row r="29" spans="1:54" s="27" customFormat="1" ht="13" x14ac:dyDescent="0.3">
      <c r="A29" s="62" t="s">
        <v>6</v>
      </c>
      <c r="B29" s="216">
        <f t="shared" ref="B29:J29" si="19">B17+B20+B23+B26</f>
        <v>-46749</v>
      </c>
      <c r="C29" s="216">
        <f t="shared" si="19"/>
        <v>-47055</v>
      </c>
      <c r="D29" s="216">
        <f t="shared" si="19"/>
        <v>-48323</v>
      </c>
      <c r="E29" s="216">
        <f t="shared" si="19"/>
        <v>-52316</v>
      </c>
      <c r="F29" s="216">
        <f t="shared" si="19"/>
        <v>-194443</v>
      </c>
      <c r="G29" s="216">
        <f t="shared" si="19"/>
        <v>-53722</v>
      </c>
      <c r="H29" s="26">
        <f t="shared" si="19"/>
        <v>-53373</v>
      </c>
      <c r="I29" s="26">
        <f t="shared" si="19"/>
        <v>-59293</v>
      </c>
      <c r="J29" s="26">
        <f t="shared" si="19"/>
        <v>-82048</v>
      </c>
      <c r="K29" s="26">
        <f t="shared" ref="K29:U29" si="20">K17+K20+K23+K26</f>
        <v>-248436</v>
      </c>
      <c r="L29" s="26">
        <f t="shared" si="20"/>
        <v>-65472</v>
      </c>
      <c r="M29" s="26">
        <f t="shared" si="20"/>
        <v>-67207</v>
      </c>
      <c r="N29" s="26">
        <f t="shared" si="20"/>
        <v>-61428</v>
      </c>
      <c r="O29" s="26">
        <f t="shared" si="20"/>
        <v>-65296</v>
      </c>
      <c r="P29" s="26">
        <f t="shared" si="20"/>
        <v>-259403</v>
      </c>
      <c r="Q29" s="26">
        <f t="shared" si="20"/>
        <v>-55847</v>
      </c>
      <c r="R29" s="26">
        <f>R17+R20+R23+R26</f>
        <v>-54206</v>
      </c>
      <c r="S29" s="26">
        <f t="shared" si="20"/>
        <v>-54525</v>
      </c>
      <c r="T29" s="26">
        <f t="shared" si="20"/>
        <v>-59898</v>
      </c>
      <c r="U29" s="26">
        <f t="shared" si="20"/>
        <v>-224476</v>
      </c>
      <c r="V29" s="26">
        <f t="shared" ref="V29:W29" si="21">V17+V20+V23+V26</f>
        <v>-61039</v>
      </c>
      <c r="W29" s="26">
        <f t="shared" si="21"/>
        <v>-68533</v>
      </c>
    </row>
    <row r="30" spans="1:54" ht="6" customHeight="1" x14ac:dyDescent="0.3">
      <c r="A30" s="60"/>
      <c r="B30" s="214"/>
      <c r="C30" s="211"/>
      <c r="D30" s="211"/>
      <c r="E30" s="211"/>
      <c r="F30" s="211"/>
      <c r="G30" s="211"/>
      <c r="AL30" s="27"/>
      <c r="AM30" s="27"/>
      <c r="AN30" s="27"/>
      <c r="AO30" s="27"/>
      <c r="AP30" s="27"/>
      <c r="AQ30" s="27"/>
      <c r="AR30" s="27"/>
      <c r="AS30" s="27"/>
      <c r="AT30" s="27"/>
      <c r="AU30" s="27"/>
      <c r="AV30" s="27"/>
      <c r="AW30" s="27"/>
      <c r="AX30" s="27"/>
      <c r="AY30" s="27"/>
      <c r="AZ30" s="27"/>
      <c r="BA30" s="27"/>
      <c r="BB30" s="27"/>
    </row>
    <row r="31" spans="1:54" s="27" customFormat="1" ht="13" x14ac:dyDescent="0.3">
      <c r="A31" s="59" t="s">
        <v>94</v>
      </c>
      <c r="B31" s="212">
        <f t="shared" ref="B31:K31" si="22">B13+B29</f>
        <v>17212</v>
      </c>
      <c r="C31" s="217">
        <f t="shared" si="22"/>
        <v>18268</v>
      </c>
      <c r="D31" s="217">
        <f t="shared" si="22"/>
        <v>20945</v>
      </c>
      <c r="E31" s="212">
        <f t="shared" si="22"/>
        <v>16300</v>
      </c>
      <c r="F31" s="217">
        <f t="shared" si="22"/>
        <v>72725</v>
      </c>
      <c r="G31" s="217">
        <f t="shared" si="22"/>
        <v>15150</v>
      </c>
      <c r="H31" s="42">
        <f t="shared" si="22"/>
        <v>17090</v>
      </c>
      <c r="I31" s="42">
        <f t="shared" si="22"/>
        <v>19674</v>
      </c>
      <c r="J31" s="42">
        <f t="shared" si="22"/>
        <v>-2093</v>
      </c>
      <c r="K31" s="42">
        <f t="shared" si="22"/>
        <v>49821</v>
      </c>
      <c r="L31" s="42">
        <f>L13+L29</f>
        <v>16861</v>
      </c>
      <c r="M31" s="42">
        <f>M13+M29</f>
        <v>13856</v>
      </c>
      <c r="N31" s="42">
        <f t="shared" ref="N31:U31" si="23">N13+N29</f>
        <v>22422</v>
      </c>
      <c r="O31" s="42">
        <f t="shared" si="23"/>
        <v>23314</v>
      </c>
      <c r="P31" s="42">
        <f t="shared" si="23"/>
        <v>76453</v>
      </c>
      <c r="Q31" s="42">
        <f t="shared" si="23"/>
        <v>27487</v>
      </c>
      <c r="R31" s="42">
        <f>R13+R29</f>
        <v>9866</v>
      </c>
      <c r="S31" s="42">
        <f t="shared" si="23"/>
        <v>34406</v>
      </c>
      <c r="T31" s="42">
        <f t="shared" si="23"/>
        <v>38263</v>
      </c>
      <c r="U31" s="42">
        <f t="shared" si="23"/>
        <v>110022</v>
      </c>
      <c r="V31" s="42">
        <f t="shared" ref="V31:W31" si="24">V13+V29</f>
        <v>41555</v>
      </c>
      <c r="W31" s="42">
        <f t="shared" si="24"/>
        <v>35830</v>
      </c>
    </row>
    <row r="32" spans="1:54" s="27" customFormat="1" ht="13" x14ac:dyDescent="0.3">
      <c r="A32" s="60" t="s">
        <v>131</v>
      </c>
      <c r="B32" s="213">
        <v>0.21425044091710754</v>
      </c>
      <c r="C32" s="213">
        <v>6.1352544736230641E-2</v>
      </c>
      <c r="D32" s="213">
        <v>0.1465403985110576</v>
      </c>
      <c r="E32" s="213">
        <v>-0.22177130580090709</v>
      </c>
      <c r="F32" s="213">
        <v>8.6262998260498103E-2</v>
      </c>
      <c r="G32" s="213">
        <f>G31/E31-1</f>
        <v>-7.055214723926384E-2</v>
      </c>
      <c r="H32" s="34">
        <f>H31/G31-1</f>
        <v>0.12805280528052809</v>
      </c>
      <c r="I32" s="34">
        <f>I31/H31-1</f>
        <v>0.15119953188999413</v>
      </c>
      <c r="J32" s="34">
        <f>J31/I31-1</f>
        <v>-1.1063840601809494</v>
      </c>
      <c r="K32" s="34">
        <f>K31/F31-1</f>
        <v>-0.31493984187005841</v>
      </c>
      <c r="L32" s="34">
        <f>L31/J31-1</f>
        <v>-9.0559006211180133</v>
      </c>
      <c r="M32" s="34">
        <f>M31/L31-1</f>
        <v>-0.17822193226973493</v>
      </c>
      <c r="N32" s="34">
        <f>N31/M31-1</f>
        <v>0.61821593533487307</v>
      </c>
      <c r="O32" s="34">
        <f>O31/N31-1</f>
        <v>3.9782356614039838E-2</v>
      </c>
      <c r="P32" s="34">
        <f>P31/K31-1</f>
        <v>0.53455370225406962</v>
      </c>
      <c r="Q32" s="34">
        <f>Q31/O31-1</f>
        <v>0.17899116410740334</v>
      </c>
      <c r="R32" s="34">
        <f>R31/Q31-1</f>
        <v>-0.64106668606977846</v>
      </c>
      <c r="S32" s="34">
        <f>S31/R31-1</f>
        <v>2.4873302250152038</v>
      </c>
      <c r="T32" s="34">
        <f>T31/S31-1</f>
        <v>0.11210254025460675</v>
      </c>
      <c r="U32" s="34">
        <f>U31/P31-1</f>
        <v>0.43908021921965124</v>
      </c>
      <c r="V32" s="34">
        <f>V31/T31-1</f>
        <v>8.6036118443404863E-2</v>
      </c>
      <c r="W32" s="34">
        <f>W31/V31-1</f>
        <v>-0.13776922151365656</v>
      </c>
    </row>
    <row r="33" spans="1:54" ht="13" x14ac:dyDescent="0.3">
      <c r="A33" s="60" t="s">
        <v>68</v>
      </c>
      <c r="B33" s="213">
        <v>9.4037687193019831E-2</v>
      </c>
      <c r="C33" s="213">
        <v>9.6626943197025236E-2</v>
      </c>
      <c r="D33" s="213">
        <v>0.10889287478229223</v>
      </c>
      <c r="E33" s="213">
        <v>8.237523689197726E-2</v>
      </c>
      <c r="F33" s="213">
        <v>9.5400821188230511E-2</v>
      </c>
      <c r="G33" s="213">
        <v>7.3197953356234871E-2</v>
      </c>
      <c r="H33" s="34">
        <f t="shared" ref="H33:U33" si="25">IF(H31/H8&lt;0, "NM",H31/H8)</f>
        <v>8.1337572342369782E-2</v>
      </c>
      <c r="I33" s="34">
        <f t="shared" si="25"/>
        <v>8.5123137363493195E-2</v>
      </c>
      <c r="J33" s="35" t="str">
        <f t="shared" si="25"/>
        <v>NM</v>
      </c>
      <c r="K33" s="34">
        <f t="shared" si="25"/>
        <v>5.6415267825598567E-2</v>
      </c>
      <c r="L33" s="34">
        <f t="shared" si="25"/>
        <v>7.0379383319489258E-2</v>
      </c>
      <c r="M33" s="34">
        <f t="shared" si="25"/>
        <v>5.6901387628383343E-2</v>
      </c>
      <c r="N33" s="34">
        <f t="shared" si="25"/>
        <v>8.9191382382892051E-2</v>
      </c>
      <c r="O33" s="34">
        <f t="shared" si="25"/>
        <v>9.0761157307919893E-2</v>
      </c>
      <c r="P33" s="34">
        <f t="shared" si="25"/>
        <v>7.7120399941090198E-2</v>
      </c>
      <c r="Q33" s="34">
        <f t="shared" si="25"/>
        <v>0.11174031464693687</v>
      </c>
      <c r="R33" s="34">
        <f t="shared" si="25"/>
        <v>4.4346954461889757E-2</v>
      </c>
      <c r="S33" s="34">
        <f t="shared" si="25"/>
        <v>0.14275282344057291</v>
      </c>
      <c r="T33" s="34">
        <f t="shared" si="25"/>
        <v>0.15369567749735893</v>
      </c>
      <c r="U33" s="34">
        <f t="shared" si="25"/>
        <v>0.11479350690814391</v>
      </c>
      <c r="V33" s="34">
        <f t="shared" ref="V33" si="26">IF(V31/V8&lt;0, "NM",V31/V8)</f>
        <v>0.15896180402807797</v>
      </c>
      <c r="W33" s="34">
        <f>IF(W31/W8&lt;0, "NM",W31/W8)</f>
        <v>0.13026059389814734</v>
      </c>
      <c r="AL33" s="27"/>
      <c r="AM33" s="27"/>
      <c r="AN33" s="27"/>
      <c r="AO33" s="27"/>
      <c r="AP33" s="27"/>
      <c r="AQ33" s="27"/>
      <c r="AR33" s="27"/>
      <c r="AS33" s="27"/>
      <c r="AT33" s="27"/>
      <c r="AU33" s="27"/>
      <c r="AV33" s="27"/>
      <c r="AW33" s="27"/>
      <c r="AX33" s="27"/>
      <c r="AY33" s="27"/>
      <c r="AZ33" s="27"/>
      <c r="BA33" s="27"/>
      <c r="BB33" s="27"/>
    </row>
    <row r="34" spans="1:54" s="31" customFormat="1" ht="13" x14ac:dyDescent="0.3">
      <c r="A34" s="64" t="s">
        <v>7</v>
      </c>
      <c r="B34" s="215"/>
      <c r="C34" s="211"/>
      <c r="D34" s="236"/>
      <c r="E34" s="236"/>
      <c r="F34" s="236"/>
      <c r="G34" s="236"/>
      <c r="AL34" s="27"/>
      <c r="AM34" s="27"/>
      <c r="AN34" s="27"/>
      <c r="AO34" s="27"/>
      <c r="AP34" s="27"/>
      <c r="AQ34" s="27"/>
      <c r="AR34" s="27"/>
      <c r="AS34" s="27"/>
      <c r="AT34" s="27"/>
      <c r="AU34" s="27"/>
      <c r="AV34" s="27"/>
      <c r="AW34" s="27"/>
      <c r="AX34" s="27"/>
      <c r="AY34" s="27"/>
      <c r="AZ34" s="27"/>
      <c r="BA34" s="27"/>
      <c r="BB34" s="27"/>
    </row>
    <row r="35" spans="1:54" ht="13" x14ac:dyDescent="0.3">
      <c r="A35" s="61" t="s">
        <v>16</v>
      </c>
      <c r="B35" s="218">
        <v>382</v>
      </c>
      <c r="C35" s="218">
        <v>886</v>
      </c>
      <c r="D35" s="218">
        <v>637</v>
      </c>
      <c r="E35" s="218">
        <f>+F35-SUM(B35,C35,D35)</f>
        <v>934</v>
      </c>
      <c r="F35" s="218">
        <v>2839</v>
      </c>
      <c r="G35" s="218">
        <v>615</v>
      </c>
      <c r="H35" s="66">
        <v>1414</v>
      </c>
      <c r="I35" s="66">
        <v>1385</v>
      </c>
      <c r="J35" s="188">
        <f>+K35-SUM(G35:I35)</f>
        <v>1373</v>
      </c>
      <c r="K35" s="66">
        <v>4787</v>
      </c>
      <c r="L35" s="66">
        <f>ROUND('[1]Statements of Income'!$F$17,0)</f>
        <v>1260</v>
      </c>
      <c r="M35" s="66">
        <f>ROUND('[2]Statements of Income'!$F$17,0)</f>
        <v>1202</v>
      </c>
      <c r="N35" s="66">
        <f>ROUND('[3]Statements of Income'!$F$17,0)</f>
        <v>1009</v>
      </c>
      <c r="O35" s="188">
        <f>+P35-SUM(L35:N35)</f>
        <v>281</v>
      </c>
      <c r="P35" s="66">
        <f>'[4]Statements of Income'!$J$17</f>
        <v>3752</v>
      </c>
      <c r="Q35" s="66">
        <f>'[5]Statements of Income'!$J$17</f>
        <v>1377</v>
      </c>
      <c r="R35" s="66">
        <f>ROUND('[6]Statements of Income'!$F$17,0)</f>
        <v>1359</v>
      </c>
      <c r="S35" s="66">
        <f>ROUND('[7]Statements of Income'!$F$17,0)</f>
        <v>716</v>
      </c>
      <c r="T35" s="66">
        <f>+U35-SUM(Q35:S35)</f>
        <v>980</v>
      </c>
      <c r="U35" s="66">
        <f>'[8]Statements of Income'!$J$17</f>
        <v>4432</v>
      </c>
      <c r="V35" s="66">
        <f>'[9]Statements of Income'!$J$17</f>
        <v>434</v>
      </c>
      <c r="W35" s="66">
        <f>'[10]Statements of Income'!$F$17</f>
        <v>1353</v>
      </c>
      <c r="AL35" s="27"/>
      <c r="AM35" s="27"/>
      <c r="AN35" s="27"/>
      <c r="AO35" s="27"/>
      <c r="AP35" s="27"/>
      <c r="AQ35" s="27"/>
      <c r="AR35" s="27"/>
      <c r="AS35" s="27"/>
      <c r="AT35" s="27"/>
      <c r="AU35" s="27"/>
      <c r="AV35" s="27"/>
      <c r="AW35" s="27"/>
      <c r="AX35" s="27"/>
      <c r="AY35" s="27"/>
      <c r="AZ35" s="27"/>
      <c r="BA35" s="27"/>
      <c r="BB35" s="27"/>
    </row>
    <row r="36" spans="1:54" ht="13" x14ac:dyDescent="0.3">
      <c r="A36" s="61" t="s">
        <v>93</v>
      </c>
      <c r="B36" s="214">
        <v>2754</v>
      </c>
      <c r="C36" s="214">
        <v>2047</v>
      </c>
      <c r="D36" s="214">
        <v>2314</v>
      </c>
      <c r="E36" s="214">
        <f>+F36-SUM(B36,C36,D36)</f>
        <v>2355</v>
      </c>
      <c r="F36" s="214">
        <v>9470</v>
      </c>
      <c r="G36" s="214">
        <v>2996</v>
      </c>
      <c r="H36" s="28">
        <v>1526</v>
      </c>
      <c r="I36" s="28">
        <v>-9</v>
      </c>
      <c r="J36" s="188">
        <f>+K36-SUM(G36:I36)</f>
        <v>1249</v>
      </c>
      <c r="K36" s="28">
        <v>5762</v>
      </c>
      <c r="L36" s="28">
        <f>ROUND(SUM('[1]Statements of Income'!$F$18:$F$19),0)</f>
        <v>841</v>
      </c>
      <c r="M36" s="28">
        <f>ROUND(SUM('[2]Statements of Income'!$F$18:$F$19),0)</f>
        <v>238</v>
      </c>
      <c r="N36" s="28">
        <f>ROUND(SUM('[3]Statements of Income'!$F$18:$F$19),0)</f>
        <v>1383</v>
      </c>
      <c r="O36" s="188">
        <f>+P36-SUM(L36:N36)</f>
        <v>433</v>
      </c>
      <c r="P36" s="28">
        <f>SUM('[4]Statements of Income'!$J$18:$J$19)</f>
        <v>2895</v>
      </c>
      <c r="Q36" s="28">
        <f>ROUND(SUM('[5]Statements of Income'!$J$18:$J$19),0)</f>
        <v>-543</v>
      </c>
      <c r="R36" s="28">
        <f>ROUND(SUM('[6]Statements of Income'!$F$18:$F$19),0)</f>
        <v>1342</v>
      </c>
      <c r="S36" s="28">
        <f>ROUND(SUM('[7]Statements of Income'!$F$18:$F$19),0)</f>
        <v>-143</v>
      </c>
      <c r="T36" s="28">
        <f>+U36-SUM(Q36:S36)</f>
        <v>219</v>
      </c>
      <c r="U36" s="28">
        <f>SUM('[8]Statements of Income'!$J$18:$J$19)</f>
        <v>875</v>
      </c>
      <c r="V36" s="28">
        <f>SUM('[9]Statements of Income'!$J$18:$J$19)</f>
        <v>-1064</v>
      </c>
      <c r="W36" s="28">
        <f>ROUND(SUM('[10]Statements of Income'!$F$18:$F$19),0)</f>
        <v>-305</v>
      </c>
      <c r="AL36" s="27"/>
      <c r="AM36" s="27"/>
      <c r="AN36" s="27"/>
      <c r="AO36" s="27"/>
      <c r="AP36" s="27"/>
      <c r="AQ36" s="27"/>
      <c r="AR36" s="27"/>
      <c r="AS36" s="27"/>
      <c r="AT36" s="27"/>
      <c r="AU36" s="27"/>
      <c r="AV36" s="27"/>
      <c r="AW36" s="27"/>
      <c r="AX36" s="27"/>
      <c r="AY36" s="27"/>
      <c r="AZ36" s="27"/>
      <c r="BA36" s="27"/>
      <c r="BB36" s="27"/>
    </row>
    <row r="37" spans="1:54" ht="13" hidden="1" outlineLevel="1" x14ac:dyDescent="0.3">
      <c r="A37" s="61" t="s">
        <v>8</v>
      </c>
      <c r="B37" s="219"/>
      <c r="C37" s="211"/>
      <c r="D37" s="211"/>
      <c r="E37" s="262"/>
      <c r="F37" s="211"/>
      <c r="G37" s="211"/>
      <c r="AL37" s="27"/>
      <c r="AM37" s="27"/>
      <c r="AN37" s="27"/>
      <c r="AO37" s="27"/>
      <c r="AP37" s="27"/>
      <c r="AQ37" s="27"/>
      <c r="AR37" s="27"/>
      <c r="AS37" s="27"/>
      <c r="AT37" s="27"/>
      <c r="AU37" s="27"/>
      <c r="AV37" s="27"/>
      <c r="AW37" s="27"/>
      <c r="AX37" s="27"/>
      <c r="AY37" s="27"/>
      <c r="AZ37" s="27"/>
      <c r="BA37" s="27"/>
      <c r="BB37" s="27"/>
    </row>
    <row r="38" spans="1:54" ht="6" customHeight="1" collapsed="1" x14ac:dyDescent="0.3">
      <c r="A38" s="61"/>
      <c r="B38" s="214"/>
      <c r="C38" s="211"/>
      <c r="D38" s="211"/>
      <c r="E38" s="262"/>
      <c r="F38" s="211"/>
      <c r="G38" s="211"/>
      <c r="AL38" s="27"/>
      <c r="AM38" s="27"/>
      <c r="AN38" s="27"/>
      <c r="AO38" s="27"/>
      <c r="AP38" s="27"/>
      <c r="AQ38" s="27"/>
      <c r="AR38" s="27"/>
      <c r="AS38" s="27"/>
      <c r="AT38" s="27"/>
      <c r="AU38" s="27"/>
      <c r="AV38" s="27"/>
      <c r="AW38" s="27"/>
      <c r="AX38" s="27"/>
      <c r="AY38" s="27"/>
      <c r="AZ38" s="27"/>
      <c r="BA38" s="27"/>
      <c r="BB38" s="27"/>
    </row>
    <row r="39" spans="1:54" ht="13" x14ac:dyDescent="0.3">
      <c r="A39" s="65" t="s">
        <v>95</v>
      </c>
      <c r="B39" s="217">
        <f t="shared" ref="B39:M39" si="27">B31+B36+B35+B37</f>
        <v>20348</v>
      </c>
      <c r="C39" s="217">
        <f t="shared" si="27"/>
        <v>21201</v>
      </c>
      <c r="D39" s="217">
        <f t="shared" si="27"/>
        <v>23896</v>
      </c>
      <c r="E39" s="212">
        <f t="shared" si="27"/>
        <v>19589</v>
      </c>
      <c r="F39" s="217">
        <f t="shared" si="27"/>
        <v>85034</v>
      </c>
      <c r="G39" s="217">
        <f t="shared" si="27"/>
        <v>18761</v>
      </c>
      <c r="H39" s="42">
        <f t="shared" si="27"/>
        <v>20030</v>
      </c>
      <c r="I39" s="42">
        <f t="shared" si="27"/>
        <v>21050</v>
      </c>
      <c r="J39" s="42">
        <f t="shared" si="27"/>
        <v>529</v>
      </c>
      <c r="K39" s="42">
        <f t="shared" si="27"/>
        <v>60370</v>
      </c>
      <c r="L39" s="42">
        <f t="shared" si="27"/>
        <v>18962</v>
      </c>
      <c r="M39" s="42">
        <f t="shared" si="27"/>
        <v>15296</v>
      </c>
      <c r="N39" s="42">
        <f t="shared" ref="N39:U39" si="28">N31+N36+N35+N37</f>
        <v>24814</v>
      </c>
      <c r="O39" s="42">
        <f t="shared" si="28"/>
        <v>24028</v>
      </c>
      <c r="P39" s="42">
        <f t="shared" si="28"/>
        <v>83100</v>
      </c>
      <c r="Q39" s="42">
        <f t="shared" si="28"/>
        <v>28321</v>
      </c>
      <c r="R39" s="42">
        <f>R31+R36+R35+R37</f>
        <v>12567</v>
      </c>
      <c r="S39" s="42">
        <f t="shared" si="28"/>
        <v>34979</v>
      </c>
      <c r="T39" s="42">
        <f t="shared" si="28"/>
        <v>39462</v>
      </c>
      <c r="U39" s="42">
        <f t="shared" si="28"/>
        <v>115329</v>
      </c>
      <c r="V39" s="42">
        <f t="shared" ref="V39:W39" si="29">V31+V36+V35+V37</f>
        <v>40925</v>
      </c>
      <c r="W39" s="42">
        <f t="shared" si="29"/>
        <v>36878</v>
      </c>
      <c r="AL39" s="27"/>
      <c r="AM39" s="27"/>
      <c r="AN39" s="27"/>
      <c r="AO39" s="27"/>
      <c r="AP39" s="27"/>
      <c r="AQ39" s="27"/>
      <c r="AR39" s="27"/>
      <c r="AS39" s="27"/>
      <c r="AT39" s="27"/>
      <c r="AU39" s="27"/>
      <c r="AV39" s="27"/>
      <c r="AW39" s="27"/>
      <c r="AX39" s="27"/>
      <c r="AY39" s="27"/>
      <c r="AZ39" s="27"/>
      <c r="BA39" s="27"/>
      <c r="BB39" s="27"/>
    </row>
    <row r="40" spans="1:54" ht="6" customHeight="1" x14ac:dyDescent="0.3">
      <c r="A40" s="64"/>
      <c r="B40" s="214"/>
      <c r="C40" s="211"/>
      <c r="D40" s="211"/>
      <c r="E40" s="211"/>
      <c r="F40" s="211"/>
      <c r="G40" s="211"/>
      <c r="AL40" s="27"/>
      <c r="AM40" s="27"/>
      <c r="AN40" s="27"/>
      <c r="AO40" s="27"/>
      <c r="AP40" s="27"/>
      <c r="AQ40" s="27"/>
      <c r="AR40" s="27"/>
      <c r="AS40" s="27"/>
      <c r="AT40" s="27"/>
      <c r="AU40" s="27"/>
      <c r="AV40" s="27"/>
      <c r="AW40" s="27"/>
      <c r="AX40" s="27"/>
      <c r="AY40" s="27"/>
      <c r="AZ40" s="27"/>
      <c r="BA40" s="27"/>
      <c r="BB40" s="27"/>
    </row>
    <row r="41" spans="1:54" ht="13" x14ac:dyDescent="0.3">
      <c r="A41" s="61" t="s">
        <v>61</v>
      </c>
      <c r="B41" s="218">
        <v>-3560</v>
      </c>
      <c r="C41" s="218">
        <v>-823</v>
      </c>
      <c r="D41" s="218">
        <v>-2819</v>
      </c>
      <c r="E41" s="214">
        <f>+F41-SUM(B41,C41,D41)</f>
        <v>-28944</v>
      </c>
      <c r="F41" s="218">
        <v>-36146</v>
      </c>
      <c r="G41" s="218">
        <v>4453</v>
      </c>
      <c r="H41" s="29">
        <v>-5510</v>
      </c>
      <c r="I41" s="29">
        <v>-5739</v>
      </c>
      <c r="J41" s="188">
        <f>+K41-SUM(G41:I41)</f>
        <v>3399</v>
      </c>
      <c r="K41" s="29">
        <v>-3397</v>
      </c>
      <c r="L41" s="29">
        <f>-ROUND('[1]Statements of Income'!$F$21,0)</f>
        <v>-4200</v>
      </c>
      <c r="M41" s="29">
        <f>-ROUND('[2]Statements of Income'!$F$21,0)</f>
        <v>-2670</v>
      </c>
      <c r="N41" s="29">
        <f>-ROUND('[3]Statements of Income'!$F$21,0)</f>
        <v>-5701</v>
      </c>
      <c r="O41" s="188">
        <f>+P41-SUM(L41:N41)</f>
        <v>-2601</v>
      </c>
      <c r="P41" s="29">
        <f>-'[4]Statements of Income'!$J$21</f>
        <v>-15172</v>
      </c>
      <c r="Q41" s="29">
        <f>-ROUND('[5]Statements of Income'!$J$21,0)</f>
        <v>-5855</v>
      </c>
      <c r="R41" s="29">
        <f>-ROUND('[6]Statements of Income'!$F$21,0)</f>
        <v>-4072</v>
      </c>
      <c r="S41" s="29">
        <f>-ROUND('[7]Statements of Income'!$F$21,0)</f>
        <v>-8490</v>
      </c>
      <c r="T41" s="29">
        <f>+U41-SUM(Q41:S41)</f>
        <v>-7209</v>
      </c>
      <c r="U41" s="29">
        <f>-'[8]Statements of Income'!$J$21</f>
        <v>-25626</v>
      </c>
      <c r="V41" s="29">
        <f>-'[9]Statements of Income'!$J$21</f>
        <v>-8958</v>
      </c>
      <c r="W41" s="29">
        <f>-'[10]Statements of Income'!$F$21</f>
        <v>-8865</v>
      </c>
      <c r="AL41" s="27"/>
      <c r="AM41" s="27"/>
      <c r="AN41" s="27"/>
      <c r="AO41" s="27"/>
      <c r="AP41" s="27"/>
      <c r="AQ41" s="27"/>
      <c r="AR41" s="27"/>
      <c r="AS41" s="27"/>
      <c r="AT41" s="27"/>
      <c r="AU41" s="27"/>
      <c r="AV41" s="27"/>
      <c r="AW41" s="27"/>
      <c r="AX41" s="27"/>
      <c r="AY41" s="27"/>
      <c r="AZ41" s="27"/>
      <c r="BA41" s="27"/>
      <c r="BB41" s="27"/>
    </row>
    <row r="42" spans="1:54" ht="13" outlineLevel="1" x14ac:dyDescent="0.3">
      <c r="A42" s="61" t="s">
        <v>267</v>
      </c>
      <c r="B42" s="219">
        <v>0</v>
      </c>
      <c r="C42" s="219">
        <v>0</v>
      </c>
      <c r="D42" s="219">
        <v>0</v>
      </c>
      <c r="E42" s="219">
        <f>+F42-SUM(B42,C42,D42)</f>
        <v>0</v>
      </c>
      <c r="F42" s="219">
        <v>0</v>
      </c>
      <c r="G42" s="219">
        <v>-56</v>
      </c>
      <c r="H42" s="28">
        <v>-58</v>
      </c>
      <c r="I42" s="28">
        <v>-62</v>
      </c>
      <c r="J42" s="188">
        <f>+K42-SUM(G42:I42)</f>
        <v>-71</v>
      </c>
      <c r="K42" s="58">
        <v>-247</v>
      </c>
      <c r="L42" s="58">
        <f>-ROUND('[1]Statements of Income'!$F$23,0)</f>
        <v>-67</v>
      </c>
      <c r="M42" s="58">
        <f>-ROUND('[2]Statements of Income'!$F$23,0)</f>
        <v>-62</v>
      </c>
      <c r="N42" s="58">
        <f>-ROUND('[3]Statements of Income'!$F$23,0)</f>
        <v>-69</v>
      </c>
      <c r="O42" s="188">
        <f>+P42-SUM(L42:N42)</f>
        <v>-71</v>
      </c>
      <c r="P42" s="58">
        <f>-'[4]Statements of Income'!$J$23</f>
        <v>-269</v>
      </c>
      <c r="Q42" s="58">
        <f>-ROUND('[5]Statements of Income'!$J$23,0)</f>
        <v>-55</v>
      </c>
      <c r="R42" s="58">
        <f>-ROUND('[6]Statements of Income'!$F$23,0)</f>
        <v>-66</v>
      </c>
      <c r="S42" s="58">
        <f>-ROUND('[7]Statements of Income'!$F$23,0)</f>
        <v>-71</v>
      </c>
      <c r="T42" s="58">
        <f>+U42-SUM(Q42:S42)</f>
        <v>-35</v>
      </c>
      <c r="U42" s="58">
        <f>-'[8]Statements of Income'!$J$23</f>
        <v>-227</v>
      </c>
      <c r="V42" s="58">
        <f>-'[9]Statements of Income'!$J$23</f>
        <v>-36</v>
      </c>
      <c r="W42" s="58">
        <f>'[10]Statements of Income'!$F$23</f>
        <v>8</v>
      </c>
      <c r="AL42" s="27"/>
      <c r="AM42" s="27"/>
      <c r="AN42" s="27"/>
      <c r="AO42" s="27"/>
      <c r="AP42" s="27"/>
      <c r="AQ42" s="27"/>
      <c r="AR42" s="27"/>
      <c r="AS42" s="27"/>
      <c r="AT42" s="27"/>
      <c r="AU42" s="27"/>
      <c r="AV42" s="27"/>
      <c r="AW42" s="27"/>
      <c r="AX42" s="27"/>
      <c r="AY42" s="27"/>
      <c r="AZ42" s="27"/>
      <c r="BA42" s="27"/>
      <c r="BB42" s="27"/>
    </row>
    <row r="43" spans="1:54" ht="13" x14ac:dyDescent="0.3">
      <c r="A43" s="64" t="s">
        <v>94</v>
      </c>
      <c r="B43" s="219">
        <f>B39+B41+B42</f>
        <v>16788</v>
      </c>
      <c r="C43" s="219">
        <f>C39+C41+C42</f>
        <v>20378</v>
      </c>
      <c r="D43" s="219">
        <f>D39+D41+D42</f>
        <v>21077</v>
      </c>
      <c r="E43" s="214">
        <f>+F43-SUM(B43,C43,D43)</f>
        <v>-9355</v>
      </c>
      <c r="F43" s="219">
        <f t="shared" ref="F43:U43" si="30">F39+F41+F42</f>
        <v>48888</v>
      </c>
      <c r="G43" s="219">
        <f t="shared" si="30"/>
        <v>23158</v>
      </c>
      <c r="H43" s="58">
        <f t="shared" si="30"/>
        <v>14462</v>
      </c>
      <c r="I43" s="58">
        <f t="shared" si="30"/>
        <v>15249</v>
      </c>
      <c r="J43" s="58">
        <f t="shared" si="30"/>
        <v>3857</v>
      </c>
      <c r="K43" s="58">
        <f t="shared" si="30"/>
        <v>56726</v>
      </c>
      <c r="L43" s="58">
        <f t="shared" si="30"/>
        <v>14695</v>
      </c>
      <c r="M43" s="58">
        <f t="shared" si="30"/>
        <v>12564</v>
      </c>
      <c r="N43" s="58">
        <f t="shared" si="30"/>
        <v>19044</v>
      </c>
      <c r="O43" s="58">
        <f t="shared" si="30"/>
        <v>21356</v>
      </c>
      <c r="P43" s="58">
        <f t="shared" si="30"/>
        <v>67659</v>
      </c>
      <c r="Q43" s="58">
        <f t="shared" si="30"/>
        <v>22411</v>
      </c>
      <c r="R43" s="58">
        <f t="shared" si="30"/>
        <v>8429</v>
      </c>
      <c r="S43" s="58">
        <f t="shared" si="30"/>
        <v>26418</v>
      </c>
      <c r="T43" s="58">
        <f t="shared" si="30"/>
        <v>32218</v>
      </c>
      <c r="U43" s="58">
        <f t="shared" si="30"/>
        <v>89476</v>
      </c>
      <c r="V43" s="58">
        <f t="shared" ref="V43:W43" si="31">V39+V41+V42</f>
        <v>31931</v>
      </c>
      <c r="W43" s="58">
        <f t="shared" si="31"/>
        <v>28021</v>
      </c>
      <c r="AL43" s="27"/>
      <c r="AM43" s="27"/>
      <c r="AN43" s="27"/>
      <c r="AO43" s="27"/>
      <c r="AP43" s="27"/>
      <c r="AQ43" s="27"/>
      <c r="AR43" s="27"/>
      <c r="AS43" s="27"/>
      <c r="AT43" s="27"/>
      <c r="AU43" s="27"/>
      <c r="AV43" s="27"/>
      <c r="AW43" s="27"/>
      <c r="AX43" s="27"/>
      <c r="AY43" s="27"/>
      <c r="AZ43" s="27"/>
      <c r="BA43" s="27"/>
      <c r="BB43" s="27"/>
    </row>
    <row r="44" spans="1:54" ht="13" x14ac:dyDescent="0.3">
      <c r="A44" s="64" t="s">
        <v>96</v>
      </c>
      <c r="B44" s="219">
        <v>0</v>
      </c>
      <c r="C44" s="219">
        <v>0</v>
      </c>
      <c r="D44" s="219">
        <v>0</v>
      </c>
      <c r="E44" s="219">
        <f>+F44-SUM(B44,C44,D44)</f>
        <v>0</v>
      </c>
      <c r="F44" s="219">
        <v>0</v>
      </c>
      <c r="G44" s="219">
        <v>0</v>
      </c>
      <c r="H44" s="24">
        <v>0</v>
      </c>
      <c r="I44" s="24">
        <v>0</v>
      </c>
      <c r="J44" s="58">
        <v>0</v>
      </c>
      <c r="K44" s="58">
        <v>0</v>
      </c>
      <c r="L44" s="58">
        <v>0</v>
      </c>
      <c r="M44" s="58">
        <v>0</v>
      </c>
      <c r="N44" s="58">
        <v>0</v>
      </c>
      <c r="O44" s="58">
        <v>0</v>
      </c>
      <c r="P44" s="58">
        <v>0</v>
      </c>
      <c r="Q44" s="58">
        <v>0</v>
      </c>
      <c r="R44" s="58">
        <v>0</v>
      </c>
      <c r="S44" s="58">
        <v>0</v>
      </c>
      <c r="T44" s="58">
        <v>0</v>
      </c>
      <c r="U44" s="58">
        <v>0</v>
      </c>
      <c r="V44" s="58">
        <v>0</v>
      </c>
      <c r="W44" s="58">
        <v>0</v>
      </c>
      <c r="AL44" s="27"/>
      <c r="AM44" s="27"/>
      <c r="AN44" s="27"/>
      <c r="AO44" s="27"/>
      <c r="AP44" s="27"/>
      <c r="AQ44" s="27"/>
      <c r="AR44" s="27"/>
      <c r="AS44" s="27"/>
      <c r="AT44" s="27"/>
      <c r="AU44" s="27"/>
      <c r="AV44" s="27"/>
      <c r="AW44" s="27"/>
      <c r="AX44" s="27"/>
      <c r="AY44" s="27"/>
      <c r="AZ44" s="27"/>
      <c r="BA44" s="27"/>
      <c r="BB44" s="27"/>
    </row>
    <row r="45" spans="1:54" ht="6" customHeight="1" x14ac:dyDescent="0.3">
      <c r="A45" s="64"/>
      <c r="B45" s="214"/>
      <c r="C45" s="211"/>
      <c r="D45" s="211"/>
      <c r="E45" s="211"/>
      <c r="F45" s="211"/>
      <c r="G45" s="211"/>
      <c r="AL45" s="27"/>
      <c r="AM45" s="27"/>
      <c r="AN45" s="27"/>
      <c r="AO45" s="27"/>
      <c r="AP45" s="27"/>
      <c r="AQ45" s="27"/>
      <c r="AR45" s="27"/>
      <c r="AS45" s="27"/>
      <c r="AT45" s="27"/>
      <c r="AU45" s="27"/>
      <c r="AV45" s="27"/>
      <c r="AW45" s="27"/>
      <c r="AX45" s="27"/>
      <c r="AY45" s="27"/>
      <c r="AZ45" s="27"/>
      <c r="BA45" s="27"/>
      <c r="BB45" s="27"/>
    </row>
    <row r="46" spans="1:54" ht="13" x14ac:dyDescent="0.3">
      <c r="A46" s="65" t="s">
        <v>97</v>
      </c>
      <c r="B46" s="217">
        <f t="shared" ref="B46:O46" si="32">B43+B44</f>
        <v>16788</v>
      </c>
      <c r="C46" s="217">
        <f t="shared" si="32"/>
        <v>20378</v>
      </c>
      <c r="D46" s="217">
        <f t="shared" si="32"/>
        <v>21077</v>
      </c>
      <c r="E46" s="212">
        <f t="shared" si="32"/>
        <v>-9355</v>
      </c>
      <c r="F46" s="217">
        <f t="shared" si="32"/>
        <v>48888</v>
      </c>
      <c r="G46" s="217">
        <f t="shared" si="32"/>
        <v>23158</v>
      </c>
      <c r="H46" s="42">
        <f t="shared" si="32"/>
        <v>14462</v>
      </c>
      <c r="I46" s="42">
        <f t="shared" si="32"/>
        <v>15249</v>
      </c>
      <c r="J46" s="42">
        <f t="shared" si="32"/>
        <v>3857</v>
      </c>
      <c r="K46" s="42">
        <f t="shared" si="32"/>
        <v>56726</v>
      </c>
      <c r="L46" s="42">
        <f t="shared" si="32"/>
        <v>14695</v>
      </c>
      <c r="M46" s="42">
        <f t="shared" si="32"/>
        <v>12564</v>
      </c>
      <c r="N46" s="42">
        <f t="shared" si="32"/>
        <v>19044</v>
      </c>
      <c r="O46" s="42">
        <f t="shared" si="32"/>
        <v>21356</v>
      </c>
      <c r="P46" s="42">
        <f t="shared" ref="P46:U46" si="33">P43+P44</f>
        <v>67659</v>
      </c>
      <c r="Q46" s="42">
        <f t="shared" si="33"/>
        <v>22411</v>
      </c>
      <c r="R46" s="42">
        <f t="shared" si="33"/>
        <v>8429</v>
      </c>
      <c r="S46" s="42">
        <f t="shared" si="33"/>
        <v>26418</v>
      </c>
      <c r="T46" s="42">
        <f t="shared" si="33"/>
        <v>32218</v>
      </c>
      <c r="U46" s="42">
        <f t="shared" si="33"/>
        <v>89476</v>
      </c>
      <c r="V46" s="42">
        <f t="shared" ref="V46:W46" si="34">V43+V44</f>
        <v>31931</v>
      </c>
      <c r="W46" s="42">
        <f t="shared" si="34"/>
        <v>28021</v>
      </c>
      <c r="AL46" s="27"/>
      <c r="AM46" s="27"/>
      <c r="AN46" s="27"/>
      <c r="AO46" s="27"/>
      <c r="AP46" s="27"/>
      <c r="AQ46" s="27"/>
      <c r="AR46" s="27"/>
      <c r="AS46" s="27"/>
      <c r="AT46" s="27"/>
      <c r="AU46" s="27"/>
      <c r="AV46" s="27"/>
      <c r="AW46" s="27"/>
      <c r="AX46" s="27"/>
      <c r="AY46" s="27"/>
      <c r="AZ46" s="27"/>
      <c r="BA46" s="27"/>
      <c r="BB46" s="27"/>
    </row>
    <row r="47" spans="1:54" s="27" customFormat="1" ht="13" x14ac:dyDescent="0.3">
      <c r="A47" s="60" t="s">
        <v>133</v>
      </c>
      <c r="B47" s="220">
        <f t="shared" ref="B47:K47" si="35">B46/B8</f>
        <v>9.1721165035813221E-2</v>
      </c>
      <c r="C47" s="220">
        <f t="shared" si="35"/>
        <v>0.10778759844914497</v>
      </c>
      <c r="D47" s="220">
        <f t="shared" si="35"/>
        <v>0.10957914164652058</v>
      </c>
      <c r="E47" s="220">
        <f t="shared" si="35"/>
        <v>-4.7277321541377135E-2</v>
      </c>
      <c r="F47" s="220">
        <f t="shared" si="35"/>
        <v>6.4131390116881584E-2</v>
      </c>
      <c r="G47" s="220">
        <f t="shared" si="35"/>
        <v>0.11188899035139849</v>
      </c>
      <c r="H47" s="35">
        <f t="shared" si="35"/>
        <v>6.8829957356076762E-2</v>
      </c>
      <c r="I47" s="35">
        <f t="shared" si="35"/>
        <v>6.5977570481646222E-2</v>
      </c>
      <c r="J47" s="35">
        <f t="shared" si="35"/>
        <v>1.6419543385993367E-2</v>
      </c>
      <c r="K47" s="35">
        <f t="shared" si="35"/>
        <v>6.4234208118562536E-2</v>
      </c>
      <c r="L47" s="35">
        <f>L46/L8</f>
        <v>6.1338297721362588E-2</v>
      </c>
      <c r="M47" s="35">
        <f>M46/M8</f>
        <v>5.1595628908993094E-2</v>
      </c>
      <c r="N47" s="35">
        <f t="shared" ref="N47:U47" si="36">N46/N8</f>
        <v>7.5754200610997968E-2</v>
      </c>
      <c r="O47" s="35">
        <f t="shared" si="36"/>
        <v>8.3138683858108325E-2</v>
      </c>
      <c r="P47" s="35">
        <f t="shared" si="36"/>
        <v>6.8249632318080664E-2</v>
      </c>
      <c r="Q47" s="35">
        <f t="shared" si="36"/>
        <v>9.1105329484938408E-2</v>
      </c>
      <c r="R47" s="35">
        <f>R46/R8</f>
        <v>3.7887743681255706E-2</v>
      </c>
      <c r="S47" s="35">
        <f t="shared" si="36"/>
        <v>0.10961007061713234</v>
      </c>
      <c r="T47" s="35">
        <f t="shared" si="36"/>
        <v>0.12941398577241486</v>
      </c>
      <c r="U47" s="35">
        <f t="shared" si="36"/>
        <v>9.3356454382878734E-2</v>
      </c>
      <c r="V47" s="35">
        <f t="shared" ref="V47:W47" si="37">V46/V8</f>
        <v>0.12214677811143201</v>
      </c>
      <c r="W47" s="35">
        <f t="shared" si="37"/>
        <v>0.10187083733240264</v>
      </c>
    </row>
    <row r="48" spans="1:54" s="27" customFormat="1" ht="13" x14ac:dyDescent="0.3">
      <c r="A48" s="60" t="s">
        <v>131</v>
      </c>
      <c r="B48" s="213">
        <v>8.3935950413223104E-2</v>
      </c>
      <c r="C48" s="213">
        <v>0.21384322134858236</v>
      </c>
      <c r="D48" s="213">
        <v>3.430169790951032E-2</v>
      </c>
      <c r="E48" s="213">
        <v>-1.4438487450775728</v>
      </c>
      <c r="F48" s="220" t="s">
        <v>83</v>
      </c>
      <c r="G48" s="213">
        <f>G46/E46-1</f>
        <v>-3.4754676643506146</v>
      </c>
      <c r="H48" s="35">
        <f>H46/G46-1</f>
        <v>-0.37550738405734518</v>
      </c>
      <c r="I48" s="35">
        <f>I46/H46-1</f>
        <v>5.4418476006084848E-2</v>
      </c>
      <c r="J48" s="35">
        <f>J46/I46-1</f>
        <v>-0.74706538133648115</v>
      </c>
      <c r="K48" s="35" t="s">
        <v>83</v>
      </c>
      <c r="L48" s="35">
        <f>L46/J46-1</f>
        <v>2.8099559242934924</v>
      </c>
      <c r="M48" s="35">
        <f>M46/L46-1</f>
        <v>-0.14501531133038448</v>
      </c>
      <c r="N48" s="35">
        <f>N46/M46-1</f>
        <v>0.51575931232091698</v>
      </c>
      <c r="O48" s="35">
        <f>O46/N46-1</f>
        <v>0.12140306658265065</v>
      </c>
      <c r="P48" s="35" t="s">
        <v>83</v>
      </c>
      <c r="Q48" s="35">
        <f>Q46/O46-1</f>
        <v>4.9400636823375255E-2</v>
      </c>
      <c r="R48" s="35">
        <f>R46/Q46-1</f>
        <v>-0.62389005399134356</v>
      </c>
      <c r="S48" s="35">
        <f>S46/R46-1</f>
        <v>2.1341796179855264</v>
      </c>
      <c r="T48" s="35">
        <f>T46/S46-1</f>
        <v>0.21954727837080767</v>
      </c>
      <c r="U48" s="35" t="s">
        <v>83</v>
      </c>
      <c r="V48" s="35">
        <f>V46/T46-1</f>
        <v>-8.908063815258549E-3</v>
      </c>
      <c r="W48" s="35">
        <f>W46/V46-1</f>
        <v>-0.122451536124769</v>
      </c>
    </row>
    <row r="49" spans="1:54" s="27" customFormat="1" ht="13.5" thickBot="1" x14ac:dyDescent="0.35">
      <c r="A49" s="111" t="s">
        <v>132</v>
      </c>
      <c r="B49" s="221">
        <v>0.21476121562952244</v>
      </c>
      <c r="C49" s="221">
        <v>0.24445801526717559</v>
      </c>
      <c r="D49" s="221">
        <v>0.31320872274143308</v>
      </c>
      <c r="E49" s="221">
        <v>-1.6040123827832975</v>
      </c>
      <c r="F49" s="221">
        <v>-0.20807480966286707</v>
      </c>
      <c r="G49" s="221">
        <f t="shared" ref="G49:O49" si="38">G46/B46-1</f>
        <v>0.37943769359066004</v>
      </c>
      <c r="H49" s="79">
        <f t="shared" si="38"/>
        <v>-0.2903130827362842</v>
      </c>
      <c r="I49" s="79">
        <f t="shared" si="38"/>
        <v>-0.27650993974474547</v>
      </c>
      <c r="J49" s="79">
        <f t="shared" si="38"/>
        <v>-1.4122928915018707</v>
      </c>
      <c r="K49" s="79">
        <f t="shared" si="38"/>
        <v>0.16032564228440527</v>
      </c>
      <c r="L49" s="79">
        <f t="shared" si="38"/>
        <v>-0.3654460661542448</v>
      </c>
      <c r="M49" s="79">
        <f t="shared" si="38"/>
        <v>-0.13124049232471302</v>
      </c>
      <c r="N49" s="79">
        <f t="shared" si="38"/>
        <v>0.24886877828054299</v>
      </c>
      <c r="O49" s="79">
        <f t="shared" si="38"/>
        <v>4.5369458128078817</v>
      </c>
      <c r="P49" s="79">
        <f t="shared" ref="P49:V49" si="39">P46/K46-1</f>
        <v>0.19273349081549918</v>
      </c>
      <c r="Q49" s="79">
        <f t="shared" si="39"/>
        <v>0.52507655665192243</v>
      </c>
      <c r="R49" s="79">
        <f t="shared" si="39"/>
        <v>-0.32911493155046168</v>
      </c>
      <c r="S49" s="79">
        <f t="shared" si="39"/>
        <v>0.38720856962822947</v>
      </c>
      <c r="T49" s="79">
        <f t="shared" si="39"/>
        <v>0.50861584566398199</v>
      </c>
      <c r="U49" s="79">
        <f t="shared" si="39"/>
        <v>0.32245525355089488</v>
      </c>
      <c r="V49" s="79">
        <f t="shared" si="39"/>
        <v>0.42479139708179026</v>
      </c>
      <c r="W49" s="79">
        <f>W46/R46-1</f>
        <v>2.3243563886582037</v>
      </c>
    </row>
    <row r="50" spans="1:54" s="27" customFormat="1" ht="15" x14ac:dyDescent="0.3">
      <c r="A50" s="61" t="s">
        <v>268</v>
      </c>
      <c r="B50" s="213"/>
      <c r="C50" s="234"/>
      <c r="D50" s="234"/>
      <c r="E50" s="234"/>
      <c r="F50" s="234"/>
      <c r="G50" s="234"/>
    </row>
    <row r="51" spans="1:54" s="27" customFormat="1" ht="13" x14ac:dyDescent="0.3">
      <c r="A51" s="89" t="s">
        <v>101</v>
      </c>
      <c r="B51" s="213"/>
      <c r="C51" s="234"/>
      <c r="D51" s="234"/>
      <c r="E51" s="234"/>
      <c r="F51" s="234"/>
      <c r="G51" s="234"/>
    </row>
    <row r="52" spans="1:54" ht="13" x14ac:dyDescent="0.3">
      <c r="A52" s="90" t="s">
        <v>99</v>
      </c>
      <c r="B52" s="222">
        <f t="shared" ref="B52:T52" si="40">B43/B60</f>
        <v>0.49602750662922263</v>
      </c>
      <c r="C52" s="222">
        <f t="shared" si="40"/>
        <v>0.60255499452548877</v>
      </c>
      <c r="D52" s="222">
        <f t="shared" si="40"/>
        <v>0.6228727188115103</v>
      </c>
      <c r="E52" s="222">
        <f t="shared" si="40"/>
        <v>-0.2744471334388337</v>
      </c>
      <c r="F52" s="222">
        <f t="shared" si="40"/>
        <v>1.4422125448102174</v>
      </c>
      <c r="G52" s="222">
        <f t="shared" si="40"/>
        <v>0.67229867038262792</v>
      </c>
      <c r="H52" s="32">
        <f t="shared" si="40"/>
        <v>0.41904265183124711</v>
      </c>
      <c r="I52" s="32">
        <f t="shared" si="40"/>
        <v>0.44252590034533795</v>
      </c>
      <c r="J52" s="32">
        <f t="shared" si="40"/>
        <v>0.11216121902989415</v>
      </c>
      <c r="K52" s="32">
        <f t="shared" si="40"/>
        <v>1.6465704914226003</v>
      </c>
      <c r="L52" s="32">
        <f t="shared" si="40"/>
        <v>0.42749090909090909</v>
      </c>
      <c r="M52" s="32">
        <f t="shared" si="40"/>
        <v>0.36468129571577845</v>
      </c>
      <c r="N52" s="32">
        <f t="shared" si="40"/>
        <v>0.55486277023483477</v>
      </c>
      <c r="O52" s="32">
        <f t="shared" si="40"/>
        <v>0.62347823548302339</v>
      </c>
      <c r="P52" s="32">
        <f t="shared" si="40"/>
        <v>1.9696943231441049</v>
      </c>
      <c r="Q52" s="32">
        <f t="shared" si="40"/>
        <v>0.65144468344863671</v>
      </c>
      <c r="R52" s="32">
        <f t="shared" si="40"/>
        <v>0.24441802470567767</v>
      </c>
      <c r="S52" s="32">
        <f t="shared" si="40"/>
        <v>0.76959827541002712</v>
      </c>
      <c r="T52" s="32">
        <f t="shared" si="40"/>
        <v>0.95088837730948583</v>
      </c>
      <c r="U52" s="32">
        <f>U43/U60</f>
        <v>2.6106847956117059</v>
      </c>
      <c r="V52" s="32">
        <f t="shared" ref="V52:W53" si="41">V43/V60</f>
        <v>0.94655243967510527</v>
      </c>
      <c r="W52" s="32">
        <f t="shared" si="41"/>
        <v>0.83467874057966696</v>
      </c>
      <c r="AL52" s="27"/>
      <c r="AM52" s="27"/>
      <c r="AN52" s="27"/>
      <c r="AO52" s="27"/>
      <c r="AP52" s="27"/>
      <c r="AQ52" s="27"/>
      <c r="AR52" s="27"/>
      <c r="AS52" s="27"/>
      <c r="AT52" s="27"/>
      <c r="AU52" s="27"/>
      <c r="AV52" s="27"/>
      <c r="AW52" s="27"/>
      <c r="AX52" s="27"/>
      <c r="AY52" s="27"/>
      <c r="AZ52" s="27"/>
      <c r="BA52" s="27"/>
      <c r="BB52" s="27"/>
    </row>
    <row r="53" spans="1:54" ht="13" x14ac:dyDescent="0.3">
      <c r="A53" s="90" t="s">
        <v>100</v>
      </c>
      <c r="B53" s="223">
        <f t="shared" ref="B53:M53" si="42">B44/B60</f>
        <v>0</v>
      </c>
      <c r="C53" s="223">
        <f t="shared" si="42"/>
        <v>0</v>
      </c>
      <c r="D53" s="223">
        <f t="shared" si="42"/>
        <v>0</v>
      </c>
      <c r="E53" s="223">
        <f t="shared" si="42"/>
        <v>0</v>
      </c>
      <c r="F53" s="223">
        <f t="shared" si="42"/>
        <v>0</v>
      </c>
      <c r="G53" s="223">
        <f t="shared" si="42"/>
        <v>0</v>
      </c>
      <c r="H53" s="78">
        <f t="shared" si="42"/>
        <v>0</v>
      </c>
      <c r="I53" s="78">
        <f t="shared" si="42"/>
        <v>0</v>
      </c>
      <c r="J53" s="78">
        <f t="shared" si="42"/>
        <v>0</v>
      </c>
      <c r="K53" s="78">
        <f t="shared" si="42"/>
        <v>0</v>
      </c>
      <c r="L53" s="78">
        <f t="shared" si="42"/>
        <v>0</v>
      </c>
      <c r="M53" s="78">
        <f t="shared" si="42"/>
        <v>0</v>
      </c>
      <c r="N53" s="78">
        <f t="shared" ref="N53:T53" si="43">N44/N60</f>
        <v>0</v>
      </c>
      <c r="O53" s="78">
        <f t="shared" si="43"/>
        <v>0</v>
      </c>
      <c r="P53" s="78">
        <f t="shared" si="43"/>
        <v>0</v>
      </c>
      <c r="Q53" s="78">
        <f t="shared" si="43"/>
        <v>0</v>
      </c>
      <c r="R53" s="78">
        <f>R44/R60</f>
        <v>0</v>
      </c>
      <c r="S53" s="78">
        <f t="shared" si="43"/>
        <v>0</v>
      </c>
      <c r="T53" s="78">
        <f t="shared" si="43"/>
        <v>0</v>
      </c>
      <c r="U53" s="78">
        <f>U44/U60</f>
        <v>0</v>
      </c>
      <c r="V53" s="32">
        <f t="shared" si="41"/>
        <v>0</v>
      </c>
      <c r="W53" s="32">
        <f t="shared" si="41"/>
        <v>0</v>
      </c>
      <c r="AL53" s="27"/>
      <c r="AM53" s="27"/>
      <c r="AN53" s="27"/>
      <c r="AO53" s="27"/>
      <c r="AP53" s="27"/>
      <c r="AQ53" s="27"/>
      <c r="AR53" s="27"/>
      <c r="AS53" s="27"/>
      <c r="AT53" s="27"/>
      <c r="AU53" s="27"/>
      <c r="AV53" s="27"/>
      <c r="AW53" s="27"/>
      <c r="AX53" s="27"/>
      <c r="AY53" s="27"/>
      <c r="AZ53" s="27"/>
      <c r="BA53" s="27"/>
      <c r="BB53" s="27"/>
    </row>
    <row r="54" spans="1:54" ht="13" x14ac:dyDescent="0.3">
      <c r="A54" s="92" t="s">
        <v>102</v>
      </c>
      <c r="B54" s="224">
        <f t="shared" ref="B54:M54" si="44">SUM(B52:B53)</f>
        <v>0.49602750662922263</v>
      </c>
      <c r="C54" s="224">
        <f t="shared" si="44"/>
        <v>0.60255499452548877</v>
      </c>
      <c r="D54" s="224">
        <f t="shared" si="44"/>
        <v>0.6228727188115103</v>
      </c>
      <c r="E54" s="224">
        <f t="shared" si="44"/>
        <v>-0.2744471334388337</v>
      </c>
      <c r="F54" s="224">
        <f t="shared" si="44"/>
        <v>1.4422125448102174</v>
      </c>
      <c r="G54" s="224">
        <f t="shared" si="44"/>
        <v>0.67229867038262792</v>
      </c>
      <c r="H54" s="144">
        <f t="shared" si="44"/>
        <v>0.41904265183124711</v>
      </c>
      <c r="I54" s="144">
        <f t="shared" si="44"/>
        <v>0.44252590034533795</v>
      </c>
      <c r="J54" s="144">
        <f t="shared" si="44"/>
        <v>0.11216121902989415</v>
      </c>
      <c r="K54" s="144">
        <f t="shared" si="44"/>
        <v>1.6465704914226003</v>
      </c>
      <c r="L54" s="144">
        <f t="shared" si="44"/>
        <v>0.42749090909090909</v>
      </c>
      <c r="M54" s="144">
        <f t="shared" si="44"/>
        <v>0.36468129571577845</v>
      </c>
      <c r="N54" s="144">
        <f t="shared" ref="N54:U54" si="45">SUM(N52:N53)</f>
        <v>0.55486277023483477</v>
      </c>
      <c r="O54" s="144">
        <f t="shared" si="45"/>
        <v>0.62347823548302339</v>
      </c>
      <c r="P54" s="144">
        <f t="shared" si="45"/>
        <v>1.9696943231441049</v>
      </c>
      <c r="Q54" s="144">
        <f t="shared" si="45"/>
        <v>0.65144468344863671</v>
      </c>
      <c r="R54" s="144">
        <f>SUM(R52:R53)</f>
        <v>0.24441802470567767</v>
      </c>
      <c r="S54" s="144">
        <f t="shared" si="45"/>
        <v>0.76959827541002712</v>
      </c>
      <c r="T54" s="144">
        <f t="shared" si="45"/>
        <v>0.95088837730948583</v>
      </c>
      <c r="U54" s="144">
        <f t="shared" si="45"/>
        <v>2.6106847956117059</v>
      </c>
      <c r="V54" s="144">
        <f t="shared" ref="V54:W54" si="46">SUM(V52:V53)</f>
        <v>0.94655243967510527</v>
      </c>
      <c r="W54" s="144">
        <f t="shared" si="46"/>
        <v>0.83467874057966696</v>
      </c>
      <c r="AL54" s="27"/>
      <c r="AM54" s="27"/>
      <c r="AN54" s="27"/>
      <c r="AO54" s="27"/>
      <c r="AP54" s="27"/>
      <c r="AQ54" s="27"/>
      <c r="AR54" s="27"/>
      <c r="AS54" s="27"/>
      <c r="AT54" s="27"/>
      <c r="AU54" s="27"/>
      <c r="AV54" s="27"/>
      <c r="AW54" s="27"/>
      <c r="AX54" s="27"/>
      <c r="AY54" s="27"/>
      <c r="AZ54" s="27"/>
      <c r="BA54" s="27"/>
      <c r="BB54" s="27"/>
    </row>
    <row r="55" spans="1:54" ht="13" x14ac:dyDescent="0.3">
      <c r="A55" s="89" t="s">
        <v>98</v>
      </c>
      <c r="B55" s="223"/>
      <c r="C55" s="211"/>
      <c r="D55" s="211"/>
      <c r="E55" s="211"/>
      <c r="F55" s="211"/>
      <c r="G55" s="211"/>
      <c r="AL55" s="27"/>
      <c r="AM55" s="27"/>
      <c r="AN55" s="27"/>
      <c r="AO55" s="27"/>
      <c r="AP55" s="27"/>
      <c r="AQ55" s="27"/>
      <c r="AR55" s="27"/>
      <c r="AS55" s="27"/>
      <c r="AT55" s="27"/>
      <c r="AU55" s="27"/>
      <c r="AV55" s="27"/>
      <c r="AW55" s="27"/>
      <c r="AX55" s="27"/>
      <c r="AY55" s="27"/>
      <c r="AZ55" s="27"/>
      <c r="BA55" s="27"/>
      <c r="BB55" s="27"/>
    </row>
    <row r="56" spans="1:54" ht="13" x14ac:dyDescent="0.3">
      <c r="A56" s="90" t="s">
        <v>99</v>
      </c>
      <c r="B56" s="222">
        <f t="shared" ref="B56:U56" si="47">B43/B61</f>
        <v>0.47816959822303656</v>
      </c>
      <c r="C56" s="222">
        <f t="shared" si="47"/>
        <v>0.58234128152395892</v>
      </c>
      <c r="D56" s="222">
        <f t="shared" si="47"/>
        <v>0.60144411941537002</v>
      </c>
      <c r="E56" s="222">
        <f t="shared" si="47"/>
        <v>-0.2744471334388337</v>
      </c>
      <c r="F56" s="222">
        <f t="shared" si="47"/>
        <v>1.3924154699406848</v>
      </c>
      <c r="G56" s="222">
        <f t="shared" si="47"/>
        <v>0.65597824547488881</v>
      </c>
      <c r="H56" s="32">
        <f t="shared" si="47"/>
        <v>0.41153036252916736</v>
      </c>
      <c r="I56" s="32">
        <f t="shared" si="47"/>
        <v>0.43311179277436945</v>
      </c>
      <c r="J56" s="32">
        <f t="shared" si="47"/>
        <v>0.11044929984822886</v>
      </c>
      <c r="K56" s="32">
        <f t="shared" si="47"/>
        <v>1.6193086123718992</v>
      </c>
      <c r="L56" s="32">
        <f t="shared" si="47"/>
        <v>0.42187006574225588</v>
      </c>
      <c r="M56" s="32">
        <f t="shared" si="47"/>
        <v>0.3620436273521021</v>
      </c>
      <c r="N56" s="32">
        <f t="shared" si="47"/>
        <v>0.54883426035332428</v>
      </c>
      <c r="O56" s="32">
        <f t="shared" si="47"/>
        <v>0.61549989912672565</v>
      </c>
      <c r="P56" s="32">
        <f t="shared" si="47"/>
        <v>1.9479745487000835</v>
      </c>
      <c r="Q56" s="32">
        <f t="shared" si="47"/>
        <v>0.64545952017511021</v>
      </c>
      <c r="R56" s="32">
        <f t="shared" si="47"/>
        <v>0.2436267992369501</v>
      </c>
      <c r="S56" s="32">
        <f t="shared" si="47"/>
        <v>0.76494093120222373</v>
      </c>
      <c r="T56" s="32">
        <f t="shared" si="47"/>
        <v>0.9373872563281932</v>
      </c>
      <c r="U56" s="32">
        <f t="shared" si="47"/>
        <v>2.5893792504702646</v>
      </c>
      <c r="V56" s="32">
        <f t="shared" ref="V56:W56" si="48">V43/V61</f>
        <v>0.93044466460749464</v>
      </c>
      <c r="W56" s="32">
        <f t="shared" si="48"/>
        <v>0.81480081419017159</v>
      </c>
      <c r="AL56" s="27"/>
      <c r="AM56" s="27"/>
      <c r="AN56" s="27"/>
      <c r="AO56" s="27"/>
      <c r="AP56" s="27"/>
      <c r="AQ56" s="27"/>
      <c r="AR56" s="27"/>
      <c r="AS56" s="27"/>
      <c r="AT56" s="27"/>
      <c r="AU56" s="27"/>
      <c r="AV56" s="27"/>
      <c r="AW56" s="27"/>
      <c r="AX56" s="27"/>
      <c r="AY56" s="27"/>
      <c r="AZ56" s="27"/>
      <c r="BA56" s="27"/>
      <c r="BB56" s="27"/>
    </row>
    <row r="57" spans="1:54" ht="13" x14ac:dyDescent="0.3">
      <c r="A57" s="90" t="s">
        <v>100</v>
      </c>
      <c r="B57" s="223">
        <f t="shared" ref="B57:U57" si="49">B44/B61</f>
        <v>0</v>
      </c>
      <c r="C57" s="223">
        <f t="shared" si="49"/>
        <v>0</v>
      </c>
      <c r="D57" s="223">
        <f t="shared" si="49"/>
        <v>0</v>
      </c>
      <c r="E57" s="223">
        <f t="shared" si="49"/>
        <v>0</v>
      </c>
      <c r="F57" s="223">
        <f t="shared" si="49"/>
        <v>0</v>
      </c>
      <c r="G57" s="223">
        <f t="shared" si="49"/>
        <v>0</v>
      </c>
      <c r="H57" s="78">
        <f t="shared" si="49"/>
        <v>0</v>
      </c>
      <c r="I57" s="78">
        <f t="shared" si="49"/>
        <v>0</v>
      </c>
      <c r="J57" s="78">
        <f t="shared" si="49"/>
        <v>0</v>
      </c>
      <c r="K57" s="78">
        <f t="shared" si="49"/>
        <v>0</v>
      </c>
      <c r="L57" s="78">
        <f t="shared" si="49"/>
        <v>0</v>
      </c>
      <c r="M57" s="78">
        <f t="shared" si="49"/>
        <v>0</v>
      </c>
      <c r="N57" s="78">
        <f t="shared" si="49"/>
        <v>0</v>
      </c>
      <c r="O57" s="78">
        <f t="shared" si="49"/>
        <v>0</v>
      </c>
      <c r="P57" s="78">
        <f t="shared" si="49"/>
        <v>0</v>
      </c>
      <c r="Q57" s="78">
        <f t="shared" si="49"/>
        <v>0</v>
      </c>
      <c r="R57" s="78">
        <f t="shared" si="49"/>
        <v>0</v>
      </c>
      <c r="S57" s="78">
        <f t="shared" si="49"/>
        <v>0</v>
      </c>
      <c r="T57" s="78">
        <f t="shared" si="49"/>
        <v>0</v>
      </c>
      <c r="U57" s="78">
        <f t="shared" si="49"/>
        <v>0</v>
      </c>
      <c r="V57" s="78">
        <f t="shared" ref="V57:W57" si="50">V44/V61</f>
        <v>0</v>
      </c>
      <c r="W57" s="78">
        <f t="shared" si="50"/>
        <v>0</v>
      </c>
      <c r="AL57" s="27"/>
      <c r="AM57" s="27"/>
      <c r="AN57" s="27"/>
      <c r="AO57" s="27"/>
      <c r="AP57" s="27"/>
      <c r="AQ57" s="27"/>
      <c r="AR57" s="27"/>
      <c r="AS57" s="27"/>
      <c r="AT57" s="27"/>
      <c r="AU57" s="27"/>
      <c r="AV57" s="27"/>
      <c r="AW57" s="27"/>
      <c r="AX57" s="27"/>
      <c r="AY57" s="27"/>
      <c r="AZ57" s="27"/>
      <c r="BA57" s="27"/>
      <c r="BB57" s="27"/>
    </row>
    <row r="58" spans="1:54" ht="13" x14ac:dyDescent="0.3">
      <c r="A58" s="92" t="s">
        <v>102</v>
      </c>
      <c r="B58" s="224">
        <f t="shared" ref="B58:U58" si="51">SUM(B56:B57)</f>
        <v>0.47816959822303656</v>
      </c>
      <c r="C58" s="224">
        <f t="shared" si="51"/>
        <v>0.58234128152395892</v>
      </c>
      <c r="D58" s="224">
        <f t="shared" si="51"/>
        <v>0.60144411941537002</v>
      </c>
      <c r="E58" s="224">
        <f t="shared" si="51"/>
        <v>-0.2744471334388337</v>
      </c>
      <c r="F58" s="224">
        <f t="shared" si="51"/>
        <v>1.3924154699406848</v>
      </c>
      <c r="G58" s="224">
        <f t="shared" si="51"/>
        <v>0.65597824547488881</v>
      </c>
      <c r="H58" s="144">
        <f t="shared" si="51"/>
        <v>0.41153036252916736</v>
      </c>
      <c r="I58" s="144">
        <f t="shared" si="51"/>
        <v>0.43311179277436945</v>
      </c>
      <c r="J58" s="144">
        <f t="shared" si="51"/>
        <v>0.11044929984822886</v>
      </c>
      <c r="K58" s="144">
        <f t="shared" si="51"/>
        <v>1.6193086123718992</v>
      </c>
      <c r="L58" s="144">
        <f t="shared" si="51"/>
        <v>0.42187006574225588</v>
      </c>
      <c r="M58" s="144">
        <f t="shared" si="51"/>
        <v>0.3620436273521021</v>
      </c>
      <c r="N58" s="144">
        <f t="shared" si="51"/>
        <v>0.54883426035332428</v>
      </c>
      <c r="O58" s="144">
        <f t="shared" si="51"/>
        <v>0.61549989912672565</v>
      </c>
      <c r="P58" s="144">
        <f t="shared" si="51"/>
        <v>1.9479745487000835</v>
      </c>
      <c r="Q58" s="144">
        <f t="shared" si="51"/>
        <v>0.64545952017511021</v>
      </c>
      <c r="R58" s="144">
        <f t="shared" si="51"/>
        <v>0.2436267992369501</v>
      </c>
      <c r="S58" s="144">
        <f t="shared" si="51"/>
        <v>0.76494093120222373</v>
      </c>
      <c r="T58" s="144">
        <f t="shared" si="51"/>
        <v>0.9373872563281932</v>
      </c>
      <c r="U58" s="144">
        <f t="shared" si="51"/>
        <v>2.5893792504702646</v>
      </c>
      <c r="V58" s="144">
        <f t="shared" ref="V58:W58" si="52">SUM(V56:V57)</f>
        <v>0.93044466460749464</v>
      </c>
      <c r="W58" s="144">
        <f t="shared" si="52"/>
        <v>0.81480081419017159</v>
      </c>
      <c r="AL58" s="27"/>
      <c r="AM58" s="27"/>
      <c r="AN58" s="27"/>
      <c r="AO58" s="27"/>
      <c r="AP58" s="27"/>
      <c r="AQ58" s="27"/>
      <c r="AR58" s="27"/>
      <c r="AS58" s="27"/>
      <c r="AT58" s="27"/>
      <c r="AU58" s="27"/>
      <c r="AV58" s="27"/>
      <c r="AW58" s="27"/>
      <c r="AX58" s="27"/>
      <c r="AY58" s="27"/>
      <c r="AZ58" s="27"/>
      <c r="BA58" s="27"/>
      <c r="BB58" s="27"/>
    </row>
    <row r="59" spans="1:54" ht="13" x14ac:dyDescent="0.3">
      <c r="A59" s="64" t="s">
        <v>103</v>
      </c>
      <c r="B59" s="225"/>
      <c r="C59" s="211"/>
      <c r="D59" s="211"/>
      <c r="E59" s="211"/>
      <c r="F59" s="211"/>
      <c r="G59" s="211"/>
      <c r="AL59" s="27"/>
      <c r="AM59" s="27"/>
      <c r="AN59" s="27"/>
      <c r="AO59" s="27"/>
      <c r="AP59" s="27"/>
      <c r="AQ59" s="27"/>
      <c r="AR59" s="27"/>
      <c r="AS59" s="27"/>
      <c r="AT59" s="27"/>
      <c r="AU59" s="27"/>
      <c r="AV59" s="27"/>
      <c r="AW59" s="27"/>
      <c r="AX59" s="27"/>
      <c r="AY59" s="27"/>
      <c r="AZ59" s="27"/>
      <c r="BA59" s="27"/>
      <c r="BB59" s="27"/>
    </row>
    <row r="60" spans="1:54" ht="13" x14ac:dyDescent="0.3">
      <c r="A60" s="61" t="s">
        <v>101</v>
      </c>
      <c r="B60" s="214">
        <v>33844.897259999983</v>
      </c>
      <c r="C60" s="214">
        <v>33819.319705494512</v>
      </c>
      <c r="D60" s="214">
        <v>33838.373978260854</v>
      </c>
      <c r="E60" s="214">
        <v>34086.710554347832</v>
      </c>
      <c r="F60" s="214">
        <v>33897.916209315204</v>
      </c>
      <c r="G60" s="214">
        <v>34446</v>
      </c>
      <c r="H60" s="28">
        <v>34512</v>
      </c>
      <c r="I60" s="28">
        <v>34459</v>
      </c>
      <c r="J60" s="28">
        <f>ROUND([11]EPS!B15/1000,0)</f>
        <v>34388</v>
      </c>
      <c r="K60" s="28">
        <v>34451</v>
      </c>
      <c r="L60" s="28">
        <f>ROUND('[1]Statements of Income'!$F$29/1000,0)</f>
        <v>34375</v>
      </c>
      <c r="M60" s="28">
        <f>ROUND('[2]Statements of Income'!$F$29/1000,0)</f>
        <v>34452</v>
      </c>
      <c r="N60" s="28">
        <f>ROUND('[3]Statements of Income'!$F$29/1000,0)</f>
        <v>34322</v>
      </c>
      <c r="O60" s="28">
        <f>ROUND([12]EPS!B15/1000,0)</f>
        <v>34253</v>
      </c>
      <c r="P60" s="28">
        <f>ROUND([12]EPS!C15/1000,0)</f>
        <v>34350</v>
      </c>
      <c r="Q60" s="28">
        <f>ROUND('[5]Statements of Income'!$J$29/1000,0)</f>
        <v>34402</v>
      </c>
      <c r="R60" s="28">
        <f>ROUND('[6]Statements of Income'!$F$29/1000,0)</f>
        <v>34486</v>
      </c>
      <c r="S60" s="28">
        <f>ROUND('[7]Statements of Income'!$F$29/1000,0)</f>
        <v>34327</v>
      </c>
      <c r="T60" s="28">
        <f>ROUND([13]EPS!$B$15/1000,0)</f>
        <v>33882</v>
      </c>
      <c r="U60" s="28">
        <f>ROUND([13]EPS!$C$15/1000,0)</f>
        <v>34273</v>
      </c>
      <c r="V60" s="28">
        <f>ROUND('[9]Statements of Income'!J29/1000,0)</f>
        <v>33734</v>
      </c>
      <c r="W60" s="28">
        <f>ROUND('[10]Statements of Income'!$F$29/1000,0)</f>
        <v>33571</v>
      </c>
      <c r="AL60" s="27"/>
      <c r="AM60" s="27"/>
      <c r="AN60" s="27"/>
      <c r="AO60" s="27"/>
      <c r="AP60" s="27"/>
      <c r="AQ60" s="27"/>
      <c r="AR60" s="27"/>
      <c r="AS60" s="27"/>
      <c r="AT60" s="27"/>
      <c r="AU60" s="27"/>
      <c r="AV60" s="27"/>
      <c r="AW60" s="27"/>
      <c r="AX60" s="27"/>
      <c r="AY60" s="27"/>
      <c r="AZ60" s="27"/>
      <c r="BA60" s="27"/>
      <c r="BB60" s="27"/>
    </row>
    <row r="61" spans="1:54" ht="13.5" thickBot="1" x14ac:dyDescent="0.35">
      <c r="A61" s="91" t="s">
        <v>98</v>
      </c>
      <c r="B61" s="226">
        <v>35108.881999999998</v>
      </c>
      <c r="C61" s="226">
        <v>34993.225873789612</v>
      </c>
      <c r="D61" s="226">
        <v>35043.987162910104</v>
      </c>
      <c r="E61" s="226">
        <v>34086.710554347832</v>
      </c>
      <c r="F61" s="226">
        <v>35110.210318248312</v>
      </c>
      <c r="G61" s="226">
        <v>35303</v>
      </c>
      <c r="H61" s="76">
        <v>35142</v>
      </c>
      <c r="I61" s="76">
        <v>35208</v>
      </c>
      <c r="J61" s="76">
        <f>ROUND([11]EPS!B16/1000,0)</f>
        <v>34921</v>
      </c>
      <c r="K61" s="76">
        <v>35031</v>
      </c>
      <c r="L61" s="76">
        <f>ROUND('[1]Statements of Income'!$F$30/1000,0)</f>
        <v>34833</v>
      </c>
      <c r="M61" s="76">
        <f>ROUND('[2]Statements of Income'!$F$30/1000,0)</f>
        <v>34703</v>
      </c>
      <c r="N61" s="76">
        <f>ROUND('[3]Statements of Income'!$F$30/1000,0)</f>
        <v>34699</v>
      </c>
      <c r="O61" s="76">
        <f>ROUND([12]EPS!B16/1000,0)</f>
        <v>34697</v>
      </c>
      <c r="P61" s="76">
        <f>ROUND([12]EPS!C16/1000,0)</f>
        <v>34733</v>
      </c>
      <c r="Q61" s="76">
        <f>ROUND('[5]Statements of Income'!$J$30/1000,0)</f>
        <v>34721</v>
      </c>
      <c r="R61" s="76">
        <f>ROUND('[6]Statements of Income'!$F$30/1000,0)</f>
        <v>34598</v>
      </c>
      <c r="S61" s="76">
        <f>ROUND('[7]Statements of Income'!$F$30/1000,0)</f>
        <v>34536</v>
      </c>
      <c r="T61" s="76">
        <f>ROUND([13]EPS!$B$16/1000,0)</f>
        <v>34370</v>
      </c>
      <c r="U61" s="76">
        <f>ROUND([13]EPS!$C$16/1000,0)</f>
        <v>34555</v>
      </c>
      <c r="V61" s="76">
        <f>ROUND('[9]Statements of Income'!J30/1000,0)</f>
        <v>34318</v>
      </c>
      <c r="W61" s="76">
        <f>ROUND('[10]Statements of Income'!$F$30/1000,0)</f>
        <v>34390</v>
      </c>
      <c r="AL61" s="27"/>
      <c r="AM61" s="27"/>
      <c r="AN61" s="27"/>
      <c r="AO61" s="27"/>
      <c r="AP61" s="27"/>
      <c r="AQ61" s="27"/>
      <c r="AR61" s="27"/>
      <c r="AS61" s="27"/>
      <c r="AT61" s="27"/>
      <c r="AU61" s="27"/>
      <c r="AV61" s="27"/>
      <c r="AW61" s="27"/>
      <c r="AX61" s="27"/>
      <c r="AY61" s="27"/>
      <c r="AZ61" s="27"/>
      <c r="BA61" s="27"/>
      <c r="BB61" s="27"/>
    </row>
    <row r="62" spans="1:54" ht="6" customHeight="1" x14ac:dyDescent="0.3">
      <c r="A62" s="64"/>
      <c r="B62" s="214"/>
      <c r="C62" s="211"/>
      <c r="D62" s="211"/>
      <c r="E62" s="211"/>
      <c r="F62" s="211"/>
      <c r="G62" s="211"/>
      <c r="AL62" s="27"/>
      <c r="AM62" s="27"/>
      <c r="AN62" s="27"/>
      <c r="AO62" s="27"/>
      <c r="AP62" s="27"/>
      <c r="AQ62" s="27"/>
      <c r="AR62" s="27"/>
      <c r="AS62" s="27"/>
      <c r="AT62" s="27"/>
      <c r="AU62" s="27"/>
      <c r="AV62" s="27"/>
      <c r="AW62" s="27"/>
      <c r="AX62" s="27"/>
      <c r="AY62" s="27"/>
      <c r="AZ62" s="27"/>
      <c r="BA62" s="27"/>
      <c r="BB62" s="27"/>
    </row>
    <row r="63" spans="1:54" ht="13" x14ac:dyDescent="0.3">
      <c r="A63" s="62" t="s">
        <v>91</v>
      </c>
      <c r="B63" s="214"/>
      <c r="C63" s="211"/>
      <c r="D63" s="211"/>
      <c r="E63" s="211"/>
      <c r="F63" s="211"/>
      <c r="G63" s="211"/>
      <c r="O63" s="24" t="s">
        <v>259</v>
      </c>
      <c r="AL63" s="27"/>
      <c r="AM63" s="27"/>
      <c r="AN63" s="27"/>
      <c r="AO63" s="27"/>
      <c r="AP63" s="27"/>
      <c r="AQ63" s="27"/>
      <c r="AR63" s="27"/>
      <c r="AS63" s="27"/>
      <c r="AT63" s="27"/>
      <c r="AU63" s="27"/>
      <c r="AV63" s="27"/>
      <c r="AW63" s="27"/>
      <c r="AX63" s="27"/>
      <c r="AY63" s="27"/>
      <c r="AZ63" s="27"/>
      <c r="BA63" s="27"/>
      <c r="BB63" s="27"/>
    </row>
    <row r="64" spans="1:54" ht="13" x14ac:dyDescent="0.3">
      <c r="A64" s="59" t="s">
        <v>1</v>
      </c>
      <c r="B64" s="217">
        <f t="shared" ref="B64:K64" si="53">B8</f>
        <v>183033</v>
      </c>
      <c r="C64" s="217">
        <f t="shared" si="53"/>
        <v>189057</v>
      </c>
      <c r="D64" s="217">
        <f t="shared" si="53"/>
        <v>192345</v>
      </c>
      <c r="E64" s="212">
        <f t="shared" si="53"/>
        <v>197875</v>
      </c>
      <c r="F64" s="217">
        <f t="shared" si="53"/>
        <v>762310</v>
      </c>
      <c r="G64" s="217">
        <f t="shared" si="53"/>
        <v>206973</v>
      </c>
      <c r="H64" s="42">
        <f t="shared" si="53"/>
        <v>210112</v>
      </c>
      <c r="I64" s="42">
        <f t="shared" si="53"/>
        <v>231124</v>
      </c>
      <c r="J64" s="42">
        <f t="shared" si="53"/>
        <v>234903</v>
      </c>
      <c r="K64" s="42">
        <f t="shared" si="53"/>
        <v>883112</v>
      </c>
      <c r="L64" s="42">
        <f>L8</f>
        <v>239573</v>
      </c>
      <c r="M64" s="42">
        <f>M8</f>
        <v>243509</v>
      </c>
      <c r="N64" s="42">
        <f t="shared" ref="N64:U64" si="54">N8</f>
        <v>251392</v>
      </c>
      <c r="O64" s="42">
        <f t="shared" si="54"/>
        <v>256872</v>
      </c>
      <c r="P64" s="42">
        <f t="shared" si="54"/>
        <v>991346</v>
      </c>
      <c r="Q64" s="42">
        <f t="shared" si="54"/>
        <v>245990</v>
      </c>
      <c r="R64" s="42">
        <f>R8</f>
        <v>222473</v>
      </c>
      <c r="S64" s="42">
        <f t="shared" si="54"/>
        <v>241018</v>
      </c>
      <c r="T64" s="42">
        <f t="shared" si="54"/>
        <v>248953</v>
      </c>
      <c r="U64" s="42">
        <f t="shared" si="54"/>
        <v>958434</v>
      </c>
      <c r="V64" s="42">
        <f t="shared" ref="V64:W64" si="55">V8</f>
        <v>261415</v>
      </c>
      <c r="W64" s="42">
        <f t="shared" si="55"/>
        <v>275064</v>
      </c>
      <c r="AL64" s="27"/>
      <c r="AM64" s="27"/>
      <c r="AN64" s="27"/>
      <c r="AO64" s="27"/>
      <c r="AP64" s="27"/>
      <c r="AQ64" s="27"/>
      <c r="AR64" s="27"/>
      <c r="AS64" s="27"/>
      <c r="AT64" s="27"/>
      <c r="AU64" s="27"/>
      <c r="AV64" s="27"/>
      <c r="AW64" s="27"/>
      <c r="AX64" s="27"/>
      <c r="AY64" s="27"/>
      <c r="AZ64" s="27"/>
      <c r="BA64" s="27"/>
      <c r="BB64" s="27"/>
    </row>
    <row r="65" spans="1:54" ht="13" x14ac:dyDescent="0.3">
      <c r="A65" s="63" t="s">
        <v>153</v>
      </c>
      <c r="B65" s="214">
        <v>0</v>
      </c>
      <c r="C65" s="214"/>
      <c r="D65" s="214">
        <v>0</v>
      </c>
      <c r="E65" s="214">
        <v>0</v>
      </c>
      <c r="F65" s="214">
        <v>0</v>
      </c>
      <c r="G65" s="214">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AL65" s="27"/>
      <c r="AM65" s="27"/>
      <c r="AN65" s="27"/>
      <c r="AO65" s="27"/>
      <c r="AP65" s="27"/>
      <c r="AQ65" s="27"/>
      <c r="AR65" s="27"/>
      <c r="AS65" s="27"/>
      <c r="AT65" s="27"/>
      <c r="AU65" s="27"/>
      <c r="AV65" s="27"/>
      <c r="AW65" s="27"/>
      <c r="AX65" s="27"/>
      <c r="AY65" s="27"/>
      <c r="AZ65" s="27"/>
      <c r="BA65" s="27"/>
      <c r="BB65" s="27"/>
    </row>
    <row r="66" spans="1:54" ht="13.5" customHeight="1" x14ac:dyDescent="0.3">
      <c r="A66" s="59" t="s">
        <v>154</v>
      </c>
      <c r="B66" s="217">
        <f t="shared" ref="B66:M66" si="56">B64+B65</f>
        <v>183033</v>
      </c>
      <c r="C66" s="217">
        <f t="shared" si="56"/>
        <v>189057</v>
      </c>
      <c r="D66" s="217">
        <f t="shared" si="56"/>
        <v>192345</v>
      </c>
      <c r="E66" s="212">
        <f t="shared" si="56"/>
        <v>197875</v>
      </c>
      <c r="F66" s="217">
        <f t="shared" si="56"/>
        <v>762310</v>
      </c>
      <c r="G66" s="217">
        <f t="shared" si="56"/>
        <v>206973</v>
      </c>
      <c r="H66" s="42">
        <f t="shared" si="56"/>
        <v>210112</v>
      </c>
      <c r="I66" s="42">
        <f t="shared" si="56"/>
        <v>231124</v>
      </c>
      <c r="J66" s="42">
        <f t="shared" si="56"/>
        <v>234903</v>
      </c>
      <c r="K66" s="42">
        <f t="shared" si="56"/>
        <v>883112</v>
      </c>
      <c r="L66" s="42">
        <f t="shared" si="56"/>
        <v>239573</v>
      </c>
      <c r="M66" s="42">
        <f t="shared" si="56"/>
        <v>243509</v>
      </c>
      <c r="N66" s="42">
        <f t="shared" ref="N66:U66" si="57">N64+N65</f>
        <v>251392</v>
      </c>
      <c r="O66" s="42">
        <f t="shared" si="57"/>
        <v>256872</v>
      </c>
      <c r="P66" s="42">
        <f t="shared" si="57"/>
        <v>991346</v>
      </c>
      <c r="Q66" s="42">
        <f t="shared" si="57"/>
        <v>245990</v>
      </c>
      <c r="R66" s="42">
        <f>R64+R65</f>
        <v>222473</v>
      </c>
      <c r="S66" s="42">
        <f t="shared" si="57"/>
        <v>241018</v>
      </c>
      <c r="T66" s="42">
        <f t="shared" si="57"/>
        <v>248953</v>
      </c>
      <c r="U66" s="42">
        <f t="shared" si="57"/>
        <v>958434</v>
      </c>
      <c r="V66" s="42">
        <f t="shared" ref="V66:W66" si="58">V64+V65</f>
        <v>261415</v>
      </c>
      <c r="W66" s="42">
        <f t="shared" si="58"/>
        <v>275064</v>
      </c>
      <c r="AL66" s="27"/>
      <c r="AM66" s="27"/>
      <c r="AN66" s="27"/>
      <c r="AO66" s="27"/>
      <c r="AP66" s="27"/>
      <c r="AQ66" s="27"/>
      <c r="AR66" s="27"/>
      <c r="AS66" s="27"/>
      <c r="AT66" s="27"/>
      <c r="AU66" s="27"/>
      <c r="AV66" s="27"/>
      <c r="AW66" s="27"/>
      <c r="AX66" s="27"/>
      <c r="AY66" s="27"/>
      <c r="AZ66" s="27"/>
      <c r="BA66" s="27"/>
      <c r="BB66" s="27"/>
    </row>
    <row r="67" spans="1:54" ht="6.75" customHeight="1" x14ac:dyDescent="0.3">
      <c r="A67" s="62"/>
      <c r="B67" s="214"/>
      <c r="C67" s="211"/>
      <c r="D67" s="211"/>
      <c r="E67" s="211"/>
      <c r="F67" s="211"/>
      <c r="G67" s="211"/>
      <c r="AL67" s="27"/>
      <c r="AM67" s="27"/>
      <c r="AN67" s="27"/>
      <c r="AO67" s="27"/>
      <c r="AP67" s="27"/>
      <c r="AQ67" s="27"/>
      <c r="AR67" s="27"/>
      <c r="AS67" s="27"/>
      <c r="AT67" s="27"/>
      <c r="AU67" s="27"/>
      <c r="AV67" s="27"/>
      <c r="AW67" s="27"/>
      <c r="AX67" s="27"/>
      <c r="AY67" s="27"/>
      <c r="AZ67" s="27"/>
      <c r="BA67" s="27"/>
      <c r="BB67" s="27"/>
    </row>
    <row r="68" spans="1:54" s="27" customFormat="1" ht="13" x14ac:dyDescent="0.3">
      <c r="A68" s="59" t="s">
        <v>70</v>
      </c>
      <c r="B68" s="212">
        <f t="shared" ref="B68:M68" si="59">B31</f>
        <v>17212</v>
      </c>
      <c r="C68" s="217">
        <f t="shared" si="59"/>
        <v>18268</v>
      </c>
      <c r="D68" s="217">
        <f t="shared" si="59"/>
        <v>20945</v>
      </c>
      <c r="E68" s="212">
        <f t="shared" si="59"/>
        <v>16300</v>
      </c>
      <c r="F68" s="217">
        <f t="shared" si="59"/>
        <v>72725</v>
      </c>
      <c r="G68" s="217">
        <f t="shared" si="59"/>
        <v>15150</v>
      </c>
      <c r="H68" s="42">
        <f t="shared" si="59"/>
        <v>17090</v>
      </c>
      <c r="I68" s="42">
        <f t="shared" si="59"/>
        <v>19674</v>
      </c>
      <c r="J68" s="42">
        <f t="shared" si="59"/>
        <v>-2093</v>
      </c>
      <c r="K68" s="42">
        <f t="shared" si="59"/>
        <v>49821</v>
      </c>
      <c r="L68" s="42">
        <f t="shared" si="59"/>
        <v>16861</v>
      </c>
      <c r="M68" s="42">
        <f t="shared" si="59"/>
        <v>13856</v>
      </c>
      <c r="N68" s="42">
        <f t="shared" ref="N68:U68" si="60">N31</f>
        <v>22422</v>
      </c>
      <c r="O68" s="42">
        <f t="shared" si="60"/>
        <v>23314</v>
      </c>
      <c r="P68" s="42">
        <f t="shared" si="60"/>
        <v>76453</v>
      </c>
      <c r="Q68" s="42">
        <f t="shared" si="60"/>
        <v>27487</v>
      </c>
      <c r="R68" s="42">
        <f>R31</f>
        <v>9866</v>
      </c>
      <c r="S68" s="42">
        <f t="shared" si="60"/>
        <v>34406</v>
      </c>
      <c r="T68" s="42">
        <f t="shared" si="60"/>
        <v>38263</v>
      </c>
      <c r="U68" s="42">
        <f t="shared" si="60"/>
        <v>110022</v>
      </c>
      <c r="V68" s="42">
        <f t="shared" ref="V68:W68" si="61">V31</f>
        <v>41555</v>
      </c>
      <c r="W68" s="42">
        <f t="shared" si="61"/>
        <v>35830</v>
      </c>
      <c r="X68" s="387" t="s">
        <v>262</v>
      </c>
      <c r="Y68" s="387"/>
    </row>
    <row r="69" spans="1:54" ht="13" x14ac:dyDescent="0.3">
      <c r="A69" s="63" t="s">
        <v>187</v>
      </c>
      <c r="B69" s="219">
        <v>3498</v>
      </c>
      <c r="C69" s="219">
        <v>3507</v>
      </c>
      <c r="D69" s="219">
        <v>3487</v>
      </c>
      <c r="E69" s="214">
        <f>+F69-SUM(B69,C69,D69)</f>
        <v>3483</v>
      </c>
      <c r="F69" s="219">
        <v>13975</v>
      </c>
      <c r="G69" s="219">
        <v>3947</v>
      </c>
      <c r="H69" s="58">
        <v>3761</v>
      </c>
      <c r="I69" s="28">
        <v>6718</v>
      </c>
      <c r="J69" s="188">
        <f>+K69-SUM(G69:I69)</f>
        <v>5951</v>
      </c>
      <c r="K69" s="58">
        <v>20377</v>
      </c>
      <c r="L69" s="58">
        <f>ROUND('[1]Goodwill &amp; Intangibles'!$B$62,0)</f>
        <v>5528</v>
      </c>
      <c r="M69" s="58">
        <f>ROUND('[2]Goodwill &amp; Intangibles'!$B$62,0)</f>
        <v>5554</v>
      </c>
      <c r="N69" s="58">
        <f>ROUND('[3]Goodwill &amp; Intangibles'!$B$61,0)</f>
        <v>5502</v>
      </c>
      <c r="O69" s="188">
        <f>+P69-SUM(L69:N69)</f>
        <v>4974</v>
      </c>
      <c r="P69" s="58">
        <f>'[4]Goodwill &amp; Intangibles'!$B$61</f>
        <v>21558</v>
      </c>
      <c r="Q69" s="58">
        <f>ROUND('[5]Goodwill &amp; Intangibles'!$B$59,0)+1</f>
        <v>4154</v>
      </c>
      <c r="R69" s="352">
        <f>ROUND('[6]Goodwill &amp; Intangibles'!$B$59,0)</f>
        <v>3430</v>
      </c>
      <c r="S69" s="352">
        <f>ROUND('[7]Goodwill &amp; Intangibles'!$B$59,0)</f>
        <v>3413</v>
      </c>
      <c r="T69" s="352">
        <f>+U69-SUM(Q69:S69)</f>
        <v>3415</v>
      </c>
      <c r="U69" s="352">
        <f>'[8]Goodwill &amp; Intangibles'!$B$59</f>
        <v>14412</v>
      </c>
      <c r="V69" s="58">
        <f>'[9]Goodwill &amp; Intangibles'!$B$57</f>
        <v>3361</v>
      </c>
      <c r="W69" s="352">
        <f>'[10]Goodwill &amp; Intangibles'!$B$57</f>
        <v>3397</v>
      </c>
      <c r="X69" s="86">
        <f>W69-'[10]Goodwill &amp; Intangibles'!$B$57</f>
        <v>0</v>
      </c>
      <c r="Y69" s="86">
        <f>V69+W69-'[10]Goodwill &amp; Intangibles'!$F$57</f>
        <v>0</v>
      </c>
      <c r="AL69" s="27"/>
      <c r="AM69" s="27"/>
      <c r="AN69" s="27"/>
      <c r="AO69" s="27"/>
      <c r="AP69" s="27"/>
      <c r="AQ69" s="27"/>
      <c r="AR69" s="27"/>
      <c r="AS69" s="27"/>
      <c r="AT69" s="27"/>
      <c r="AU69" s="27"/>
      <c r="AV69" s="27"/>
      <c r="AW69" s="27"/>
      <c r="AX69" s="27"/>
      <c r="AY69" s="27"/>
      <c r="AZ69" s="27"/>
      <c r="BA69" s="27"/>
      <c r="BB69" s="27"/>
    </row>
    <row r="70" spans="1:54" ht="13" x14ac:dyDescent="0.3">
      <c r="A70" s="63" t="s">
        <v>188</v>
      </c>
      <c r="B70" s="219">
        <v>5956</v>
      </c>
      <c r="C70" s="219">
        <v>5107</v>
      </c>
      <c r="D70" s="219">
        <v>5708</v>
      </c>
      <c r="E70" s="214">
        <f>+F70-SUM(B70,C70,D70)</f>
        <v>6270</v>
      </c>
      <c r="F70" s="219">
        <v>23041</v>
      </c>
      <c r="G70" s="219">
        <v>5074</v>
      </c>
      <c r="H70" s="58">
        <v>6893</v>
      </c>
      <c r="I70" s="28">
        <v>5344</v>
      </c>
      <c r="J70" s="188">
        <f>+K70-SUM(G70:I70)</f>
        <v>6590</v>
      </c>
      <c r="K70" s="58">
        <v>23901</v>
      </c>
      <c r="L70" s="58">
        <f>ROUND('[1]21. Stock Based Compensation'!$B$7,0)</f>
        <v>6956</v>
      </c>
      <c r="M70" s="58">
        <f>ROUND('[2]21. Stock Based Compensation'!$B$7,0)</f>
        <v>7155</v>
      </c>
      <c r="N70" s="58">
        <f>ROUND('[3]21. Stock Based Compensation'!$B$7,0)</f>
        <v>7427</v>
      </c>
      <c r="O70" s="188">
        <f>+P70-SUM(L70:N70)</f>
        <v>4532</v>
      </c>
      <c r="P70" s="58">
        <f>'[4]21. Stock Based Compensation'!$B$7</f>
        <v>26070</v>
      </c>
      <c r="Q70" s="58">
        <f>ROUND('[5]21. Stock Based Compensation'!$B$7,0)</f>
        <v>4778</v>
      </c>
      <c r="R70" s="352">
        <f>ROUND('[6]21. Stock Based Compensation'!$B$7,0)</f>
        <v>7726</v>
      </c>
      <c r="S70" s="352">
        <f>ROUND('[7]21. Stock Based Compensation'!$B$7,0)</f>
        <v>8346</v>
      </c>
      <c r="T70" s="352">
        <f>+U70-SUM(Q70:S70)</f>
        <v>7385</v>
      </c>
      <c r="U70" s="352">
        <f>'[8]21. Stock Based Compensation'!$B$7</f>
        <v>28235</v>
      </c>
      <c r="V70" s="58">
        <f>'[9]21. Stock Based Compensation'!$B$7</f>
        <v>7832</v>
      </c>
      <c r="W70" s="352">
        <f>'[10]21. Stock Based Compensation'!$B$7</f>
        <v>10070</v>
      </c>
      <c r="X70" s="86">
        <f>W70-'[10]21. Stock Based Compensation'!$B$7</f>
        <v>0</v>
      </c>
      <c r="Y70" s="86">
        <f>V70+W70-'[10]21. Stock Based Compensation'!$E$7</f>
        <v>0</v>
      </c>
      <c r="Z70" s="86"/>
      <c r="AL70" s="27"/>
      <c r="AM70" s="27"/>
      <c r="AN70" s="27"/>
      <c r="AO70" s="27"/>
      <c r="AP70" s="27"/>
      <c r="AQ70" s="27"/>
      <c r="AR70" s="27"/>
      <c r="AS70" s="27"/>
      <c r="AT70" s="27"/>
      <c r="AU70" s="27"/>
      <c r="AV70" s="27"/>
      <c r="AW70" s="27"/>
      <c r="AX70" s="27"/>
      <c r="AY70" s="27"/>
      <c r="AZ70" s="27"/>
      <c r="BA70" s="27"/>
      <c r="BB70" s="27"/>
    </row>
    <row r="71" spans="1:54" ht="13" x14ac:dyDescent="0.3">
      <c r="A71" s="63" t="s">
        <v>194</v>
      </c>
      <c r="B71" s="227">
        <v>0</v>
      </c>
      <c r="C71" s="227">
        <v>0</v>
      </c>
      <c r="D71" s="227">
        <v>0</v>
      </c>
      <c r="E71" s="227">
        <v>0</v>
      </c>
      <c r="F71" s="227">
        <v>0</v>
      </c>
      <c r="G71" s="227">
        <v>2400</v>
      </c>
      <c r="H71" s="282">
        <v>0</v>
      </c>
      <c r="I71" s="282">
        <v>0</v>
      </c>
      <c r="J71" s="282">
        <v>0</v>
      </c>
      <c r="K71" s="105">
        <f>SUM(G71:J71)</f>
        <v>2400</v>
      </c>
      <c r="L71" s="105">
        <v>0</v>
      </c>
      <c r="M71" s="105">
        <v>0</v>
      </c>
      <c r="N71" s="105">
        <v>0</v>
      </c>
      <c r="O71" s="105">
        <v>0</v>
      </c>
      <c r="P71" s="105">
        <f>SUM(L71:O71)</f>
        <v>0</v>
      </c>
      <c r="Q71" s="105">
        <v>0</v>
      </c>
      <c r="R71" s="282">
        <v>0</v>
      </c>
      <c r="S71" s="282">
        <v>0</v>
      </c>
      <c r="T71" s="282">
        <v>0</v>
      </c>
      <c r="U71" s="282">
        <f>SUM(Q71:T71)</f>
        <v>0</v>
      </c>
      <c r="V71" s="105">
        <v>0</v>
      </c>
      <c r="W71" s="282">
        <v>0</v>
      </c>
      <c r="AL71" s="27"/>
      <c r="AM71" s="27"/>
      <c r="AN71" s="27"/>
      <c r="AO71" s="27"/>
      <c r="AP71" s="27"/>
      <c r="AQ71" s="27"/>
      <c r="AR71" s="27"/>
      <c r="AS71" s="27"/>
      <c r="AT71" s="27"/>
      <c r="AU71" s="27"/>
      <c r="AV71" s="27"/>
      <c r="AW71" s="27"/>
      <c r="AX71" s="27"/>
      <c r="AY71" s="27"/>
      <c r="AZ71" s="27"/>
      <c r="BA71" s="27"/>
      <c r="BB71" s="27"/>
    </row>
    <row r="72" spans="1:54" ht="13" x14ac:dyDescent="0.3">
      <c r="A72" s="63" t="s">
        <v>200</v>
      </c>
      <c r="B72" s="227">
        <v>0</v>
      </c>
      <c r="C72" s="227">
        <v>48</v>
      </c>
      <c r="D72" s="227">
        <v>457</v>
      </c>
      <c r="E72" s="227">
        <v>321</v>
      </c>
      <c r="F72" s="227">
        <v>826</v>
      </c>
      <c r="G72" s="227">
        <v>363</v>
      </c>
      <c r="H72" s="282">
        <v>841</v>
      </c>
      <c r="I72" s="282">
        <f>ROUND([14]Summary!$G$46/1000,0)</f>
        <v>855</v>
      </c>
      <c r="J72" s="188">
        <f>+K72-SUM(G72:I72)</f>
        <v>236</v>
      </c>
      <c r="K72" s="282">
        <f>ROUND('[15]Adjusted EPS Working'!$B$15,0)</f>
        <v>2295</v>
      </c>
      <c r="L72" s="282">
        <v>0</v>
      </c>
      <c r="M72" s="282">
        <v>0</v>
      </c>
      <c r="N72" s="282">
        <v>0</v>
      </c>
      <c r="O72" s="188">
        <f>+P72-SUM(L72:N72)</f>
        <v>0</v>
      </c>
      <c r="P72" s="282">
        <v>0</v>
      </c>
      <c r="Q72" s="282">
        <v>0</v>
      </c>
      <c r="R72" s="282">
        <v>0</v>
      </c>
      <c r="S72" s="282">
        <v>0</v>
      </c>
      <c r="T72" s="282">
        <v>0</v>
      </c>
      <c r="U72" s="282">
        <v>0</v>
      </c>
      <c r="V72" s="282">
        <v>0</v>
      </c>
      <c r="W72" s="282">
        <v>0</v>
      </c>
      <c r="AL72" s="27"/>
      <c r="AM72" s="27"/>
      <c r="AN72" s="27"/>
      <c r="AO72" s="27"/>
      <c r="AP72" s="27"/>
      <c r="AQ72" s="27"/>
      <c r="AR72" s="27"/>
      <c r="AS72" s="27"/>
      <c r="AT72" s="27"/>
      <c r="AU72" s="27"/>
      <c r="AV72" s="27"/>
      <c r="AW72" s="27"/>
      <c r="AX72" s="27"/>
      <c r="AY72" s="27"/>
      <c r="AZ72" s="27"/>
      <c r="BA72" s="27"/>
      <c r="BB72" s="27"/>
    </row>
    <row r="73" spans="1:54" ht="25.5" x14ac:dyDescent="0.3">
      <c r="A73" s="308" t="s">
        <v>216</v>
      </c>
      <c r="B73" s="310">
        <v>0</v>
      </c>
      <c r="C73" s="310">
        <v>0</v>
      </c>
      <c r="D73" s="310">
        <v>0</v>
      </c>
      <c r="E73" s="310">
        <v>0</v>
      </c>
      <c r="F73" s="310">
        <v>0</v>
      </c>
      <c r="G73" s="310">
        <v>0</v>
      </c>
      <c r="H73" s="312">
        <v>0</v>
      </c>
      <c r="I73" s="312">
        <v>0</v>
      </c>
      <c r="J73" s="314">
        <f>+K73-SUM(G73:I73)</f>
        <v>20056</v>
      </c>
      <c r="K73" s="312">
        <f>'[15]Adjusted EPS Working'!$B$18</f>
        <v>20056</v>
      </c>
      <c r="L73" s="312">
        <f>-L26</f>
        <v>1227</v>
      </c>
      <c r="M73" s="312">
        <f>-M26</f>
        <v>5580</v>
      </c>
      <c r="N73" s="312">
        <f>-N26</f>
        <v>489</v>
      </c>
      <c r="O73" s="314">
        <f>+P73-SUM(L73:N73)</f>
        <v>1375</v>
      </c>
      <c r="P73" s="312">
        <f t="shared" ref="P73:U73" si="62">-P26</f>
        <v>8671</v>
      </c>
      <c r="Q73" s="312">
        <f t="shared" si="62"/>
        <v>0</v>
      </c>
      <c r="R73" s="312">
        <f t="shared" si="62"/>
        <v>0</v>
      </c>
      <c r="S73" s="312">
        <f t="shared" si="62"/>
        <v>0</v>
      </c>
      <c r="T73" s="312">
        <f t="shared" si="62"/>
        <v>0</v>
      </c>
      <c r="U73" s="312">
        <f t="shared" si="62"/>
        <v>0</v>
      </c>
      <c r="V73" s="312">
        <f t="shared" ref="V73:W73" si="63">-V26</f>
        <v>0</v>
      </c>
      <c r="W73" s="312">
        <f t="shared" si="63"/>
        <v>0</v>
      </c>
      <c r="AL73" s="27"/>
      <c r="AM73" s="27"/>
      <c r="AN73" s="27"/>
      <c r="AO73" s="27"/>
      <c r="AP73" s="27"/>
      <c r="AQ73" s="27"/>
      <c r="AR73" s="27"/>
      <c r="AS73" s="27"/>
      <c r="AT73" s="27"/>
      <c r="AU73" s="27"/>
      <c r="AV73" s="27"/>
      <c r="AW73" s="27"/>
      <c r="AX73" s="27"/>
      <c r="AY73" s="27"/>
      <c r="AZ73" s="27"/>
      <c r="BA73" s="27"/>
      <c r="BB73" s="27"/>
    </row>
    <row r="74" spans="1:54" s="27" customFormat="1" ht="13" x14ac:dyDescent="0.3">
      <c r="A74" s="59" t="s">
        <v>71</v>
      </c>
      <c r="B74" s="217">
        <f t="shared" ref="B74:Q74" si="64">SUM(B68:B73)</f>
        <v>26666</v>
      </c>
      <c r="C74" s="217">
        <f t="shared" si="64"/>
        <v>26930</v>
      </c>
      <c r="D74" s="217">
        <f t="shared" si="64"/>
        <v>30597</v>
      </c>
      <c r="E74" s="217">
        <f t="shared" si="64"/>
        <v>26374</v>
      </c>
      <c r="F74" s="217">
        <f t="shared" si="64"/>
        <v>110567</v>
      </c>
      <c r="G74" s="217">
        <f t="shared" si="64"/>
        <v>26934</v>
      </c>
      <c r="H74" s="42">
        <f t="shared" si="64"/>
        <v>28585</v>
      </c>
      <c r="I74" s="42">
        <f t="shared" si="64"/>
        <v>32591</v>
      </c>
      <c r="J74" s="42">
        <f t="shared" si="64"/>
        <v>30740</v>
      </c>
      <c r="K74" s="42">
        <f t="shared" si="64"/>
        <v>118850</v>
      </c>
      <c r="L74" s="42">
        <f t="shared" si="64"/>
        <v>30572</v>
      </c>
      <c r="M74" s="42">
        <f t="shared" si="64"/>
        <v>32145</v>
      </c>
      <c r="N74" s="42">
        <f t="shared" si="64"/>
        <v>35840</v>
      </c>
      <c r="O74" s="42">
        <f t="shared" si="64"/>
        <v>34195</v>
      </c>
      <c r="P74" s="42">
        <f t="shared" si="64"/>
        <v>132752</v>
      </c>
      <c r="Q74" s="42">
        <f t="shared" si="64"/>
        <v>36419</v>
      </c>
      <c r="R74" s="42">
        <f>SUM(R68:R73)</f>
        <v>21022</v>
      </c>
      <c r="S74" s="42">
        <f>SUM(S68:S73)</f>
        <v>46165</v>
      </c>
      <c r="T74" s="42">
        <f>SUM(T68:T73)</f>
        <v>49063</v>
      </c>
      <c r="U74" s="42">
        <f>SUM(U68:U73)</f>
        <v>152669</v>
      </c>
      <c r="V74" s="42">
        <f t="shared" ref="V74:W74" si="65">SUM(V68:V73)</f>
        <v>52748</v>
      </c>
      <c r="W74" s="42">
        <f t="shared" si="65"/>
        <v>49297</v>
      </c>
    </row>
    <row r="75" spans="1:54" ht="13" x14ac:dyDescent="0.3">
      <c r="A75" s="353" t="s">
        <v>62</v>
      </c>
      <c r="B75" s="228">
        <v>0.14568957510394301</v>
      </c>
      <c r="C75" s="228">
        <v>0.14244381324150918</v>
      </c>
      <c r="D75" s="228">
        <v>0.15907353973329175</v>
      </c>
      <c r="E75" s="228">
        <v>0.13328616550852812</v>
      </c>
      <c r="F75" s="228">
        <v>0.14504204326323936</v>
      </c>
      <c r="G75" s="228">
        <f t="shared" ref="G75:U75" si="66">IF(G74/G66&lt;0, "NM",G74/G66)</f>
        <v>0.13013291588757953</v>
      </c>
      <c r="H75" s="107">
        <f t="shared" si="66"/>
        <v>0.13604648949131892</v>
      </c>
      <c r="I75" s="107">
        <f t="shared" si="66"/>
        <v>0.14101088593136152</v>
      </c>
      <c r="J75" s="107">
        <f t="shared" si="66"/>
        <v>0.13086252623423286</v>
      </c>
      <c r="K75" s="107">
        <f t="shared" si="66"/>
        <v>0.13458089121198671</v>
      </c>
      <c r="L75" s="107">
        <f t="shared" si="66"/>
        <v>0.12761037345610732</v>
      </c>
      <c r="M75" s="107">
        <f t="shared" si="66"/>
        <v>0.13200744120340521</v>
      </c>
      <c r="N75" s="320">
        <f t="shared" si="66"/>
        <v>0.1425661914460285</v>
      </c>
      <c r="O75" s="320">
        <f t="shared" si="66"/>
        <v>0.13312077610638762</v>
      </c>
      <c r="P75" s="107">
        <f t="shared" si="66"/>
        <v>0.13391086462244262</v>
      </c>
      <c r="Q75" s="107">
        <f t="shared" si="66"/>
        <v>0.14805073376966543</v>
      </c>
      <c r="R75" s="107">
        <f>IF(R74/R66&lt;0, "NM",R74/R66)</f>
        <v>9.4492365365684824E-2</v>
      </c>
      <c r="S75" s="107">
        <f t="shared" si="66"/>
        <v>0.1915417105776332</v>
      </c>
      <c r="T75" s="107">
        <f t="shared" si="66"/>
        <v>0.19707735998361137</v>
      </c>
      <c r="U75" s="107">
        <f t="shared" si="66"/>
        <v>0.15929005022776738</v>
      </c>
      <c r="V75" s="107">
        <f t="shared" ref="V75:W75" si="67">IF(V74/V66&lt;0, "NM",V74/V66)</f>
        <v>0.20177878086567336</v>
      </c>
      <c r="W75" s="107">
        <f t="shared" si="67"/>
        <v>0.17922010877468517</v>
      </c>
      <c r="AL75" s="27"/>
      <c r="AM75" s="27"/>
      <c r="AN75" s="27"/>
      <c r="AO75" s="27"/>
      <c r="AP75" s="27"/>
      <c r="AQ75" s="27"/>
      <c r="AR75" s="27"/>
      <c r="AS75" s="27"/>
      <c r="AT75" s="27"/>
      <c r="AU75" s="27"/>
      <c r="AV75" s="27"/>
      <c r="AW75" s="27"/>
      <c r="AX75" s="27"/>
      <c r="AY75" s="27"/>
      <c r="AZ75" s="27"/>
      <c r="BA75" s="27"/>
      <c r="BB75" s="27"/>
    </row>
    <row r="76" spans="1:54" s="27" customFormat="1" ht="13" x14ac:dyDescent="0.3">
      <c r="A76" s="60" t="s">
        <v>131</v>
      </c>
      <c r="B76" s="213">
        <v>0.16985268461194436</v>
      </c>
      <c r="C76" s="213">
        <v>9.900247506187565E-3</v>
      </c>
      <c r="D76" s="213">
        <v>0.13616784255477166</v>
      </c>
      <c r="E76" s="213">
        <v>-0.13802006732686212</v>
      </c>
      <c r="F76" s="220" t="s">
        <v>83</v>
      </c>
      <c r="G76" s="213">
        <f>G74/E74-1</f>
        <v>2.123303253203912E-2</v>
      </c>
      <c r="H76" s="35">
        <f>H74/G74-1</f>
        <v>6.1297987673572418E-2</v>
      </c>
      <c r="I76" s="35">
        <f>I74/H74-1</f>
        <v>0.14014343186986178</v>
      </c>
      <c r="J76" s="35">
        <f>J74/I74-1</f>
        <v>-5.6794820656009382E-2</v>
      </c>
      <c r="K76" s="35" t="s">
        <v>83</v>
      </c>
      <c r="L76" s="146">
        <f>L74/J74-1</f>
        <v>-5.4651919323357445E-3</v>
      </c>
      <c r="M76" s="146">
        <f>M74/L74-1</f>
        <v>5.1452309302629784E-2</v>
      </c>
      <c r="N76" s="146">
        <f>N74/M74-1</f>
        <v>0.1149478923627314</v>
      </c>
      <c r="O76" s="146">
        <f>O74/N74-1</f>
        <v>-4.58984375E-2</v>
      </c>
      <c r="P76" s="35" t="s">
        <v>83</v>
      </c>
      <c r="Q76" s="146">
        <f>Q74/O74-1</f>
        <v>6.5038748355022769E-2</v>
      </c>
      <c r="R76" s="146">
        <f>R74/Q74-1</f>
        <v>-0.42277382684862297</v>
      </c>
      <c r="S76" s="146">
        <f>S74/R74-1</f>
        <v>1.1960327276186851</v>
      </c>
      <c r="T76" s="146">
        <f>T74/S74-1</f>
        <v>6.2774829416224476E-2</v>
      </c>
      <c r="U76" s="358" t="s">
        <v>83</v>
      </c>
      <c r="V76" s="146">
        <f>V74/T74-1</f>
        <v>7.5107514827874367E-2</v>
      </c>
      <c r="W76" s="146">
        <f>W74/V74-1</f>
        <v>-6.5424281489345537E-2</v>
      </c>
    </row>
    <row r="77" spans="1:54" ht="13.5" thickBot="1" x14ac:dyDescent="0.35">
      <c r="A77" s="111" t="s">
        <v>132</v>
      </c>
      <c r="B77" s="221">
        <v>6.767149662874905E-2</v>
      </c>
      <c r="C77" s="221">
        <v>0.15065800717826017</v>
      </c>
      <c r="D77" s="221">
        <v>0.23919646834879105</v>
      </c>
      <c r="E77" s="221">
        <v>0.1098067803816003</v>
      </c>
      <c r="F77" s="221">
        <v>0.12145007207428482</v>
      </c>
      <c r="G77" s="221">
        <f t="shared" ref="G77:W77" si="68">G74/B74-1</f>
        <v>1.0050251256281451E-2</v>
      </c>
      <c r="H77" s="79">
        <f t="shared" si="68"/>
        <v>6.1455625696249516E-2</v>
      </c>
      <c r="I77" s="79">
        <f t="shared" si="68"/>
        <v>6.5169787887701336E-2</v>
      </c>
      <c r="J77" s="79">
        <f t="shared" si="68"/>
        <v>0.16554182149086216</v>
      </c>
      <c r="K77" s="79">
        <f t="shared" si="68"/>
        <v>7.4913853138820707E-2</v>
      </c>
      <c r="L77" s="79">
        <f t="shared" si="68"/>
        <v>0.13507091408628491</v>
      </c>
      <c r="M77" s="79">
        <f t="shared" si="68"/>
        <v>0.12454084309952762</v>
      </c>
      <c r="N77" s="79">
        <f t="shared" si="68"/>
        <v>9.9690098493449009E-2</v>
      </c>
      <c r="O77" s="79">
        <f t="shared" si="68"/>
        <v>0.11239427456083284</v>
      </c>
      <c r="P77" s="79">
        <f t="shared" si="68"/>
        <v>0.11697097181320992</v>
      </c>
      <c r="Q77" s="79">
        <f t="shared" si="68"/>
        <v>0.19125343451524279</v>
      </c>
      <c r="R77" s="79">
        <f t="shared" si="68"/>
        <v>-0.34602582050085551</v>
      </c>
      <c r="S77" s="79">
        <f t="shared" si="68"/>
        <v>0.2880859375</v>
      </c>
      <c r="T77" s="79">
        <f t="shared" si="68"/>
        <v>0.43480040941658138</v>
      </c>
      <c r="U77" s="79">
        <f t="shared" si="68"/>
        <v>0.1500316379414246</v>
      </c>
      <c r="V77" s="79">
        <f t="shared" si="68"/>
        <v>0.44836486449380808</v>
      </c>
      <c r="W77" s="79">
        <f t="shared" si="68"/>
        <v>1.3450195033774142</v>
      </c>
      <c r="AL77" s="27"/>
      <c r="AM77" s="27"/>
      <c r="AN77" s="27"/>
      <c r="AO77" s="27"/>
      <c r="AP77" s="27"/>
      <c r="AQ77" s="27"/>
      <c r="AR77" s="27"/>
      <c r="AS77" s="27"/>
      <c r="AT77" s="27"/>
      <c r="AU77" s="27"/>
      <c r="AV77" s="27"/>
      <c r="AW77" s="27"/>
      <c r="AX77" s="27"/>
      <c r="AY77" s="27"/>
      <c r="AZ77" s="27"/>
      <c r="BA77" s="27"/>
      <c r="BB77" s="27"/>
    </row>
    <row r="78" spans="1:54" ht="6" customHeight="1" x14ac:dyDescent="0.3">
      <c r="A78" s="112"/>
      <c r="B78" s="213"/>
      <c r="C78" s="211"/>
      <c r="D78" s="211"/>
      <c r="E78" s="211"/>
      <c r="F78" s="211"/>
      <c r="G78" s="211"/>
      <c r="AL78" s="27"/>
      <c r="AM78" s="27"/>
      <c r="AN78" s="27"/>
      <c r="AO78" s="27"/>
      <c r="AP78" s="27"/>
      <c r="AQ78" s="27"/>
      <c r="AR78" s="27"/>
      <c r="AS78" s="27"/>
      <c r="AT78" s="27"/>
      <c r="AU78" s="27"/>
      <c r="AV78" s="27"/>
      <c r="AW78" s="27"/>
      <c r="AX78" s="27"/>
      <c r="AY78" s="27"/>
      <c r="AZ78" s="27"/>
      <c r="BA78" s="27"/>
      <c r="BB78" s="27"/>
    </row>
    <row r="79" spans="1:54" ht="13" x14ac:dyDescent="0.3">
      <c r="A79" s="59" t="s">
        <v>70</v>
      </c>
      <c r="B79" s="217">
        <f t="shared" ref="B79:U79" si="69">B68</f>
        <v>17212</v>
      </c>
      <c r="C79" s="217">
        <f t="shared" si="69"/>
        <v>18268</v>
      </c>
      <c r="D79" s="217">
        <f t="shared" si="69"/>
        <v>20945</v>
      </c>
      <c r="E79" s="212">
        <f t="shared" si="69"/>
        <v>16300</v>
      </c>
      <c r="F79" s="217">
        <f t="shared" si="69"/>
        <v>72725</v>
      </c>
      <c r="G79" s="217">
        <f t="shared" si="69"/>
        <v>15150</v>
      </c>
      <c r="H79" s="42">
        <f t="shared" si="69"/>
        <v>17090</v>
      </c>
      <c r="I79" s="42">
        <f t="shared" si="69"/>
        <v>19674</v>
      </c>
      <c r="J79" s="42">
        <f t="shared" si="69"/>
        <v>-2093</v>
      </c>
      <c r="K79" s="42">
        <f t="shared" si="69"/>
        <v>49821</v>
      </c>
      <c r="L79" s="42">
        <f t="shared" si="69"/>
        <v>16861</v>
      </c>
      <c r="M79" s="42">
        <f t="shared" si="69"/>
        <v>13856</v>
      </c>
      <c r="N79" s="42">
        <f t="shared" si="69"/>
        <v>22422</v>
      </c>
      <c r="O79" s="42">
        <f t="shared" si="69"/>
        <v>23314</v>
      </c>
      <c r="P79" s="42">
        <f t="shared" si="69"/>
        <v>76453</v>
      </c>
      <c r="Q79" s="42">
        <f t="shared" si="69"/>
        <v>27487</v>
      </c>
      <c r="R79" s="42">
        <f>R68</f>
        <v>9866</v>
      </c>
      <c r="S79" s="42">
        <f t="shared" si="69"/>
        <v>34406</v>
      </c>
      <c r="T79" s="42">
        <f t="shared" si="69"/>
        <v>38263</v>
      </c>
      <c r="U79" s="42">
        <f t="shared" si="69"/>
        <v>110022</v>
      </c>
      <c r="V79" s="42">
        <f t="shared" ref="V79:W79" si="70">V68</f>
        <v>41555</v>
      </c>
      <c r="W79" s="42">
        <f t="shared" si="70"/>
        <v>35830</v>
      </c>
      <c r="AL79" s="27"/>
      <c r="AM79" s="27"/>
      <c r="AN79" s="27"/>
      <c r="AO79" s="27"/>
      <c r="AP79" s="27"/>
      <c r="AQ79" s="27"/>
      <c r="AR79" s="27"/>
      <c r="AS79" s="27"/>
      <c r="AT79" s="27"/>
      <c r="AU79" s="27"/>
      <c r="AV79" s="27"/>
      <c r="AW79" s="27"/>
      <c r="AX79" s="27"/>
      <c r="AY79" s="27"/>
      <c r="AZ79" s="27"/>
      <c r="BA79" s="27"/>
      <c r="BB79" s="27"/>
    </row>
    <row r="80" spans="1:54" ht="13" x14ac:dyDescent="0.3">
      <c r="A80" s="63" t="s">
        <v>128</v>
      </c>
      <c r="B80" s="229">
        <f t="shared" ref="B80:S80" si="71">-B23-B69</f>
        <v>5874</v>
      </c>
      <c r="C80" s="229">
        <f t="shared" si="71"/>
        <v>6028</v>
      </c>
      <c r="D80" s="229">
        <f t="shared" si="71"/>
        <v>6095</v>
      </c>
      <c r="E80" s="214">
        <f t="shared" si="71"/>
        <v>6577</v>
      </c>
      <c r="F80" s="229">
        <f t="shared" si="71"/>
        <v>24574</v>
      </c>
      <c r="G80" s="229">
        <f t="shared" si="71"/>
        <v>6557</v>
      </c>
      <c r="H80" s="86">
        <f t="shared" si="71"/>
        <v>6821</v>
      </c>
      <c r="I80" s="28">
        <f t="shared" si="71"/>
        <v>7381</v>
      </c>
      <c r="J80" s="28">
        <f t="shared" si="71"/>
        <v>7430</v>
      </c>
      <c r="K80" s="86">
        <f t="shared" si="71"/>
        <v>28189</v>
      </c>
      <c r="L80" s="86">
        <f t="shared" si="71"/>
        <v>8139</v>
      </c>
      <c r="M80" s="86">
        <f t="shared" si="71"/>
        <v>7198</v>
      </c>
      <c r="N80" s="86">
        <f t="shared" si="71"/>
        <v>7545</v>
      </c>
      <c r="O80" s="86">
        <f t="shared" si="71"/>
        <v>7541</v>
      </c>
      <c r="P80" s="86">
        <f t="shared" si="71"/>
        <v>30423</v>
      </c>
      <c r="Q80" s="86">
        <f t="shared" si="71"/>
        <v>8296</v>
      </c>
      <c r="R80" s="86">
        <f>-R23-R69</f>
        <v>8975</v>
      </c>
      <c r="S80" s="86">
        <f t="shared" si="71"/>
        <v>9012</v>
      </c>
      <c r="T80" s="86">
        <f>-T23-T69</f>
        <v>9767</v>
      </c>
      <c r="U80" s="86">
        <f>-U23-U69</f>
        <v>36050</v>
      </c>
      <c r="V80" s="86">
        <f t="shared" ref="V80:W80" si="72">-V23-V69</f>
        <v>8740</v>
      </c>
      <c r="W80" s="86">
        <f t="shared" si="72"/>
        <v>8913</v>
      </c>
      <c r="X80" s="86">
        <f>W80-[10]FA!$E$35</f>
        <v>0</v>
      </c>
      <c r="Y80" s="86">
        <f>V80+W80-[10]FA!$I$35</f>
        <v>0</v>
      </c>
      <c r="AL80" s="27"/>
      <c r="AM80" s="27"/>
      <c r="AN80" s="27"/>
      <c r="AO80" s="27"/>
      <c r="AP80" s="27"/>
      <c r="AQ80" s="27"/>
      <c r="AR80" s="27"/>
      <c r="AS80" s="27"/>
      <c r="AT80" s="27"/>
      <c r="AU80" s="27"/>
      <c r="AV80" s="27"/>
      <c r="AW80" s="27"/>
      <c r="AX80" s="27"/>
      <c r="AY80" s="27"/>
      <c r="AZ80" s="27"/>
      <c r="BA80" s="27"/>
      <c r="BB80" s="27"/>
    </row>
    <row r="81" spans="1:54" ht="13" x14ac:dyDescent="0.3">
      <c r="A81" s="63" t="s">
        <v>187</v>
      </c>
      <c r="B81" s="229">
        <f t="shared" ref="B81:S81" si="73">B69</f>
        <v>3498</v>
      </c>
      <c r="C81" s="229">
        <f t="shared" si="73"/>
        <v>3507</v>
      </c>
      <c r="D81" s="229">
        <f t="shared" si="73"/>
        <v>3487</v>
      </c>
      <c r="E81" s="214">
        <f t="shared" si="73"/>
        <v>3483</v>
      </c>
      <c r="F81" s="229">
        <f t="shared" si="73"/>
        <v>13975</v>
      </c>
      <c r="G81" s="229">
        <f t="shared" si="73"/>
        <v>3947</v>
      </c>
      <c r="H81" s="86">
        <f t="shared" si="73"/>
        <v>3761</v>
      </c>
      <c r="I81" s="28">
        <f t="shared" si="73"/>
        <v>6718</v>
      </c>
      <c r="J81" s="28">
        <f t="shared" si="73"/>
        <v>5951</v>
      </c>
      <c r="K81" s="86">
        <f t="shared" si="73"/>
        <v>20377</v>
      </c>
      <c r="L81" s="86">
        <f t="shared" si="73"/>
        <v>5528</v>
      </c>
      <c r="M81" s="86">
        <f t="shared" si="73"/>
        <v>5554</v>
      </c>
      <c r="N81" s="86">
        <f t="shared" si="73"/>
        <v>5502</v>
      </c>
      <c r="O81" s="86">
        <f t="shared" si="73"/>
        <v>4974</v>
      </c>
      <c r="P81" s="86">
        <f t="shared" si="73"/>
        <v>21558</v>
      </c>
      <c r="Q81" s="86">
        <f t="shared" si="73"/>
        <v>4154</v>
      </c>
      <c r="R81" s="86">
        <f>R69</f>
        <v>3430</v>
      </c>
      <c r="S81" s="86">
        <f t="shared" si="73"/>
        <v>3413</v>
      </c>
      <c r="T81" s="86">
        <f t="shared" ref="T81:W84" si="74">T69</f>
        <v>3415</v>
      </c>
      <c r="U81" s="86">
        <f t="shared" si="74"/>
        <v>14412</v>
      </c>
      <c r="V81" s="86">
        <f t="shared" si="74"/>
        <v>3361</v>
      </c>
      <c r="W81" s="86">
        <f t="shared" si="74"/>
        <v>3397</v>
      </c>
      <c r="X81" s="86">
        <f>W69-W81</f>
        <v>0</v>
      </c>
      <c r="AL81" s="27"/>
      <c r="AM81" s="27"/>
      <c r="AN81" s="27"/>
      <c r="AO81" s="27"/>
      <c r="AP81" s="27"/>
      <c r="AQ81" s="27"/>
      <c r="AR81" s="27"/>
      <c r="AS81" s="27"/>
      <c r="AT81" s="27"/>
      <c r="AU81" s="27"/>
      <c r="AV81" s="27"/>
      <c r="AW81" s="27"/>
      <c r="AX81" s="27"/>
      <c r="AY81" s="27"/>
      <c r="AZ81" s="27"/>
      <c r="BA81" s="27"/>
      <c r="BB81" s="27"/>
    </row>
    <row r="82" spans="1:54" ht="13" x14ac:dyDescent="0.3">
      <c r="A82" s="63" t="s">
        <v>188</v>
      </c>
      <c r="B82" s="229">
        <f t="shared" ref="B82:S82" si="75">B70</f>
        <v>5956</v>
      </c>
      <c r="C82" s="229">
        <f t="shared" si="75"/>
        <v>5107</v>
      </c>
      <c r="D82" s="229">
        <f t="shared" si="75"/>
        <v>5708</v>
      </c>
      <c r="E82" s="214">
        <f t="shared" si="75"/>
        <v>6270</v>
      </c>
      <c r="F82" s="229">
        <f t="shared" si="75"/>
        <v>23041</v>
      </c>
      <c r="G82" s="229">
        <f t="shared" si="75"/>
        <v>5074</v>
      </c>
      <c r="H82" s="86">
        <f t="shared" si="75"/>
        <v>6893</v>
      </c>
      <c r="I82" s="28">
        <f t="shared" si="75"/>
        <v>5344</v>
      </c>
      <c r="J82" s="28">
        <f t="shared" si="75"/>
        <v>6590</v>
      </c>
      <c r="K82" s="86">
        <f t="shared" si="75"/>
        <v>23901</v>
      </c>
      <c r="L82" s="86">
        <f t="shared" si="75"/>
        <v>6956</v>
      </c>
      <c r="M82" s="86">
        <f t="shared" si="75"/>
        <v>7155</v>
      </c>
      <c r="N82" s="86">
        <f t="shared" si="75"/>
        <v>7427</v>
      </c>
      <c r="O82" s="86">
        <f t="shared" si="75"/>
        <v>4532</v>
      </c>
      <c r="P82" s="86">
        <f t="shared" si="75"/>
        <v>26070</v>
      </c>
      <c r="Q82" s="86">
        <f t="shared" si="75"/>
        <v>4778</v>
      </c>
      <c r="R82" s="86">
        <f>R70</f>
        <v>7726</v>
      </c>
      <c r="S82" s="86">
        <f t="shared" si="75"/>
        <v>8346</v>
      </c>
      <c r="T82" s="86">
        <f t="shared" si="74"/>
        <v>7385</v>
      </c>
      <c r="U82" s="86">
        <f t="shared" si="74"/>
        <v>28235</v>
      </c>
      <c r="V82" s="86">
        <f t="shared" si="74"/>
        <v>7832</v>
      </c>
      <c r="W82" s="86">
        <f t="shared" si="74"/>
        <v>10070</v>
      </c>
      <c r="X82" s="86">
        <f>W70-W82</f>
        <v>0</v>
      </c>
      <c r="AL82" s="27"/>
      <c r="AM82" s="27"/>
      <c r="AN82" s="27"/>
      <c r="AO82" s="27"/>
      <c r="AP82" s="27"/>
      <c r="AQ82" s="27"/>
      <c r="AR82" s="27"/>
      <c r="AS82" s="27"/>
      <c r="AT82" s="27"/>
      <c r="AU82" s="27"/>
      <c r="AV82" s="27"/>
      <c r="AW82" s="27"/>
      <c r="AX82" s="27"/>
      <c r="AY82" s="27"/>
      <c r="AZ82" s="27"/>
      <c r="BA82" s="27"/>
      <c r="BB82" s="27"/>
    </row>
    <row r="83" spans="1:54" ht="13" x14ac:dyDescent="0.3">
      <c r="A83" s="63" t="s">
        <v>193</v>
      </c>
      <c r="B83" s="225">
        <v>0</v>
      </c>
      <c r="C83" s="225">
        <v>0</v>
      </c>
      <c r="D83" s="225">
        <v>0</v>
      </c>
      <c r="E83" s="214">
        <v>0</v>
      </c>
      <c r="F83" s="225">
        <v>0</v>
      </c>
      <c r="G83" s="214">
        <f t="shared" ref="G83:Q83" si="76">G71</f>
        <v>2400</v>
      </c>
      <c r="H83" s="28">
        <f t="shared" si="76"/>
        <v>0</v>
      </c>
      <c r="I83" s="28">
        <f t="shared" si="76"/>
        <v>0</v>
      </c>
      <c r="J83" s="28">
        <f t="shared" si="76"/>
        <v>0</v>
      </c>
      <c r="K83" s="28">
        <f t="shared" si="76"/>
        <v>2400</v>
      </c>
      <c r="L83" s="28">
        <f t="shared" si="76"/>
        <v>0</v>
      </c>
      <c r="M83" s="28">
        <f t="shared" si="76"/>
        <v>0</v>
      </c>
      <c r="N83" s="28">
        <f t="shared" si="76"/>
        <v>0</v>
      </c>
      <c r="O83" s="28">
        <f t="shared" si="76"/>
        <v>0</v>
      </c>
      <c r="P83" s="28">
        <f t="shared" si="76"/>
        <v>0</v>
      </c>
      <c r="Q83" s="28">
        <f t="shared" si="76"/>
        <v>0</v>
      </c>
      <c r="R83" s="28">
        <f>R71</f>
        <v>0</v>
      </c>
      <c r="S83" s="28">
        <f>S71</f>
        <v>0</v>
      </c>
      <c r="T83" s="28">
        <f t="shared" si="74"/>
        <v>0</v>
      </c>
      <c r="U83" s="28">
        <f t="shared" si="74"/>
        <v>0</v>
      </c>
      <c r="V83" s="28">
        <f t="shared" si="74"/>
        <v>0</v>
      </c>
      <c r="W83" s="28">
        <f t="shared" si="74"/>
        <v>0</v>
      </c>
      <c r="AL83" s="27"/>
      <c r="AM83" s="27"/>
      <c r="AN83" s="27"/>
      <c r="AO83" s="27"/>
      <c r="AP83" s="27"/>
      <c r="AQ83" s="27"/>
      <c r="AR83" s="27"/>
      <c r="AS83" s="27"/>
      <c r="AT83" s="27"/>
      <c r="AU83" s="27"/>
      <c r="AV83" s="27"/>
      <c r="AW83" s="27"/>
      <c r="AX83" s="27"/>
      <c r="AY83" s="27"/>
      <c r="AZ83" s="27"/>
      <c r="BA83" s="27"/>
      <c r="BB83" s="27"/>
    </row>
    <row r="84" spans="1:54" ht="13" x14ac:dyDescent="0.3">
      <c r="A84" s="63" t="s">
        <v>200</v>
      </c>
      <c r="B84" s="227">
        <v>0</v>
      </c>
      <c r="C84" s="214">
        <f>C72</f>
        <v>48</v>
      </c>
      <c r="D84" s="227">
        <f>D72</f>
        <v>457</v>
      </c>
      <c r="E84" s="227">
        <f>E72</f>
        <v>321</v>
      </c>
      <c r="F84" s="227">
        <f>F72</f>
        <v>826</v>
      </c>
      <c r="G84" s="227">
        <f t="shared" ref="G84:Q84" si="77">G72</f>
        <v>363</v>
      </c>
      <c r="H84" s="282">
        <f t="shared" si="77"/>
        <v>841</v>
      </c>
      <c r="I84" s="282">
        <f t="shared" si="77"/>
        <v>855</v>
      </c>
      <c r="J84" s="282">
        <f t="shared" si="77"/>
        <v>236</v>
      </c>
      <c r="K84" s="28">
        <f t="shared" si="77"/>
        <v>2295</v>
      </c>
      <c r="L84" s="28">
        <f t="shared" si="77"/>
        <v>0</v>
      </c>
      <c r="M84" s="28">
        <f t="shared" si="77"/>
        <v>0</v>
      </c>
      <c r="N84" s="28">
        <f t="shared" si="77"/>
        <v>0</v>
      </c>
      <c r="O84" s="28">
        <f t="shared" si="77"/>
        <v>0</v>
      </c>
      <c r="P84" s="28">
        <f t="shared" si="77"/>
        <v>0</v>
      </c>
      <c r="Q84" s="28">
        <f t="shared" si="77"/>
        <v>0</v>
      </c>
      <c r="R84" s="28">
        <f>R72</f>
        <v>0</v>
      </c>
      <c r="S84" s="28">
        <f>S72</f>
        <v>0</v>
      </c>
      <c r="T84" s="28">
        <f t="shared" si="74"/>
        <v>0</v>
      </c>
      <c r="U84" s="28">
        <f t="shared" si="74"/>
        <v>0</v>
      </c>
      <c r="V84" s="28">
        <f t="shared" si="74"/>
        <v>0</v>
      </c>
      <c r="W84" s="28">
        <f t="shared" ref="W84" si="78">W72</f>
        <v>0</v>
      </c>
      <c r="AL84" s="27"/>
      <c r="AM84" s="27"/>
      <c r="AN84" s="27"/>
      <c r="AO84" s="27"/>
      <c r="AP84" s="27"/>
      <c r="AQ84" s="27"/>
      <c r="AR84" s="27"/>
      <c r="AS84" s="27"/>
      <c r="AT84" s="27"/>
      <c r="AU84" s="27"/>
      <c r="AV84" s="27"/>
      <c r="AW84" s="27"/>
      <c r="AX84" s="27"/>
      <c r="AY84" s="27"/>
      <c r="AZ84" s="27"/>
      <c r="BA84" s="27"/>
      <c r="BB84" s="27"/>
    </row>
    <row r="85" spans="1:54" ht="25.5" x14ac:dyDescent="0.3">
      <c r="A85" s="308" t="s">
        <v>213</v>
      </c>
      <c r="B85" s="310">
        <v>0</v>
      </c>
      <c r="C85" s="311">
        <v>0</v>
      </c>
      <c r="D85" s="310">
        <v>0</v>
      </c>
      <c r="E85" s="310">
        <v>0</v>
      </c>
      <c r="F85" s="310">
        <v>0</v>
      </c>
      <c r="G85" s="310">
        <v>0</v>
      </c>
      <c r="H85" s="312">
        <v>0</v>
      </c>
      <c r="I85" s="312">
        <v>0</v>
      </c>
      <c r="J85" s="312">
        <f t="shared" ref="J85:T85" si="79">J73</f>
        <v>20056</v>
      </c>
      <c r="K85" s="313">
        <f t="shared" si="79"/>
        <v>20056</v>
      </c>
      <c r="L85" s="313">
        <f t="shared" si="79"/>
        <v>1227</v>
      </c>
      <c r="M85" s="313">
        <f t="shared" si="79"/>
        <v>5580</v>
      </c>
      <c r="N85" s="313">
        <f t="shared" si="79"/>
        <v>489</v>
      </c>
      <c r="O85" s="313">
        <f t="shared" si="79"/>
        <v>1375</v>
      </c>
      <c r="P85" s="313">
        <f t="shared" si="79"/>
        <v>8671</v>
      </c>
      <c r="Q85" s="313">
        <f t="shared" si="79"/>
        <v>0</v>
      </c>
      <c r="R85" s="313">
        <f>R73</f>
        <v>0</v>
      </c>
      <c r="S85" s="313">
        <f t="shared" si="79"/>
        <v>0</v>
      </c>
      <c r="T85" s="313">
        <f t="shared" si="79"/>
        <v>0</v>
      </c>
      <c r="U85" s="313">
        <f>U73</f>
        <v>0</v>
      </c>
      <c r="V85" s="313">
        <f t="shared" ref="V85:W85" si="80">V73</f>
        <v>0</v>
      </c>
      <c r="W85" s="313">
        <f t="shared" si="80"/>
        <v>0</v>
      </c>
      <c r="AL85" s="27"/>
      <c r="AM85" s="27"/>
      <c r="AN85" s="27"/>
      <c r="AO85" s="27"/>
      <c r="AP85" s="27"/>
      <c r="AQ85" s="27"/>
      <c r="AR85" s="27"/>
      <c r="AS85" s="27"/>
      <c r="AT85" s="27"/>
      <c r="AU85" s="27"/>
      <c r="AV85" s="27"/>
      <c r="AW85" s="27"/>
      <c r="AX85" s="27"/>
      <c r="AY85" s="27"/>
      <c r="AZ85" s="27"/>
      <c r="BA85" s="27"/>
      <c r="BB85" s="27"/>
    </row>
    <row r="86" spans="1:54" ht="13" x14ac:dyDescent="0.3">
      <c r="A86" s="59" t="s">
        <v>125</v>
      </c>
      <c r="B86" s="217">
        <f t="shared" ref="B86:U86" si="81">SUM(B79:B85)</f>
        <v>32540</v>
      </c>
      <c r="C86" s="217">
        <f t="shared" si="81"/>
        <v>32958</v>
      </c>
      <c r="D86" s="217">
        <f t="shared" si="81"/>
        <v>36692</v>
      </c>
      <c r="E86" s="217">
        <f t="shared" si="81"/>
        <v>32951</v>
      </c>
      <c r="F86" s="217">
        <f t="shared" si="81"/>
        <v>135141</v>
      </c>
      <c r="G86" s="217">
        <f t="shared" si="81"/>
        <v>33491</v>
      </c>
      <c r="H86" s="42">
        <f t="shared" si="81"/>
        <v>35406</v>
      </c>
      <c r="I86" s="42">
        <f t="shared" si="81"/>
        <v>39972</v>
      </c>
      <c r="J86" s="42">
        <f t="shared" si="81"/>
        <v>38170</v>
      </c>
      <c r="K86" s="42">
        <f t="shared" si="81"/>
        <v>147039</v>
      </c>
      <c r="L86" s="42">
        <f t="shared" si="81"/>
        <v>38711</v>
      </c>
      <c r="M86" s="42">
        <f t="shared" si="81"/>
        <v>39343</v>
      </c>
      <c r="N86" s="42">
        <f t="shared" si="81"/>
        <v>43385</v>
      </c>
      <c r="O86" s="42">
        <f t="shared" si="81"/>
        <v>41736</v>
      </c>
      <c r="P86" s="42">
        <f t="shared" si="81"/>
        <v>163175</v>
      </c>
      <c r="Q86" s="42">
        <f t="shared" si="81"/>
        <v>44715</v>
      </c>
      <c r="R86" s="42">
        <f>SUM(R79:R85)</f>
        <v>29997</v>
      </c>
      <c r="S86" s="42">
        <f t="shared" si="81"/>
        <v>55177</v>
      </c>
      <c r="T86" s="42">
        <f t="shared" si="81"/>
        <v>58830</v>
      </c>
      <c r="U86" s="42">
        <f t="shared" si="81"/>
        <v>188719</v>
      </c>
      <c r="V86" s="42">
        <f t="shared" ref="V86" si="82">SUM(V79:V85)</f>
        <v>61488</v>
      </c>
      <c r="W86" s="42">
        <f>SUM(W79:W85)</f>
        <v>58210</v>
      </c>
      <c r="AL86" s="27"/>
      <c r="AM86" s="27"/>
      <c r="AN86" s="27"/>
      <c r="AO86" s="27"/>
      <c r="AP86" s="27"/>
      <c r="AQ86" s="27"/>
      <c r="AR86" s="27"/>
      <c r="AS86" s="27"/>
      <c r="AT86" s="27"/>
      <c r="AU86" s="27"/>
      <c r="AV86" s="27"/>
      <c r="AW86" s="27"/>
      <c r="AX86" s="27"/>
      <c r="AY86" s="27"/>
      <c r="AZ86" s="27"/>
      <c r="BA86" s="27"/>
      <c r="BB86" s="27"/>
    </row>
    <row r="87" spans="1:54" ht="13" x14ac:dyDescent="0.3">
      <c r="A87" s="109" t="s">
        <v>126</v>
      </c>
      <c r="B87" s="230">
        <v>0.1777821485743008</v>
      </c>
      <c r="C87" s="230">
        <v>0.17432837715609578</v>
      </c>
      <c r="D87" s="230">
        <v>0.19076139228989575</v>
      </c>
      <c r="E87" s="230">
        <v>0.16652432090966518</v>
      </c>
      <c r="F87" s="230">
        <v>0.1772782726187509</v>
      </c>
      <c r="G87" s="230">
        <f t="shared" ref="G87:U87" si="83">IF(G86/G66&lt;0, "NM",G86/G66)</f>
        <v>0.16181337662400411</v>
      </c>
      <c r="H87" s="104">
        <f t="shared" si="83"/>
        <v>0.16851012793176973</v>
      </c>
      <c r="I87" s="104">
        <f t="shared" si="83"/>
        <v>0.17294612415846039</v>
      </c>
      <c r="J87" s="104">
        <f t="shared" si="83"/>
        <v>0.1624926033298851</v>
      </c>
      <c r="K87" s="104">
        <f t="shared" si="83"/>
        <v>0.1665009647700405</v>
      </c>
      <c r="L87" s="104">
        <f t="shared" si="83"/>
        <v>0.16158331698480213</v>
      </c>
      <c r="M87" s="104">
        <f t="shared" si="83"/>
        <v>0.16156692360446637</v>
      </c>
      <c r="N87" s="104">
        <f t="shared" si="83"/>
        <v>0.17257907968431771</v>
      </c>
      <c r="O87" s="104">
        <f t="shared" si="83"/>
        <v>0.16247780995982436</v>
      </c>
      <c r="P87" s="104">
        <f t="shared" si="83"/>
        <v>0.16459944358478271</v>
      </c>
      <c r="Q87" s="104">
        <f t="shared" si="83"/>
        <v>0.18177568193829016</v>
      </c>
      <c r="R87" s="104">
        <f>IF(R86/R66&lt;0, "NM",R86/R66)</f>
        <v>0.13483433944793299</v>
      </c>
      <c r="S87" s="104">
        <f t="shared" si="83"/>
        <v>0.22893310873046827</v>
      </c>
      <c r="T87" s="104">
        <f t="shared" si="83"/>
        <v>0.23630966487650279</v>
      </c>
      <c r="U87" s="104">
        <f t="shared" si="83"/>
        <v>0.19690349048552117</v>
      </c>
      <c r="V87" s="104">
        <f t="shared" ref="V87:W87" si="84">IF(V86/V66&lt;0, "NM",V86/V66)</f>
        <v>0.23521221046994242</v>
      </c>
      <c r="W87" s="104">
        <f t="shared" si="84"/>
        <v>0.2116234767181456</v>
      </c>
      <c r="AL87" s="27"/>
      <c r="AM87" s="27"/>
      <c r="AN87" s="27"/>
      <c r="AO87" s="27"/>
      <c r="AP87" s="27"/>
      <c r="AQ87" s="27"/>
      <c r="AR87" s="27"/>
      <c r="AS87" s="27"/>
      <c r="AT87" s="27"/>
      <c r="AU87" s="27"/>
      <c r="AV87" s="27"/>
      <c r="AW87" s="27"/>
      <c r="AX87" s="27"/>
      <c r="AY87" s="27"/>
      <c r="AZ87" s="27"/>
      <c r="BA87" s="27"/>
      <c r="BB87" s="27"/>
    </row>
    <row r="88" spans="1:54" ht="13" x14ac:dyDescent="0.3">
      <c r="A88" s="60" t="s">
        <v>131</v>
      </c>
      <c r="B88" s="228">
        <v>0.13055895498265579</v>
      </c>
      <c r="C88" s="228">
        <v>1.2845728334357709E-2</v>
      </c>
      <c r="D88" s="228">
        <v>0.11329570969112202</v>
      </c>
      <c r="E88" s="228">
        <v>-0.10195682982666521</v>
      </c>
      <c r="F88" s="230" t="s">
        <v>83</v>
      </c>
      <c r="G88" s="230">
        <f>G86/E86-1</f>
        <v>1.6387970016084497E-2</v>
      </c>
      <c r="H88" s="104">
        <f>H86/G86-1</f>
        <v>5.7179540772147819E-2</v>
      </c>
      <c r="I88" s="104">
        <f>I86/H86-1</f>
        <v>0.12896119301813247</v>
      </c>
      <c r="J88" s="104">
        <f>J86/I86-1</f>
        <v>-4.5081557089962976E-2</v>
      </c>
      <c r="K88" s="104" t="s">
        <v>83</v>
      </c>
      <c r="L88" s="303">
        <f>L86/J86-1</f>
        <v>1.4173434634529691E-2</v>
      </c>
      <c r="M88" s="303">
        <f>M86/L86-1</f>
        <v>1.6326108857947386E-2</v>
      </c>
      <c r="N88" s="303">
        <f>N86/M86-1</f>
        <v>0.10273746282693241</v>
      </c>
      <c r="O88" s="303">
        <f>O86/N86-1</f>
        <v>-3.8008528293188903E-2</v>
      </c>
      <c r="P88" s="104" t="s">
        <v>83</v>
      </c>
      <c r="Q88" s="303">
        <f>Q86/O86-1</f>
        <v>7.1377228292121897E-2</v>
      </c>
      <c r="R88" s="303">
        <f>R86/Q86-1</f>
        <v>-0.32915129151291511</v>
      </c>
      <c r="S88" s="303">
        <f>S86/R86-1</f>
        <v>0.83941727506083952</v>
      </c>
      <c r="T88" s="303">
        <f>T86/S86-1</f>
        <v>6.620512169925874E-2</v>
      </c>
      <c r="U88" s="303" t="s">
        <v>83</v>
      </c>
      <c r="V88" s="303">
        <f>V86/T86-1</f>
        <v>4.5181030086690388E-2</v>
      </c>
      <c r="W88" s="303">
        <f>W86/V86-1</f>
        <v>-5.3311215196461093E-2</v>
      </c>
      <c r="AL88" s="27"/>
      <c r="AM88" s="27"/>
      <c r="AN88" s="27"/>
      <c r="AO88" s="27"/>
      <c r="AP88" s="27"/>
      <c r="AQ88" s="27"/>
      <c r="AR88" s="27"/>
      <c r="AS88" s="27"/>
      <c r="AT88" s="27"/>
      <c r="AU88" s="27"/>
      <c r="AV88" s="27"/>
      <c r="AW88" s="27"/>
      <c r="AX88" s="27"/>
      <c r="AY88" s="27"/>
      <c r="AZ88" s="27"/>
      <c r="BA88" s="27"/>
      <c r="BB88" s="27"/>
    </row>
    <row r="89" spans="1:54" ht="13.5" thickBot="1" x14ac:dyDescent="0.35">
      <c r="A89" s="111" t="s">
        <v>132</v>
      </c>
      <c r="B89" s="221">
        <v>7.0611428224670814E-2</v>
      </c>
      <c r="C89" s="221">
        <v>0.1382096974720266</v>
      </c>
      <c r="D89" s="221">
        <v>0.20538764783180019</v>
      </c>
      <c r="E89" s="221">
        <v>0.1093888417996709</v>
      </c>
      <c r="F89" s="221">
        <v>0.11520663955659449</v>
      </c>
      <c r="G89" s="221">
        <f t="shared" ref="G89:R89" si="85">G86/B86-1</f>
        <v>2.9225568531038748E-2</v>
      </c>
      <c r="H89" s="79">
        <f t="shared" si="85"/>
        <v>7.4276351720371281E-2</v>
      </c>
      <c r="I89" s="79">
        <f t="shared" si="85"/>
        <v>8.939278316799304E-2</v>
      </c>
      <c r="J89" s="79">
        <f t="shared" si="85"/>
        <v>0.15838669539619432</v>
      </c>
      <c r="K89" s="79">
        <f t="shared" si="85"/>
        <v>8.804137900415121E-2</v>
      </c>
      <c r="L89" s="79">
        <f t="shared" si="85"/>
        <v>0.1558627691021468</v>
      </c>
      <c r="M89" s="79">
        <f t="shared" si="85"/>
        <v>0.11119584251256853</v>
      </c>
      <c r="N89" s="79">
        <f t="shared" si="85"/>
        <v>8.5384769338537003E-2</v>
      </c>
      <c r="O89" s="79">
        <f t="shared" si="85"/>
        <v>9.3424155095624739E-2</v>
      </c>
      <c r="P89" s="79">
        <f t="shared" si="85"/>
        <v>0.10973959289712254</v>
      </c>
      <c r="Q89" s="79">
        <f t="shared" si="85"/>
        <v>0.15509803415049994</v>
      </c>
      <c r="R89" s="79">
        <f t="shared" si="85"/>
        <v>-0.23755178811986888</v>
      </c>
      <c r="S89" s="79">
        <f>S86/N86-1</f>
        <v>0.27179900887403474</v>
      </c>
      <c r="T89" s="79">
        <f>T86/O86-1</f>
        <v>0.40957446808510634</v>
      </c>
      <c r="U89" s="79">
        <f>U86/P86-1</f>
        <v>0.1565435881722077</v>
      </c>
      <c r="V89" s="79">
        <f t="shared" ref="V89:W89" si="86">V86/Q86-1</f>
        <v>0.37510902381751099</v>
      </c>
      <c r="W89" s="79">
        <f t="shared" si="86"/>
        <v>0.94052738607194053</v>
      </c>
      <c r="AL89" s="27"/>
      <c r="AM89" s="27"/>
      <c r="AN89" s="27"/>
      <c r="AO89" s="27"/>
      <c r="AP89" s="27"/>
      <c r="AQ89" s="27"/>
      <c r="AR89" s="27"/>
      <c r="AS89" s="27"/>
      <c r="AT89" s="27"/>
      <c r="AU89" s="27"/>
      <c r="AV89" s="27"/>
      <c r="AW89" s="27"/>
      <c r="AX89" s="27"/>
      <c r="AY89" s="27"/>
      <c r="AZ89" s="27"/>
      <c r="BA89" s="27"/>
      <c r="BB89" s="27"/>
    </row>
    <row r="90" spans="1:54" ht="6" customHeight="1" x14ac:dyDescent="0.3">
      <c r="A90" s="109"/>
      <c r="B90" s="230"/>
      <c r="C90" s="211"/>
      <c r="D90" s="211"/>
      <c r="E90" s="211"/>
      <c r="F90" s="211"/>
      <c r="G90" s="211"/>
      <c r="AL90" s="27"/>
      <c r="AM90" s="27"/>
      <c r="AN90" s="27"/>
      <c r="AO90" s="27"/>
      <c r="AP90" s="27"/>
      <c r="AQ90" s="27"/>
      <c r="AR90" s="27"/>
      <c r="AS90" s="27"/>
      <c r="AT90" s="27"/>
      <c r="AU90" s="27"/>
      <c r="AV90" s="27"/>
      <c r="AW90" s="27"/>
      <c r="AX90" s="27"/>
      <c r="AY90" s="27"/>
      <c r="AZ90" s="27"/>
      <c r="BA90" s="27"/>
      <c r="BB90" s="27"/>
    </row>
    <row r="91" spans="1:54" ht="13" x14ac:dyDescent="0.3">
      <c r="A91" s="59" t="s">
        <v>127</v>
      </c>
      <c r="B91" s="212">
        <f t="shared" ref="B91:U91" si="87">B46</f>
        <v>16788</v>
      </c>
      <c r="C91" s="212">
        <f t="shared" si="87"/>
        <v>20378</v>
      </c>
      <c r="D91" s="212">
        <f t="shared" si="87"/>
        <v>21077</v>
      </c>
      <c r="E91" s="212">
        <f t="shared" si="87"/>
        <v>-9355</v>
      </c>
      <c r="F91" s="212">
        <f t="shared" si="87"/>
        <v>48888</v>
      </c>
      <c r="G91" s="212">
        <f t="shared" si="87"/>
        <v>23158</v>
      </c>
      <c r="H91" s="106">
        <f t="shared" si="87"/>
        <v>14462</v>
      </c>
      <c r="I91" s="106">
        <f t="shared" si="87"/>
        <v>15249</v>
      </c>
      <c r="J91" s="106">
        <f t="shared" si="87"/>
        <v>3857</v>
      </c>
      <c r="K91" s="106">
        <f t="shared" si="87"/>
        <v>56726</v>
      </c>
      <c r="L91" s="106">
        <f t="shared" si="87"/>
        <v>14695</v>
      </c>
      <c r="M91" s="106">
        <f t="shared" si="87"/>
        <v>12564</v>
      </c>
      <c r="N91" s="106">
        <f t="shared" si="87"/>
        <v>19044</v>
      </c>
      <c r="O91" s="106">
        <f t="shared" si="87"/>
        <v>21356</v>
      </c>
      <c r="P91" s="106">
        <f t="shared" si="87"/>
        <v>67659</v>
      </c>
      <c r="Q91" s="106">
        <f t="shared" si="87"/>
        <v>22411</v>
      </c>
      <c r="R91" s="106">
        <f>R46</f>
        <v>8429</v>
      </c>
      <c r="S91" s="106">
        <f t="shared" si="87"/>
        <v>26418</v>
      </c>
      <c r="T91" s="106">
        <f t="shared" si="87"/>
        <v>32218</v>
      </c>
      <c r="U91" s="106">
        <f t="shared" si="87"/>
        <v>89476</v>
      </c>
      <c r="V91" s="106">
        <f t="shared" ref="V91:W91" si="88">V46</f>
        <v>31931</v>
      </c>
      <c r="W91" s="106">
        <f t="shared" si="88"/>
        <v>28021</v>
      </c>
      <c r="X91" s="188">
        <f>V91+W91-'[16]Adjusted EPS Working'!$B$6</f>
        <v>0</v>
      </c>
      <c r="Y91" s="188">
        <f>W91-'[16]Adjusted EPS Working'!$K$6</f>
        <v>0</v>
      </c>
      <c r="AL91" s="27"/>
      <c r="AM91" s="27"/>
      <c r="AN91" s="27"/>
      <c r="AO91" s="27"/>
      <c r="AP91" s="27"/>
      <c r="AQ91" s="27"/>
      <c r="AR91" s="27"/>
      <c r="AS91" s="27"/>
      <c r="AT91" s="27"/>
      <c r="AU91" s="27"/>
      <c r="AV91" s="27"/>
      <c r="AW91" s="27"/>
      <c r="AX91" s="27"/>
      <c r="AY91" s="27"/>
      <c r="AZ91" s="27"/>
      <c r="BA91" s="27"/>
      <c r="BB91" s="27"/>
    </row>
    <row r="92" spans="1:54" ht="13" x14ac:dyDescent="0.3">
      <c r="A92" s="63" t="s">
        <v>188</v>
      </c>
      <c r="B92" s="227">
        <f t="shared" ref="B92:S92" si="89">B70</f>
        <v>5956</v>
      </c>
      <c r="C92" s="227">
        <f t="shared" si="89"/>
        <v>5107</v>
      </c>
      <c r="D92" s="227">
        <f t="shared" si="89"/>
        <v>5708</v>
      </c>
      <c r="E92" s="227">
        <f t="shared" si="89"/>
        <v>6270</v>
      </c>
      <c r="F92" s="227">
        <f t="shared" si="89"/>
        <v>23041</v>
      </c>
      <c r="G92" s="227">
        <f t="shared" si="89"/>
        <v>5074</v>
      </c>
      <c r="H92" s="105">
        <f t="shared" si="89"/>
        <v>6893</v>
      </c>
      <c r="I92" s="105">
        <f t="shared" si="89"/>
        <v>5344</v>
      </c>
      <c r="J92" s="105">
        <f t="shared" si="89"/>
        <v>6590</v>
      </c>
      <c r="K92" s="105">
        <f t="shared" si="89"/>
        <v>23901</v>
      </c>
      <c r="L92" s="105">
        <f t="shared" si="89"/>
        <v>6956</v>
      </c>
      <c r="M92" s="105">
        <f t="shared" si="89"/>
        <v>7155</v>
      </c>
      <c r="N92" s="105">
        <f t="shared" si="89"/>
        <v>7427</v>
      </c>
      <c r="O92" s="105">
        <f t="shared" si="89"/>
        <v>4532</v>
      </c>
      <c r="P92" s="282">
        <f t="shared" si="89"/>
        <v>26070</v>
      </c>
      <c r="Q92" s="105">
        <f t="shared" si="89"/>
        <v>4778</v>
      </c>
      <c r="R92" s="105">
        <f>R70</f>
        <v>7726</v>
      </c>
      <c r="S92" s="105">
        <f t="shared" si="89"/>
        <v>8346</v>
      </c>
      <c r="T92" s="105">
        <f>T70</f>
        <v>7385</v>
      </c>
      <c r="U92" s="105">
        <f>U70</f>
        <v>28235</v>
      </c>
      <c r="V92" s="105">
        <f t="shared" ref="V92:W92" si="90">V70</f>
        <v>7832</v>
      </c>
      <c r="W92" s="105">
        <f t="shared" si="90"/>
        <v>10070</v>
      </c>
      <c r="X92" s="188">
        <f>W92-W70</f>
        <v>0</v>
      </c>
      <c r="AL92" s="27"/>
      <c r="AM92" s="27"/>
      <c r="AN92" s="27"/>
      <c r="AO92" s="27"/>
      <c r="AP92" s="27"/>
      <c r="AQ92" s="27"/>
      <c r="AR92" s="27"/>
      <c r="AS92" s="27"/>
      <c r="AT92" s="27"/>
      <c r="AU92" s="27"/>
      <c r="AV92" s="27"/>
      <c r="AW92" s="27"/>
      <c r="AX92" s="27"/>
      <c r="AY92" s="27"/>
      <c r="AZ92" s="27"/>
      <c r="BA92" s="27"/>
      <c r="BB92" s="27"/>
    </row>
    <row r="93" spans="1:54" ht="13" x14ac:dyDescent="0.3">
      <c r="A93" s="63" t="s">
        <v>187</v>
      </c>
      <c r="B93" s="227">
        <f t="shared" ref="B93:S93" si="91">B69</f>
        <v>3498</v>
      </c>
      <c r="C93" s="227">
        <f t="shared" si="91"/>
        <v>3507</v>
      </c>
      <c r="D93" s="227">
        <f t="shared" si="91"/>
        <v>3487</v>
      </c>
      <c r="E93" s="227">
        <f t="shared" si="91"/>
        <v>3483</v>
      </c>
      <c r="F93" s="227">
        <f t="shared" si="91"/>
        <v>13975</v>
      </c>
      <c r="G93" s="227">
        <f t="shared" si="91"/>
        <v>3947</v>
      </c>
      <c r="H93" s="105">
        <f t="shared" si="91"/>
        <v>3761</v>
      </c>
      <c r="I93" s="105">
        <f t="shared" si="91"/>
        <v>6718</v>
      </c>
      <c r="J93" s="105">
        <f t="shared" si="91"/>
        <v>5951</v>
      </c>
      <c r="K93" s="105">
        <f t="shared" si="91"/>
        <v>20377</v>
      </c>
      <c r="L93" s="105">
        <f t="shared" si="91"/>
        <v>5528</v>
      </c>
      <c r="M93" s="105">
        <f t="shared" si="91"/>
        <v>5554</v>
      </c>
      <c r="N93" s="105">
        <f t="shared" si="91"/>
        <v>5502</v>
      </c>
      <c r="O93" s="105">
        <f t="shared" si="91"/>
        <v>4974</v>
      </c>
      <c r="P93" s="282">
        <f t="shared" si="91"/>
        <v>21558</v>
      </c>
      <c r="Q93" s="105">
        <f t="shared" si="91"/>
        <v>4154</v>
      </c>
      <c r="R93" s="105">
        <f>R69</f>
        <v>3430</v>
      </c>
      <c r="S93" s="105">
        <f t="shared" si="91"/>
        <v>3413</v>
      </c>
      <c r="T93" s="105">
        <f>T69</f>
        <v>3415</v>
      </c>
      <c r="U93" s="105">
        <f>U69</f>
        <v>14412</v>
      </c>
      <c r="V93" s="105">
        <f t="shared" ref="V93:W93" si="92">V69</f>
        <v>3361</v>
      </c>
      <c r="W93" s="105">
        <f t="shared" si="92"/>
        <v>3397</v>
      </c>
      <c r="X93" s="188">
        <f>W93-W81</f>
        <v>0</v>
      </c>
      <c r="AL93" s="27"/>
      <c r="AM93" s="27"/>
      <c r="AN93" s="27"/>
      <c r="AO93" s="27"/>
      <c r="AP93" s="27"/>
      <c r="AQ93" s="27"/>
      <c r="AR93" s="27"/>
      <c r="AS93" s="27"/>
      <c r="AT93" s="27"/>
      <c r="AU93" s="27"/>
      <c r="AV93" s="27"/>
      <c r="AW93" s="27"/>
      <c r="AX93" s="27"/>
      <c r="AY93" s="27"/>
      <c r="AZ93" s="27"/>
      <c r="BA93" s="27"/>
      <c r="BB93" s="27"/>
    </row>
    <row r="94" spans="1:54" ht="13" x14ac:dyDescent="0.3">
      <c r="A94" s="63" t="s">
        <v>193</v>
      </c>
      <c r="B94" s="231">
        <v>0</v>
      </c>
      <c r="C94" s="231">
        <v>0</v>
      </c>
      <c r="D94" s="231">
        <v>0</v>
      </c>
      <c r="E94" s="214">
        <f>+F94-SUM(B94,C94,D94)</f>
        <v>0</v>
      </c>
      <c r="F94" s="231">
        <v>0</v>
      </c>
      <c r="G94" s="227">
        <f>G83</f>
        <v>2400</v>
      </c>
      <c r="H94" s="105">
        <v>0</v>
      </c>
      <c r="I94" s="105">
        <v>0</v>
      </c>
      <c r="J94" s="105">
        <v>0</v>
      </c>
      <c r="K94" s="105">
        <f>SUM(G94:J94)</f>
        <v>2400</v>
      </c>
      <c r="L94" s="105">
        <v>0</v>
      </c>
      <c r="M94" s="105">
        <v>0</v>
      </c>
      <c r="N94" s="105">
        <v>0</v>
      </c>
      <c r="O94" s="105">
        <v>0</v>
      </c>
      <c r="P94" s="105">
        <f>SUM(L94:O94)</f>
        <v>0</v>
      </c>
      <c r="Q94" s="105">
        <v>0</v>
      </c>
      <c r="R94" s="105">
        <v>0</v>
      </c>
      <c r="S94" s="105">
        <v>0</v>
      </c>
      <c r="T94" s="105">
        <v>0</v>
      </c>
      <c r="U94" s="105">
        <f>SUM(Q94:T94)</f>
        <v>0</v>
      </c>
      <c r="V94" s="105">
        <v>0</v>
      </c>
      <c r="W94" s="105">
        <v>0</v>
      </c>
      <c r="AL94" s="27"/>
      <c r="AM94" s="27"/>
      <c r="AN94" s="27"/>
      <c r="AO94" s="27"/>
      <c r="AP94" s="27"/>
      <c r="AQ94" s="27"/>
      <c r="AR94" s="27"/>
      <c r="AS94" s="27"/>
      <c r="AT94" s="27"/>
      <c r="AU94" s="27"/>
      <c r="AV94" s="27"/>
      <c r="AW94" s="27"/>
      <c r="AX94" s="27"/>
      <c r="AY94" s="27"/>
      <c r="AZ94" s="27"/>
      <c r="BA94" s="27"/>
      <c r="BB94" s="27"/>
    </row>
    <row r="95" spans="1:54" ht="13" x14ac:dyDescent="0.3">
      <c r="A95" s="63" t="s">
        <v>210</v>
      </c>
      <c r="B95" s="231">
        <v>0</v>
      </c>
      <c r="C95" s="231">
        <v>0</v>
      </c>
      <c r="D95" s="231">
        <v>0</v>
      </c>
      <c r="E95" s="214">
        <f>+F95-SUM(B95,C95,D95)</f>
        <v>29185</v>
      </c>
      <c r="F95" s="227">
        <v>29185</v>
      </c>
      <c r="G95" s="227">
        <v>-4836</v>
      </c>
      <c r="H95" s="105">
        <v>0</v>
      </c>
      <c r="I95" s="105">
        <v>0</v>
      </c>
      <c r="J95" s="188">
        <f>+K95-SUM(G95:I95)</f>
        <v>-2974</v>
      </c>
      <c r="K95" s="105">
        <f>'[15]Adjusted EPS Working'!$B$11+'[15]Adjusted EPS Working'!$B$23</f>
        <v>-7810</v>
      </c>
      <c r="L95" s="105">
        <v>0</v>
      </c>
      <c r="M95" s="105">
        <v>0</v>
      </c>
      <c r="N95" s="105">
        <v>0</v>
      </c>
      <c r="O95" s="188">
        <f>+P95-SUM(L95:N95)</f>
        <v>0</v>
      </c>
      <c r="P95" s="105">
        <v>0</v>
      </c>
      <c r="Q95" s="105">
        <v>0</v>
      </c>
      <c r="R95" s="105">
        <v>0</v>
      </c>
      <c r="S95" s="105">
        <v>0</v>
      </c>
      <c r="T95" s="105">
        <v>0</v>
      </c>
      <c r="U95" s="105">
        <v>0</v>
      </c>
      <c r="V95" s="105">
        <v>0</v>
      </c>
      <c r="W95" s="105">
        <v>0</v>
      </c>
      <c r="AL95" s="27"/>
      <c r="AM95" s="27"/>
      <c r="AN95" s="27"/>
      <c r="AO95" s="27"/>
      <c r="AP95" s="27"/>
      <c r="AQ95" s="27"/>
      <c r="AR95" s="27"/>
      <c r="AS95" s="27"/>
      <c r="AT95" s="27"/>
      <c r="AU95" s="27"/>
      <c r="AV95" s="27"/>
      <c r="AW95" s="27"/>
      <c r="AX95" s="27"/>
      <c r="AY95" s="27"/>
      <c r="AZ95" s="27"/>
      <c r="BA95" s="27"/>
      <c r="BB95" s="27"/>
    </row>
    <row r="96" spans="1:54" ht="13" x14ac:dyDescent="0.3">
      <c r="A96" s="63" t="s">
        <v>209</v>
      </c>
      <c r="B96" s="227">
        <v>0</v>
      </c>
      <c r="C96" s="227">
        <f>C72</f>
        <v>48</v>
      </c>
      <c r="D96" s="227">
        <f>D84</f>
        <v>457</v>
      </c>
      <c r="E96" s="227">
        <f>E72</f>
        <v>321</v>
      </c>
      <c r="F96" s="227">
        <f>F72</f>
        <v>826</v>
      </c>
      <c r="G96" s="227">
        <f>G72</f>
        <v>363</v>
      </c>
      <c r="H96" s="282">
        <f>H72</f>
        <v>841</v>
      </c>
      <c r="I96" s="282">
        <f>I72</f>
        <v>855</v>
      </c>
      <c r="J96" s="188">
        <f>+K96-SUM(G96:I96)</f>
        <v>-1014</v>
      </c>
      <c r="K96" s="282">
        <f>K72+'[15]Adjusted EPS Working'!$B$19</f>
        <v>1045</v>
      </c>
      <c r="L96" s="282">
        <v>0</v>
      </c>
      <c r="M96" s="282">
        <v>0</v>
      </c>
      <c r="N96" s="282">
        <f>ROUND('[17]Adjusted EPS Working'!$G$19,0)</f>
        <v>-761</v>
      </c>
      <c r="O96" s="188">
        <f>+P96-SUM(L96:N96)</f>
        <v>0</v>
      </c>
      <c r="P96" s="282">
        <f>ROUND('[18]Adjusted EPS Working'!$B$19,0)</f>
        <v>-761</v>
      </c>
      <c r="Q96" s="282">
        <v>0</v>
      </c>
      <c r="R96" s="282">
        <v>0</v>
      </c>
      <c r="S96" s="282">
        <v>0</v>
      </c>
      <c r="T96" s="282">
        <f>+U96-SUM(Q96:S96)</f>
        <v>0</v>
      </c>
      <c r="U96" s="105">
        <v>0</v>
      </c>
      <c r="V96" s="282">
        <v>0</v>
      </c>
      <c r="W96" s="282">
        <v>0</v>
      </c>
      <c r="AL96" s="27"/>
      <c r="AM96" s="27"/>
      <c r="AN96" s="27"/>
      <c r="AO96" s="27"/>
      <c r="AP96" s="27"/>
      <c r="AQ96" s="27"/>
      <c r="AR96" s="27"/>
      <c r="AS96" s="27"/>
      <c r="AT96" s="27"/>
      <c r="AU96" s="27"/>
      <c r="AV96" s="27"/>
      <c r="AW96" s="27"/>
      <c r="AX96" s="27"/>
      <c r="AY96" s="27"/>
      <c r="AZ96" s="27"/>
      <c r="BA96" s="27"/>
      <c r="BB96" s="27"/>
    </row>
    <row r="97" spans="1:54" ht="13" x14ac:dyDescent="0.3">
      <c r="A97" s="63" t="s">
        <v>204</v>
      </c>
      <c r="B97" s="227">
        <v>0</v>
      </c>
      <c r="C97" s="227">
        <v>0</v>
      </c>
      <c r="D97" s="227">
        <v>0</v>
      </c>
      <c r="E97" s="227">
        <v>0</v>
      </c>
      <c r="F97" s="227">
        <v>0</v>
      </c>
      <c r="G97" s="227">
        <v>0</v>
      </c>
      <c r="H97" s="282">
        <v>0</v>
      </c>
      <c r="I97" s="282">
        <v>0</v>
      </c>
      <c r="J97" s="188">
        <f>+K97-SUM(G97:I97)</f>
        <v>600</v>
      </c>
      <c r="K97" s="282">
        <f>'[15]Adjusted EPS Working'!$B$17</f>
        <v>600</v>
      </c>
      <c r="L97" s="282">
        <f>'[19]Adjusted EPS Working'!$O$13</f>
        <v>600</v>
      </c>
      <c r="M97" s="282">
        <f>ROUND('[20]Adjusted EPS Working'!$K$13,0)</f>
        <v>618</v>
      </c>
      <c r="N97" s="282">
        <f>ROUND('[17]Adjusted EPS Working'!$G$14,0)</f>
        <v>618</v>
      </c>
      <c r="O97" s="188">
        <f>+P97-SUM(L97:N97)</f>
        <v>636</v>
      </c>
      <c r="P97" s="282">
        <f>'[18]Adjusted EPS Working'!$B$14</f>
        <v>2472</v>
      </c>
      <c r="Q97" s="188">
        <f>'[21]Adjusted EPS Working'!$O$14</f>
        <v>635</v>
      </c>
      <c r="R97" s="188">
        <f>'[22]Adjusted EPS Working'!$K$14</f>
        <v>654</v>
      </c>
      <c r="S97" s="188">
        <f>'[23]Adjusted EPS Working'!$G$14</f>
        <v>654</v>
      </c>
      <c r="T97" s="188">
        <f>+U97-SUM(Q97:S97)</f>
        <v>673</v>
      </c>
      <c r="U97" s="188">
        <f>'[24]Adjusted EPS Working'!$B$14</f>
        <v>2616</v>
      </c>
      <c r="V97" s="209">
        <f>ROUND('[25]Adjusted EPS Working'!$O$14,0)</f>
        <v>673</v>
      </c>
      <c r="W97" s="209">
        <f>ROUND('[16]Adjusted EPS Working'!$K$14,0)</f>
        <v>691</v>
      </c>
      <c r="X97" s="188">
        <f>W97-'[10]Borrowings &amp; Credit Arrangement'!$D$79</f>
        <v>0</v>
      </c>
      <c r="Y97" s="188">
        <f>V97+W97-'[10]Borrowings &amp; Credit Arrangement'!$H$79</f>
        <v>0</v>
      </c>
      <c r="AL97" s="27"/>
      <c r="AM97" s="27"/>
      <c r="AN97" s="27"/>
      <c r="AO97" s="27"/>
      <c r="AP97" s="27"/>
      <c r="AQ97" s="27"/>
      <c r="AR97" s="27"/>
      <c r="AS97" s="27"/>
      <c r="AT97" s="27"/>
      <c r="AU97" s="27"/>
      <c r="AV97" s="27"/>
      <c r="AW97" s="27"/>
      <c r="AX97" s="27"/>
      <c r="AY97" s="27"/>
      <c r="AZ97" s="27"/>
      <c r="BA97" s="27"/>
      <c r="BB97" s="27"/>
    </row>
    <row r="98" spans="1:54" ht="25.5" x14ac:dyDescent="0.3">
      <c r="A98" s="308" t="s">
        <v>213</v>
      </c>
      <c r="B98" s="310">
        <v>0</v>
      </c>
      <c r="C98" s="310">
        <v>0</v>
      </c>
      <c r="D98" s="310">
        <v>0</v>
      </c>
      <c r="E98" s="310">
        <v>0</v>
      </c>
      <c r="F98" s="310">
        <v>0</v>
      </c>
      <c r="G98" s="310">
        <v>0</v>
      </c>
      <c r="H98" s="312">
        <v>0</v>
      </c>
      <c r="I98" s="312">
        <v>0</v>
      </c>
      <c r="J98" s="312">
        <f>J85</f>
        <v>20056</v>
      </c>
      <c r="K98" s="312">
        <f>K85</f>
        <v>20056</v>
      </c>
      <c r="L98" s="312">
        <f>L85</f>
        <v>1227</v>
      </c>
      <c r="M98" s="312">
        <f>M85*0+ROUND('[20]Adjusted EPS Working'!$K$15,0)</f>
        <v>5580</v>
      </c>
      <c r="N98" s="312">
        <f t="shared" ref="N98:U98" si="93">N85</f>
        <v>489</v>
      </c>
      <c r="O98" s="312">
        <f t="shared" si="93"/>
        <v>1375</v>
      </c>
      <c r="P98" s="312">
        <f t="shared" si="93"/>
        <v>8671</v>
      </c>
      <c r="Q98" s="282">
        <f t="shared" si="93"/>
        <v>0</v>
      </c>
      <c r="R98" s="282">
        <f t="shared" si="93"/>
        <v>0</v>
      </c>
      <c r="S98" s="282">
        <f t="shared" si="93"/>
        <v>0</v>
      </c>
      <c r="T98" s="282">
        <f t="shared" si="93"/>
        <v>0</v>
      </c>
      <c r="U98" s="282">
        <f t="shared" si="93"/>
        <v>0</v>
      </c>
      <c r="V98" s="282">
        <f t="shared" ref="V98" si="94">V85</f>
        <v>0</v>
      </c>
      <c r="W98" s="282">
        <v>0</v>
      </c>
      <c r="AL98" s="27"/>
      <c r="AM98" s="27"/>
      <c r="AN98" s="27"/>
      <c r="AO98" s="27"/>
      <c r="AP98" s="27"/>
      <c r="AQ98" s="27"/>
      <c r="AR98" s="27"/>
      <c r="AS98" s="27"/>
      <c r="AT98" s="27"/>
      <c r="AU98" s="27"/>
      <c r="AV98" s="27"/>
      <c r="AW98" s="27"/>
      <c r="AX98" s="27"/>
      <c r="AY98" s="27"/>
      <c r="AZ98" s="27"/>
      <c r="BA98" s="27"/>
      <c r="BB98" s="27"/>
    </row>
    <row r="99" spans="1:54" ht="13" x14ac:dyDescent="0.3">
      <c r="A99" s="63" t="s">
        <v>254</v>
      </c>
      <c r="B99" s="227"/>
      <c r="C99" s="227"/>
      <c r="D99" s="227"/>
      <c r="E99" s="227"/>
      <c r="F99" s="227">
        <v>0</v>
      </c>
      <c r="G99" s="227">
        <v>0</v>
      </c>
      <c r="H99" s="282">
        <v>0</v>
      </c>
      <c r="I99" s="282">
        <v>0</v>
      </c>
      <c r="J99" s="282">
        <f>+K99-SUM(G99:I99)</f>
        <v>0</v>
      </c>
      <c r="K99" s="282">
        <v>0</v>
      </c>
      <c r="L99" s="282">
        <v>0</v>
      </c>
      <c r="M99" s="282">
        <v>0</v>
      </c>
      <c r="N99" s="282">
        <v>0</v>
      </c>
      <c r="O99" s="282">
        <v>0</v>
      </c>
      <c r="P99" s="282">
        <v>0</v>
      </c>
      <c r="Q99" s="282">
        <v>0</v>
      </c>
      <c r="R99" s="282">
        <f>'[22]Adjusted EPS Working'!$K$16</f>
        <v>-556</v>
      </c>
      <c r="S99" s="282">
        <f>'[23]Adjusted EPS Working'!$G$16</f>
        <v>0</v>
      </c>
      <c r="T99" s="282">
        <f>+U99-SUM(Q99:S99)</f>
        <v>0</v>
      </c>
      <c r="U99" s="282">
        <f>'[24]Adjusted EPS Working'!$B$16</f>
        <v>-556</v>
      </c>
      <c r="V99" s="282">
        <v>0</v>
      </c>
      <c r="W99" s="282">
        <v>0</v>
      </c>
      <c r="AL99" s="27"/>
      <c r="AM99" s="27"/>
      <c r="AN99" s="27"/>
      <c r="AO99" s="27"/>
      <c r="AP99" s="27"/>
      <c r="AQ99" s="27"/>
      <c r="AR99" s="27"/>
      <c r="AS99" s="27"/>
      <c r="AT99" s="27"/>
      <c r="AU99" s="27"/>
      <c r="AV99" s="27"/>
      <c r="AW99" s="27"/>
      <c r="AX99" s="27"/>
      <c r="AY99" s="27"/>
      <c r="AZ99" s="27"/>
      <c r="BA99" s="27"/>
      <c r="BB99" s="27"/>
    </row>
    <row r="100" spans="1:54" ht="13" x14ac:dyDescent="0.3">
      <c r="A100" s="63" t="s">
        <v>129</v>
      </c>
      <c r="B100" s="214">
        <v>-4260.3999999999996</v>
      </c>
      <c r="C100" s="214">
        <v>-3483.4</v>
      </c>
      <c r="D100" s="214">
        <v>-5563.7</v>
      </c>
      <c r="E100" s="214">
        <f>ROUND(+F100-SUM(B100,C100,D100),0)</f>
        <v>-5063</v>
      </c>
      <c r="F100" s="214">
        <v>-18370</v>
      </c>
      <c r="G100" s="214">
        <v>-5913.4848000000002</v>
      </c>
      <c r="H100" s="28">
        <v>-1891</v>
      </c>
      <c r="I100" s="28">
        <f>ROUND(SUM('[26]Adjusted EPS Working'!$G$9,'[26]Adjusted EPS Working'!$G$13,'[26]Adjusted EPS Working'!$G$14),0)</f>
        <v>-1460</v>
      </c>
      <c r="J100" s="188">
        <f>+K100-SUM(G100:I100)</f>
        <v>-2836.5151999999998</v>
      </c>
      <c r="K100" s="28">
        <f>ROUND(SUM('[15]Adjusted EPS Working'!$B$9,'[15]Adjusted EPS Working'!$B$13,'[15]Adjusted EPS Working'!$B$14),0)</f>
        <v>-12101</v>
      </c>
      <c r="L100" s="28">
        <f>ROUND(SUM('[19]Adjusted EPS Working'!$O$9+'[19]Adjusted EPS Working'!$O$11+'[19]Adjusted EPS Working'!$O$12),0)</f>
        <v>-2481</v>
      </c>
      <c r="M100" s="28">
        <f>ROUND(SUM('[20]Adjusted EPS Working'!$K$9+'[20]Adjusted EPS Working'!$K$11+'[20]Adjusted EPS Working'!$K$12),0)</f>
        <v>-1571</v>
      </c>
      <c r="N100" s="28">
        <f>ROUND(SUM('[17]Adjusted EPS Working'!$G$10,'[17]Adjusted EPS Working'!$G$12,'[17]Adjusted EPS Working'!$G$13),0)</f>
        <v>-1790</v>
      </c>
      <c r="O100" s="188">
        <f>+P100-SUM(L100:N100)</f>
        <v>-2144</v>
      </c>
      <c r="P100" s="28">
        <f>ROUND(SUM('[18]Adjusted EPS Working'!$B$10,'[18]Adjusted EPS Working'!$B$12,'[18]Adjusted EPS Working'!$B$13),0)</f>
        <v>-7986</v>
      </c>
      <c r="Q100" s="188">
        <f>ROUND(SUM('[21]Adjusted EPS Working'!$O$10+'[21]Adjusted EPS Working'!$O$12+'[21]Adjusted EPS Working'!$O$13),0)</f>
        <v>-2733</v>
      </c>
      <c r="R100" s="188">
        <f>ROUND(SUM('[22]Adjusted EPS Working'!$K$10+'[22]Adjusted EPS Working'!$K$12+'[22]Adjusted EPS Working'!$K$13),0)</f>
        <v>-1662</v>
      </c>
      <c r="S100" s="188">
        <f>ROUND(SUM('[23]Adjusted EPS Working'!$G$10,'[23]Adjusted EPS Working'!$G$12,'[23]Adjusted EPS Working'!$G$13),0)</f>
        <v>-1836</v>
      </c>
      <c r="T100" s="188">
        <f>+U100-SUM(Q100:S100)</f>
        <v>-2099</v>
      </c>
      <c r="U100" s="188">
        <f>ROUND(SUM('[24]Adjusted EPS Working'!$B$10,'[24]Adjusted EPS Working'!$B$12,'[24]Adjusted EPS Working'!$B$13),0)</f>
        <v>-8330</v>
      </c>
      <c r="V100" s="209">
        <f>ROUND(SUM('[25]Adjusted EPS Working'!$O$10+'[25]Adjusted EPS Working'!$O$12+'[25]Adjusted EPS Working'!$O$13),0)</f>
        <v>-2358</v>
      </c>
      <c r="W100" s="209">
        <f>ROUND(SUM('[16]Adjusted EPS Working'!$K$10+'[16]Adjusted EPS Working'!$K$12+'[16]Adjusted EPS Working'!$K$13),0)</f>
        <v>-2074</v>
      </c>
      <c r="X100" s="188">
        <f>W100-'[16]Adjusted EPS Working'!$K$10-'[16]Adjusted EPS Working'!$K$12-'[16]Adjusted EPS Working'!$K$13</f>
        <v>0.17907368786228517</v>
      </c>
      <c r="Y100" s="188">
        <f>V100+W100-'[16]Adjusted EPS Working'!$B$10-'[16]Adjusted EPS Working'!$B$12-'[16]Adjusted EPS Working'!$B$13</f>
        <v>0</v>
      </c>
      <c r="AL100" s="27"/>
      <c r="AM100" s="27"/>
      <c r="AN100" s="27"/>
      <c r="AO100" s="27"/>
      <c r="AP100" s="27"/>
      <c r="AQ100" s="27"/>
      <c r="AR100" s="27"/>
      <c r="AS100" s="27"/>
      <c r="AT100" s="27"/>
      <c r="AU100" s="27"/>
      <c r="AV100" s="27"/>
      <c r="AW100" s="27"/>
      <c r="AX100" s="27"/>
      <c r="AY100" s="27"/>
      <c r="AZ100" s="27"/>
      <c r="BA100" s="27"/>
      <c r="BB100" s="27"/>
    </row>
    <row r="101" spans="1:54" ht="13" x14ac:dyDescent="0.3">
      <c r="A101" s="63" t="s">
        <v>189</v>
      </c>
      <c r="B101" s="214">
        <v>-951</v>
      </c>
      <c r="C101" s="214">
        <v>-948.89</v>
      </c>
      <c r="D101" s="214">
        <v>-942.49</v>
      </c>
      <c r="E101" s="214">
        <f>ROUND(+F101-SUM(B101,C101,D101),0)</f>
        <v>-947</v>
      </c>
      <c r="F101" s="214">
        <v>-3789</v>
      </c>
      <c r="G101" s="214">
        <v>-725.53359999999998</v>
      </c>
      <c r="H101" s="28">
        <v>-679</v>
      </c>
      <c r="I101" s="28">
        <f>ROUND('[26]Adjusted EPS Working'!$G$10,0)</f>
        <v>-1435</v>
      </c>
      <c r="J101" s="188">
        <f>+K101-SUM(G101:I101)</f>
        <v>-1511.4664000000002</v>
      </c>
      <c r="K101" s="28">
        <f>ROUND('[15]Adjusted EPS Working'!$B$10,0)</f>
        <v>-4351</v>
      </c>
      <c r="L101" s="28">
        <f>ROUND('[19]Adjusted EPS Working'!$O$10,0)</f>
        <v>-1193</v>
      </c>
      <c r="M101" s="28">
        <f>ROUND('[20]Adjusted EPS Working'!$K$10,0)</f>
        <v>-1198</v>
      </c>
      <c r="N101" s="28">
        <f>ROUND('[17]Adjusted EPS Working'!$G$11,0)</f>
        <v>-1188</v>
      </c>
      <c r="O101" s="188">
        <f>+P101-SUM(L101:N101)</f>
        <v>-1042</v>
      </c>
      <c r="P101" s="28">
        <f>ROUND('[18]Adjusted EPS Working'!$B$11,0)</f>
        <v>-4621</v>
      </c>
      <c r="Q101" s="188">
        <f>'[21]Adjusted EPS Working'!$O$11</f>
        <v>-897.048</v>
      </c>
      <c r="R101" s="188">
        <f>'[22]Adjusted EPS Working'!$K$11</f>
        <v>-880.15879999999993</v>
      </c>
      <c r="S101" s="188">
        <f>'[23]Adjusted EPS Working'!$G$11</f>
        <v>-798.30714506593904</v>
      </c>
      <c r="T101" s="188">
        <f>+ROUND(U101-SUM(Q101:S101),0)</f>
        <v>-798</v>
      </c>
      <c r="U101" s="188">
        <f>'[24]Adjusted EPS Working'!$B$11</f>
        <v>-3374</v>
      </c>
      <c r="V101" s="209">
        <f>'[25]Adjusted EPS Working'!$O$11</f>
        <v>-757.9736190000001</v>
      </c>
      <c r="W101" s="209">
        <f>'[16]Adjusted EPS Working'!$K$11</f>
        <v>-765.89167199999997</v>
      </c>
      <c r="X101" s="188">
        <f>W101-'[16]Adjusted EPS Working'!$K$11</f>
        <v>0</v>
      </c>
      <c r="Y101" s="188">
        <f>V101+W101-'[16]Adjusted EPS Working'!$B$11</f>
        <v>0.1347089999999298</v>
      </c>
      <c r="AL101" s="27"/>
      <c r="AM101" s="27"/>
      <c r="AN101" s="27"/>
      <c r="AO101" s="27"/>
      <c r="AP101" s="27"/>
      <c r="AQ101" s="27"/>
      <c r="AR101" s="27"/>
      <c r="AS101" s="27"/>
      <c r="AT101" s="27"/>
      <c r="AU101" s="27"/>
      <c r="AV101" s="27"/>
      <c r="AW101" s="27"/>
      <c r="AX101" s="27"/>
      <c r="AY101" s="27"/>
      <c r="AZ101" s="27"/>
      <c r="BA101" s="27"/>
      <c r="BB101" s="27"/>
    </row>
    <row r="102" spans="1:54" ht="13" x14ac:dyDescent="0.3">
      <c r="A102" s="63" t="s">
        <v>163</v>
      </c>
      <c r="B102" s="227">
        <v>0</v>
      </c>
      <c r="C102" s="227">
        <v>0</v>
      </c>
      <c r="D102" s="227">
        <v>0</v>
      </c>
      <c r="E102" s="214">
        <f>+F102-SUM(B102,C102,D102)</f>
        <v>0</v>
      </c>
      <c r="F102" s="227">
        <v>0</v>
      </c>
      <c r="G102" s="227">
        <v>0</v>
      </c>
      <c r="H102" s="105">
        <v>0</v>
      </c>
      <c r="I102" s="105">
        <v>0</v>
      </c>
      <c r="J102" s="105">
        <v>0</v>
      </c>
      <c r="K102" s="105">
        <v>0</v>
      </c>
      <c r="L102" s="105">
        <v>0</v>
      </c>
      <c r="M102" s="105">
        <v>0</v>
      </c>
      <c r="N102" s="105">
        <v>0</v>
      </c>
      <c r="O102" s="105">
        <v>0</v>
      </c>
      <c r="P102" s="105">
        <v>0</v>
      </c>
      <c r="Q102" s="105">
        <v>0</v>
      </c>
      <c r="R102" s="105">
        <v>0</v>
      </c>
      <c r="S102" s="105">
        <v>0</v>
      </c>
      <c r="T102" s="105">
        <v>0</v>
      </c>
      <c r="U102" s="105">
        <v>0</v>
      </c>
      <c r="V102" s="282">
        <v>0</v>
      </c>
      <c r="W102" s="282">
        <v>0</v>
      </c>
      <c r="AL102" s="27"/>
      <c r="AM102" s="27"/>
      <c r="AN102" s="27"/>
      <c r="AO102" s="27"/>
      <c r="AP102" s="27"/>
      <c r="AQ102" s="27"/>
      <c r="AR102" s="27"/>
      <c r="AS102" s="27"/>
      <c r="AT102" s="27"/>
      <c r="AU102" s="27"/>
      <c r="AV102" s="27"/>
      <c r="AW102" s="27"/>
      <c r="AX102" s="27"/>
      <c r="AY102" s="27"/>
      <c r="AZ102" s="27"/>
      <c r="BA102" s="27"/>
      <c r="BB102" s="27"/>
    </row>
    <row r="103" spans="1:54" ht="13" x14ac:dyDescent="0.3">
      <c r="A103" s="63" t="s">
        <v>201</v>
      </c>
      <c r="B103" s="227">
        <v>0</v>
      </c>
      <c r="C103" s="227">
        <v>0</v>
      </c>
      <c r="D103" s="227">
        <v>0</v>
      </c>
      <c r="E103" s="214">
        <v>0</v>
      </c>
      <c r="F103" s="227">
        <v>0</v>
      </c>
      <c r="G103" s="227">
        <f>-G94*25.5%</f>
        <v>-612</v>
      </c>
      <c r="H103" s="105">
        <v>0</v>
      </c>
      <c r="I103" s="105">
        <v>0</v>
      </c>
      <c r="J103" s="105">
        <v>0</v>
      </c>
      <c r="K103" s="105">
        <f>SUM(G103:J103)</f>
        <v>-612</v>
      </c>
      <c r="L103" s="105">
        <v>0</v>
      </c>
      <c r="M103" s="105">
        <v>0</v>
      </c>
      <c r="N103" s="105">
        <v>0</v>
      </c>
      <c r="O103" s="105">
        <v>0</v>
      </c>
      <c r="P103" s="105">
        <f>SUM(L103:O103)</f>
        <v>0</v>
      </c>
      <c r="Q103" s="105">
        <v>0</v>
      </c>
      <c r="R103" s="105">
        <v>0</v>
      </c>
      <c r="S103" s="105">
        <v>0</v>
      </c>
      <c r="T103" s="105">
        <v>0</v>
      </c>
      <c r="U103" s="105">
        <v>0</v>
      </c>
      <c r="V103" s="282">
        <v>0</v>
      </c>
      <c r="W103" s="282">
        <v>0</v>
      </c>
      <c r="AL103" s="27"/>
      <c r="AM103" s="27"/>
      <c r="AN103" s="27"/>
      <c r="AO103" s="27"/>
      <c r="AP103" s="27"/>
      <c r="AQ103" s="27"/>
      <c r="AR103" s="27"/>
      <c r="AS103" s="27"/>
      <c r="AT103" s="27"/>
      <c r="AU103" s="27"/>
      <c r="AV103" s="27"/>
      <c r="AW103" s="27"/>
      <c r="AX103" s="27"/>
      <c r="AY103" s="27"/>
      <c r="AZ103" s="27"/>
      <c r="BA103" s="27"/>
      <c r="BB103" s="27"/>
    </row>
    <row r="104" spans="1:54" ht="13" x14ac:dyDescent="0.3">
      <c r="A104" s="63" t="s">
        <v>255</v>
      </c>
      <c r="B104" s="227">
        <v>0</v>
      </c>
      <c r="C104" s="227">
        <f>-ROUND(C96*40%,0)</f>
        <v>-19</v>
      </c>
      <c r="D104" s="227">
        <f>-ROUND(D96*40%,0)</f>
        <v>-183</v>
      </c>
      <c r="E104" s="227">
        <f>-ROUND(E96*40%,0)</f>
        <v>-128</v>
      </c>
      <c r="F104" s="227">
        <f>-ROUND(F96*40%,0)</f>
        <v>-330</v>
      </c>
      <c r="G104" s="227">
        <v>-38</v>
      </c>
      <c r="H104" s="282">
        <v>-12</v>
      </c>
      <c r="I104" s="282">
        <f>ROUND('[26]Adjusted EPS Working'!$G$16,0)</f>
        <v>-218</v>
      </c>
      <c r="J104" s="188">
        <f>+K104-SUM(G104:I104)</f>
        <v>253</v>
      </c>
      <c r="K104" s="105">
        <f>ROUND('[15]Adjusted EPS Working'!$B$16,0)+ROUND('[15]Adjusted EPS Working'!$B$20,0)</f>
        <v>-15</v>
      </c>
      <c r="L104" s="105">
        <v>0</v>
      </c>
      <c r="M104" s="105">
        <v>0</v>
      </c>
      <c r="N104" s="105">
        <f>ROUND('[17]Adjusted EPS Working'!$G$20,0)</f>
        <v>186</v>
      </c>
      <c r="O104" s="188">
        <f>+P104-SUM(L104:N104)</f>
        <v>0</v>
      </c>
      <c r="P104" s="105">
        <f>ROUND('[18]Adjusted EPS Working'!$B$20,0)</f>
        <v>186</v>
      </c>
      <c r="Q104" s="105">
        <v>0</v>
      </c>
      <c r="R104" s="105">
        <f>'[22]Adjusted EPS Working'!$K$17</f>
        <v>137</v>
      </c>
      <c r="S104" s="105">
        <f>'[23]Adjusted EPS Working'!$G$17</f>
        <v>0</v>
      </c>
      <c r="T104" s="105">
        <f>+U104-SUM(Q104:S104)</f>
        <v>0</v>
      </c>
      <c r="U104" s="105">
        <f>'[24]Adjusted EPS Working'!$B$17</f>
        <v>137</v>
      </c>
      <c r="V104" s="282">
        <v>0</v>
      </c>
      <c r="W104" s="282">
        <v>0</v>
      </c>
      <c r="AL104" s="27"/>
      <c r="AM104" s="27"/>
      <c r="AN104" s="27"/>
      <c r="AO104" s="27"/>
      <c r="AP104" s="27"/>
      <c r="AQ104" s="27"/>
      <c r="AR104" s="27"/>
      <c r="AS104" s="27"/>
      <c r="AT104" s="27"/>
      <c r="AU104" s="27"/>
      <c r="AV104" s="27"/>
      <c r="AW104" s="27"/>
      <c r="AX104" s="27"/>
      <c r="AY104" s="27"/>
      <c r="AZ104" s="27"/>
      <c r="BA104" s="27"/>
      <c r="BB104" s="27"/>
    </row>
    <row r="105" spans="1:54" ht="13" x14ac:dyDescent="0.3">
      <c r="A105" s="63" t="s">
        <v>205</v>
      </c>
      <c r="B105" s="227">
        <v>0</v>
      </c>
      <c r="C105" s="227">
        <v>0</v>
      </c>
      <c r="D105" s="227">
        <v>0</v>
      </c>
      <c r="E105" s="227">
        <v>0</v>
      </c>
      <c r="F105" s="227">
        <v>0</v>
      </c>
      <c r="G105" s="227">
        <v>0</v>
      </c>
      <c r="H105" s="282">
        <v>0</v>
      </c>
      <c r="I105" s="282">
        <v>0</v>
      </c>
      <c r="J105" s="188">
        <f>+K105-SUM(G105:I105)</f>
        <v>-150</v>
      </c>
      <c r="K105" s="105">
        <f>'[15]Adjusted EPS Working'!$B$22</f>
        <v>-150</v>
      </c>
      <c r="L105" s="105">
        <f>ROUND('[19]Adjusted EPS Working'!$O$14,0)</f>
        <v>-147</v>
      </c>
      <c r="M105" s="105">
        <f>ROUND('[20]Adjusted EPS Working'!$K$14,0)</f>
        <v>-150</v>
      </c>
      <c r="N105" s="105">
        <f>ROUND('[17]Adjusted EPS Working'!$G$15,0)</f>
        <v>-150</v>
      </c>
      <c r="O105" s="188">
        <f>+P105-SUM(L105:N105)</f>
        <v>-159</v>
      </c>
      <c r="P105" s="105">
        <f>'[18]Adjusted EPS Working'!$B$15</f>
        <v>-606</v>
      </c>
      <c r="Q105" s="188">
        <f>'[21]Adjusted EPS Working'!$O$15</f>
        <v>-156</v>
      </c>
      <c r="R105" s="188">
        <f>'[22]Adjusted EPS Working'!$K$15</f>
        <v>-162</v>
      </c>
      <c r="S105" s="188">
        <f>'[23]Adjusted EPS Working'!$G$15</f>
        <v>-162</v>
      </c>
      <c r="T105" s="188">
        <f>+U105-SUM(Q105:S105)</f>
        <v>-168</v>
      </c>
      <c r="U105" s="188">
        <f>'[24]Adjusted EPS Working'!$B$15</f>
        <v>-648</v>
      </c>
      <c r="V105" s="209">
        <f>'[25]Adjusted EPS Working'!$O$15</f>
        <v>-162</v>
      </c>
      <c r="W105" s="209">
        <f>'[16]Adjusted EPS Working'!$K$15</f>
        <v>-165</v>
      </c>
      <c r="X105" s="188">
        <f>W105-'[16]Adjusted EPS Working'!$K$15</f>
        <v>0</v>
      </c>
      <c r="Y105" s="188">
        <f>V105+W105-'[16]Adjusted EPS Working'!$B$15</f>
        <v>0</v>
      </c>
      <c r="AL105" s="27"/>
      <c r="AM105" s="27"/>
      <c r="AN105" s="27"/>
      <c r="AO105" s="27"/>
      <c r="AP105" s="27"/>
      <c r="AQ105" s="27"/>
      <c r="AR105" s="27"/>
      <c r="AS105" s="27"/>
      <c r="AT105" s="27"/>
      <c r="AU105" s="27"/>
      <c r="AV105" s="27"/>
      <c r="AW105" s="27"/>
      <c r="AX105" s="27"/>
      <c r="AY105" s="27"/>
      <c r="AZ105" s="27"/>
      <c r="BA105" s="27"/>
      <c r="BB105" s="27"/>
    </row>
    <row r="106" spans="1:54" ht="13" x14ac:dyDescent="0.3">
      <c r="A106" s="63" t="s">
        <v>256</v>
      </c>
      <c r="B106" s="227">
        <v>0</v>
      </c>
      <c r="C106" s="227">
        <v>0</v>
      </c>
      <c r="D106" s="227">
        <v>0</v>
      </c>
      <c r="E106" s="227">
        <v>0</v>
      </c>
      <c r="F106" s="227">
        <v>0</v>
      </c>
      <c r="G106" s="227">
        <v>0</v>
      </c>
      <c r="H106" s="282">
        <v>0</v>
      </c>
      <c r="I106" s="282">
        <v>0</v>
      </c>
      <c r="J106" s="188">
        <f>+K106-SUM(G106:I106)</f>
        <v>0</v>
      </c>
      <c r="K106" s="105">
        <v>0</v>
      </c>
      <c r="L106" s="105">
        <v>0</v>
      </c>
      <c r="M106" s="105">
        <f>ROUND('[20]Adjusted EPS Working'!$L$17,0)</f>
        <v>-1471</v>
      </c>
      <c r="N106" s="105">
        <f>ROUND('[17]Adjusted EPS Working'!$G$18,0)</f>
        <v>0</v>
      </c>
      <c r="O106" s="188">
        <f>+P106-SUM(L106:N106)</f>
        <v>-1663</v>
      </c>
      <c r="P106" s="105">
        <f>ROUND('[18]Adjusted EPS Working'!$B$18,0)</f>
        <v>-3134</v>
      </c>
      <c r="Q106" s="105">
        <v>0</v>
      </c>
      <c r="R106" s="105">
        <f>'[22]Adjusted EPS Working'!$K$18</f>
        <v>1320.2116463969007</v>
      </c>
      <c r="S106" s="105">
        <f>'[23]Adjusted EPS Working'!$G$18</f>
        <v>0</v>
      </c>
      <c r="T106" s="105">
        <f>+U106-SUM(Q106:S106)</f>
        <v>-1340.2116463969007</v>
      </c>
      <c r="U106" s="105">
        <f>'[24]Adjusted EPS Working'!$B$18</f>
        <v>-20</v>
      </c>
      <c r="V106" s="105">
        <v>0</v>
      </c>
      <c r="W106" s="105">
        <v>0</v>
      </c>
      <c r="AL106" s="27"/>
      <c r="AM106" s="27"/>
      <c r="AN106" s="27"/>
      <c r="AO106" s="27"/>
      <c r="AP106" s="27"/>
      <c r="AQ106" s="27"/>
      <c r="AR106" s="27"/>
      <c r="AS106" s="27"/>
      <c r="AT106" s="27"/>
      <c r="AU106" s="27"/>
      <c r="AV106" s="27"/>
      <c r="AW106" s="27"/>
      <c r="AX106" s="27"/>
      <c r="AY106" s="27"/>
      <c r="AZ106" s="27"/>
      <c r="BA106" s="27"/>
      <c r="BB106" s="27"/>
    </row>
    <row r="107" spans="1:54" ht="25.5" x14ac:dyDescent="0.3">
      <c r="A107" s="308" t="s">
        <v>214</v>
      </c>
      <c r="B107" s="310">
        <v>0</v>
      </c>
      <c r="C107" s="310">
        <v>0</v>
      </c>
      <c r="D107" s="310">
        <v>0</v>
      </c>
      <c r="E107" s="310">
        <v>0</v>
      </c>
      <c r="F107" s="310">
        <v>0</v>
      </c>
      <c r="G107" s="310">
        <v>0</v>
      </c>
      <c r="H107" s="312">
        <v>0</v>
      </c>
      <c r="I107" s="312">
        <v>0</v>
      </c>
      <c r="J107" s="314">
        <f>+K107-SUM(G107:I107)</f>
        <v>-3072</v>
      </c>
      <c r="K107" s="309">
        <f>ROUND('[15]Adjusted EPS Working'!$B$21,0)</f>
        <v>-3072</v>
      </c>
      <c r="L107" s="309">
        <f>-L98*24.5%</f>
        <v>-300.61500000000001</v>
      </c>
      <c r="M107" s="309">
        <f>ROUND(SUM('[20]Adjusted EPS Working'!$K$16),0)</f>
        <v>-1367</v>
      </c>
      <c r="N107" s="309">
        <f>ROUND(SUM('[17]Adjusted EPS Working'!$G$17),0)</f>
        <v>-120</v>
      </c>
      <c r="O107" s="314">
        <f>+P107-SUM(L107:N107)</f>
        <v>-352.38499999999999</v>
      </c>
      <c r="P107" s="309">
        <f>'[18]Adjusted EPS Working'!$B$17</f>
        <v>-2140</v>
      </c>
      <c r="Q107" s="209">
        <f t="shared" ref="Q107:V107" si="95">-Q98*24.5%</f>
        <v>0</v>
      </c>
      <c r="R107" s="209">
        <f t="shared" si="95"/>
        <v>0</v>
      </c>
      <c r="S107" s="209">
        <f t="shared" si="95"/>
        <v>0</v>
      </c>
      <c r="T107" s="209">
        <f t="shared" si="95"/>
        <v>0</v>
      </c>
      <c r="U107" s="209">
        <f t="shared" si="95"/>
        <v>0</v>
      </c>
      <c r="V107" s="209">
        <f t="shared" si="95"/>
        <v>0</v>
      </c>
      <c r="W107" s="209">
        <v>0</v>
      </c>
      <c r="AL107" s="27"/>
      <c r="AM107" s="27"/>
      <c r="AN107" s="27"/>
      <c r="AO107" s="27"/>
      <c r="AP107" s="27"/>
      <c r="AQ107" s="27"/>
      <c r="AR107" s="27"/>
      <c r="AS107" s="27"/>
      <c r="AT107" s="27"/>
      <c r="AU107" s="27"/>
      <c r="AV107" s="27"/>
      <c r="AW107" s="27"/>
      <c r="AX107" s="27"/>
      <c r="AY107" s="27"/>
      <c r="AZ107" s="27"/>
      <c r="BA107" s="27"/>
      <c r="BB107" s="27"/>
    </row>
    <row r="108" spans="1:54" ht="13" x14ac:dyDescent="0.3">
      <c r="A108" s="63" t="s">
        <v>208</v>
      </c>
      <c r="B108" s="227">
        <v>0</v>
      </c>
      <c r="C108" s="227">
        <v>0</v>
      </c>
      <c r="D108" s="227">
        <v>0</v>
      </c>
      <c r="E108" s="227">
        <v>0</v>
      </c>
      <c r="F108" s="227">
        <v>0</v>
      </c>
      <c r="G108" s="227">
        <v>0</v>
      </c>
      <c r="H108" s="282">
        <v>0</v>
      </c>
      <c r="I108" s="282">
        <v>0</v>
      </c>
      <c r="J108" s="188">
        <f>+K108-SUM(G108:I108)</f>
        <v>0</v>
      </c>
      <c r="K108" s="105">
        <v>0</v>
      </c>
      <c r="L108" s="105">
        <v>0</v>
      </c>
      <c r="M108" s="105">
        <v>0</v>
      </c>
      <c r="N108" s="105">
        <v>0</v>
      </c>
      <c r="O108" s="105">
        <v>0</v>
      </c>
      <c r="P108" s="105">
        <v>0</v>
      </c>
      <c r="Q108" s="105">
        <v>0</v>
      </c>
      <c r="R108" s="105">
        <v>0</v>
      </c>
      <c r="S108" s="105">
        <v>0</v>
      </c>
      <c r="T108" s="105">
        <v>0</v>
      </c>
      <c r="U108" s="105">
        <v>0</v>
      </c>
      <c r="V108" s="105">
        <v>0</v>
      </c>
      <c r="W108" s="105">
        <v>0</v>
      </c>
      <c r="AL108" s="27"/>
      <c r="AM108" s="27"/>
      <c r="AN108" s="27"/>
      <c r="AO108" s="27"/>
      <c r="AP108" s="27"/>
      <c r="AQ108" s="27"/>
      <c r="AR108" s="27"/>
      <c r="AS108" s="27"/>
      <c r="AT108" s="27"/>
      <c r="AU108" s="27"/>
      <c r="AV108" s="27"/>
      <c r="AW108" s="27"/>
      <c r="AX108" s="27"/>
      <c r="AY108" s="27"/>
      <c r="AZ108" s="27"/>
      <c r="BA108" s="27"/>
      <c r="BB108" s="27"/>
    </row>
    <row r="109" spans="1:54" ht="13" x14ac:dyDescent="0.3">
      <c r="A109" s="59" t="s">
        <v>134</v>
      </c>
      <c r="B109" s="212">
        <f t="shared" ref="B109:U109" si="96">SUM(B91:B108)</f>
        <v>21030.6</v>
      </c>
      <c r="C109" s="212">
        <f t="shared" si="96"/>
        <v>24588.71</v>
      </c>
      <c r="D109" s="212">
        <f t="shared" si="96"/>
        <v>24039.809999999998</v>
      </c>
      <c r="E109" s="212">
        <f t="shared" si="96"/>
        <v>23766</v>
      </c>
      <c r="F109" s="212">
        <f t="shared" si="96"/>
        <v>93426</v>
      </c>
      <c r="G109" s="212">
        <f t="shared" si="96"/>
        <v>22816.981600000003</v>
      </c>
      <c r="H109" s="106">
        <f t="shared" si="96"/>
        <v>23375</v>
      </c>
      <c r="I109" s="106">
        <f t="shared" si="96"/>
        <v>25053</v>
      </c>
      <c r="J109" s="106">
        <f t="shared" si="96"/>
        <v>25749.018399999997</v>
      </c>
      <c r="K109" s="106">
        <f t="shared" si="96"/>
        <v>96994</v>
      </c>
      <c r="L109" s="106">
        <f t="shared" si="96"/>
        <v>24884.384999999998</v>
      </c>
      <c r="M109" s="106">
        <f t="shared" si="96"/>
        <v>25714</v>
      </c>
      <c r="N109" s="106">
        <f t="shared" si="96"/>
        <v>29257</v>
      </c>
      <c r="O109" s="106">
        <f t="shared" si="96"/>
        <v>27512.615000000002</v>
      </c>
      <c r="P109" s="106">
        <f t="shared" si="96"/>
        <v>107368</v>
      </c>
      <c r="Q109" s="106">
        <f t="shared" si="96"/>
        <v>28191.952000000001</v>
      </c>
      <c r="R109" s="106">
        <f>SUM(R91:R108)</f>
        <v>18436.052846396899</v>
      </c>
      <c r="S109" s="106">
        <f t="shared" si="96"/>
        <v>36034.692854934059</v>
      </c>
      <c r="T109" s="106">
        <f t="shared" si="96"/>
        <v>39285.7883536031</v>
      </c>
      <c r="U109" s="106">
        <f t="shared" si="96"/>
        <v>121948</v>
      </c>
      <c r="V109" s="106">
        <f t="shared" ref="V109:W109" si="97">SUM(V91:V108)</f>
        <v>40519.026381000003</v>
      </c>
      <c r="W109" s="106">
        <f t="shared" si="97"/>
        <v>39174.108328000002</v>
      </c>
      <c r="X109" s="188">
        <f>W109-'[16]Adjusted EPS Working'!$K$23</f>
        <v>0.17907368786109146</v>
      </c>
      <c r="Y109" s="188">
        <f>V109+W109-'[16]Adjusted EPS Working'!$B$23</f>
        <v>0.13470900000538677</v>
      </c>
      <c r="AL109" s="27"/>
      <c r="AM109" s="27"/>
      <c r="AN109" s="27"/>
      <c r="AO109" s="27"/>
      <c r="AP109" s="27"/>
      <c r="AQ109" s="27"/>
      <c r="AR109" s="27"/>
      <c r="AS109" s="27"/>
      <c r="AT109" s="27"/>
      <c r="AU109" s="27"/>
      <c r="AV109" s="27"/>
      <c r="AW109" s="27"/>
      <c r="AX109" s="27"/>
      <c r="AY109" s="27"/>
      <c r="AZ109" s="27"/>
      <c r="BA109" s="27"/>
      <c r="BB109" s="27"/>
    </row>
    <row r="110" spans="1:54" ht="13" x14ac:dyDescent="0.3">
      <c r="A110" s="109" t="s">
        <v>135</v>
      </c>
      <c r="B110" s="230">
        <v>0.11490059169657929</v>
      </c>
      <c r="C110" s="230">
        <v>0.13005977033381466</v>
      </c>
      <c r="D110" s="230">
        <v>0.12498276534352334</v>
      </c>
      <c r="E110" s="230">
        <v>0.12010612760581175</v>
      </c>
      <c r="F110" s="230">
        <v>0.122556440293319</v>
      </c>
      <c r="G110" s="230">
        <f t="shared" ref="G110:U110" si="98">IF(G109/G66&lt;0, "NM",G109/G66)</f>
        <v>0.11024134355688908</v>
      </c>
      <c r="H110" s="104">
        <f t="shared" si="98"/>
        <v>0.11125019037465733</v>
      </c>
      <c r="I110" s="104">
        <f t="shared" si="98"/>
        <v>0.10839635866461293</v>
      </c>
      <c r="J110" s="104">
        <f t="shared" si="98"/>
        <v>0.10961553662575615</v>
      </c>
      <c r="K110" s="104">
        <f t="shared" si="98"/>
        <v>0.10983204848309161</v>
      </c>
      <c r="L110" s="104">
        <f t="shared" si="98"/>
        <v>0.10386973907744194</v>
      </c>
      <c r="M110" s="104">
        <f t="shared" si="98"/>
        <v>0.10559773971393255</v>
      </c>
      <c r="N110" s="104">
        <f t="shared" si="98"/>
        <v>0.11637999618126273</v>
      </c>
      <c r="O110" s="104">
        <f t="shared" si="98"/>
        <v>0.10710632143635741</v>
      </c>
      <c r="P110" s="104">
        <f t="shared" si="98"/>
        <v>0.10830527383980972</v>
      </c>
      <c r="Q110" s="104">
        <f t="shared" si="98"/>
        <v>0.11460608967844221</v>
      </c>
      <c r="R110" s="104">
        <f>IF(R109/R66&lt;0, "NM",R109/R66)</f>
        <v>8.286872045774947E-2</v>
      </c>
      <c r="S110" s="104">
        <f t="shared" si="98"/>
        <v>0.14951038036550821</v>
      </c>
      <c r="T110" s="104">
        <f t="shared" si="98"/>
        <v>0.15780403672019658</v>
      </c>
      <c r="U110" s="104">
        <f t="shared" si="98"/>
        <v>0.12723672156872565</v>
      </c>
      <c r="V110" s="104">
        <f t="shared" ref="V110:W110" si="99">IF(V109/V66&lt;0, "NM",V109/V66)</f>
        <v>0.15499885768222943</v>
      </c>
      <c r="W110" s="104">
        <f t="shared" si="99"/>
        <v>0.14241815842131286</v>
      </c>
      <c r="AL110" s="27"/>
      <c r="AM110" s="27"/>
      <c r="AN110" s="27"/>
      <c r="AO110" s="27"/>
      <c r="AP110" s="27"/>
      <c r="AQ110" s="27"/>
      <c r="AR110" s="27"/>
      <c r="AS110" s="27"/>
      <c r="AT110" s="27"/>
      <c r="AU110" s="27"/>
      <c r="AV110" s="27"/>
      <c r="AW110" s="27"/>
      <c r="AX110" s="27"/>
      <c r="AY110" s="27"/>
      <c r="AZ110" s="27"/>
      <c r="BA110" s="27"/>
      <c r="BB110" s="27"/>
    </row>
    <row r="111" spans="1:54" ht="6" customHeight="1" x14ac:dyDescent="0.3">
      <c r="A111" s="109"/>
      <c r="B111" s="230"/>
      <c r="C111" s="211"/>
      <c r="D111" s="211"/>
      <c r="E111" s="211"/>
      <c r="F111" s="211"/>
      <c r="G111" s="211"/>
      <c r="AL111" s="27"/>
      <c r="AM111" s="27"/>
      <c r="AN111" s="27"/>
      <c r="AO111" s="27"/>
      <c r="AP111" s="27"/>
      <c r="AQ111" s="27"/>
      <c r="AR111" s="27"/>
      <c r="AS111" s="27"/>
      <c r="AT111" s="27"/>
      <c r="AU111" s="27"/>
      <c r="AV111" s="27"/>
      <c r="AW111" s="27"/>
      <c r="AX111" s="27"/>
      <c r="AY111" s="27"/>
      <c r="AZ111" s="27"/>
      <c r="BA111" s="27"/>
      <c r="BB111" s="27"/>
    </row>
    <row r="112" spans="1:54" ht="13" x14ac:dyDescent="0.3">
      <c r="A112" s="110" t="s">
        <v>136</v>
      </c>
      <c r="B112" s="232">
        <f>ROUND(B109/B61,2)</f>
        <v>0.6</v>
      </c>
      <c r="C112" s="232">
        <f>ROUND(C109/C61,2)</f>
        <v>0.7</v>
      </c>
      <c r="D112" s="232">
        <f>ROUND(D109/D61,2)</f>
        <v>0.69</v>
      </c>
      <c r="E112" s="232">
        <f>ROUND(E109/35293,2)</f>
        <v>0.67</v>
      </c>
      <c r="F112" s="232">
        <f t="shared" ref="F112:U112" si="100">ROUND(F109/F61,2)</f>
        <v>2.66</v>
      </c>
      <c r="G112" s="232">
        <f t="shared" si="100"/>
        <v>0.65</v>
      </c>
      <c r="H112" s="280">
        <f t="shared" si="100"/>
        <v>0.67</v>
      </c>
      <c r="I112" s="280">
        <f t="shared" si="100"/>
        <v>0.71</v>
      </c>
      <c r="J112" s="280">
        <f t="shared" si="100"/>
        <v>0.74</v>
      </c>
      <c r="K112" s="108">
        <f t="shared" si="100"/>
        <v>2.77</v>
      </c>
      <c r="L112" s="108">
        <f t="shared" si="100"/>
        <v>0.71</v>
      </c>
      <c r="M112" s="108">
        <f t="shared" si="100"/>
        <v>0.74</v>
      </c>
      <c r="N112" s="108">
        <f t="shared" si="100"/>
        <v>0.84</v>
      </c>
      <c r="O112" s="108">
        <f t="shared" si="100"/>
        <v>0.79</v>
      </c>
      <c r="P112" s="108">
        <f t="shared" si="100"/>
        <v>3.09</v>
      </c>
      <c r="Q112" s="108">
        <f t="shared" si="100"/>
        <v>0.81</v>
      </c>
      <c r="R112" s="108">
        <f>ROUND(R109/R61,2)</f>
        <v>0.53</v>
      </c>
      <c r="S112" s="108">
        <f t="shared" si="100"/>
        <v>1.04</v>
      </c>
      <c r="T112" s="108">
        <f t="shared" si="100"/>
        <v>1.1399999999999999</v>
      </c>
      <c r="U112" s="108">
        <f t="shared" si="100"/>
        <v>3.53</v>
      </c>
      <c r="V112" s="108">
        <f t="shared" ref="V112:W112" si="101">ROUND(V109/V61,2)</f>
        <v>1.18</v>
      </c>
      <c r="W112" s="108">
        <f t="shared" si="101"/>
        <v>1.1399999999999999</v>
      </c>
      <c r="AL112" s="27"/>
      <c r="AM112" s="27"/>
      <c r="AN112" s="27"/>
      <c r="AO112" s="27"/>
      <c r="AP112" s="27"/>
      <c r="AQ112" s="27"/>
      <c r="AR112" s="27"/>
      <c r="AS112" s="27"/>
      <c r="AT112" s="27"/>
      <c r="AU112" s="27"/>
      <c r="AV112" s="27"/>
      <c r="AW112" s="27"/>
      <c r="AX112" s="27"/>
      <c r="AY112" s="27"/>
      <c r="AZ112" s="27"/>
      <c r="BA112" s="27"/>
      <c r="BB112" s="27"/>
    </row>
    <row r="113" spans="1:54" ht="13" x14ac:dyDescent="0.3">
      <c r="A113" s="116" t="s">
        <v>131</v>
      </c>
      <c r="B113" s="233">
        <v>-1.6393442622950838E-2</v>
      </c>
      <c r="C113" s="233">
        <v>0.16666666666666674</v>
      </c>
      <c r="D113" s="233">
        <v>-1.4285714285714346E-2</v>
      </c>
      <c r="E113" s="233">
        <v>-2.8985507246376718E-2</v>
      </c>
      <c r="F113" s="257" t="s">
        <v>83</v>
      </c>
      <c r="G113" s="233">
        <f>G112/E112-1</f>
        <v>-2.9850746268656692E-2</v>
      </c>
      <c r="H113" s="87">
        <f>H112/G112-1</f>
        <v>3.0769230769230882E-2</v>
      </c>
      <c r="I113" s="87">
        <f>I112/H112-1</f>
        <v>5.9701492537313383E-2</v>
      </c>
      <c r="J113" s="87">
        <f>J112/I112-1</f>
        <v>4.2253521126760507E-2</v>
      </c>
      <c r="K113" s="87" t="s">
        <v>83</v>
      </c>
      <c r="L113" s="149">
        <f>L112/J112-1</f>
        <v>-4.0540540540540571E-2</v>
      </c>
      <c r="M113" s="149">
        <f>M112/L112-1</f>
        <v>4.2253521126760507E-2</v>
      </c>
      <c r="N113" s="149">
        <f>N112/M112-1</f>
        <v>0.13513513513513509</v>
      </c>
      <c r="O113" s="149">
        <f>O112/N112-1</f>
        <v>-5.9523809523809423E-2</v>
      </c>
      <c r="P113" s="87" t="s">
        <v>83</v>
      </c>
      <c r="Q113" s="149">
        <f>Q112/O112-1</f>
        <v>2.5316455696202445E-2</v>
      </c>
      <c r="R113" s="149">
        <f>R112/Q112-1</f>
        <v>-0.34567901234567899</v>
      </c>
      <c r="S113" s="149">
        <f>S112/R112-1</f>
        <v>0.96226415094339623</v>
      </c>
      <c r="T113" s="149">
        <f>T112/S112-1</f>
        <v>9.6153846153846034E-2</v>
      </c>
      <c r="U113" s="359" t="s">
        <v>83</v>
      </c>
      <c r="V113" s="149">
        <f>V112/T112-1</f>
        <v>3.5087719298245723E-2</v>
      </c>
      <c r="W113" s="149">
        <f>W112/V112-1</f>
        <v>-3.3898305084745783E-2</v>
      </c>
      <c r="AL113" s="27"/>
      <c r="AM113" s="27"/>
      <c r="AN113" s="27"/>
      <c r="AO113" s="27"/>
      <c r="AP113" s="27"/>
      <c r="AQ113" s="27"/>
      <c r="AR113" s="27"/>
      <c r="AS113" s="27"/>
      <c r="AT113" s="27"/>
      <c r="AU113" s="27"/>
      <c r="AV113" s="27"/>
      <c r="AW113" s="27"/>
      <c r="AX113" s="27"/>
      <c r="AY113" s="27"/>
      <c r="AZ113" s="27"/>
      <c r="BA113" s="27"/>
      <c r="BB113" s="27"/>
    </row>
    <row r="114" spans="1:54" ht="13" x14ac:dyDescent="0.3">
      <c r="A114" s="115" t="s">
        <v>132</v>
      </c>
      <c r="B114" s="213">
        <v>7.1428571428571397E-2</v>
      </c>
      <c r="C114" s="213">
        <v>0.27272727272727249</v>
      </c>
      <c r="D114" s="213">
        <v>0.13114754098360648</v>
      </c>
      <c r="E114" s="213">
        <v>9.8360655737705027E-2</v>
      </c>
      <c r="F114" s="213">
        <v>0.14163090128755362</v>
      </c>
      <c r="G114" s="213">
        <f t="shared" ref="G114:N114" si="102">G112/B112-1</f>
        <v>8.3333333333333481E-2</v>
      </c>
      <c r="H114" s="35">
        <f t="shared" si="102"/>
        <v>-4.2857142857142705E-2</v>
      </c>
      <c r="I114" s="35">
        <f t="shared" si="102"/>
        <v>2.898550724637694E-2</v>
      </c>
      <c r="J114" s="35">
        <f t="shared" si="102"/>
        <v>0.10447761194029836</v>
      </c>
      <c r="K114" s="34">
        <f t="shared" si="102"/>
        <v>4.1353383458646586E-2</v>
      </c>
      <c r="L114" s="34">
        <f t="shared" si="102"/>
        <v>9.2307692307692202E-2</v>
      </c>
      <c r="M114" s="34">
        <f t="shared" si="102"/>
        <v>0.10447761194029836</v>
      </c>
      <c r="N114" s="34">
        <f t="shared" si="102"/>
        <v>0.18309859154929575</v>
      </c>
      <c r="O114" s="34">
        <f t="shared" ref="O114:W114" si="103">O112/J112-1</f>
        <v>6.7567567567567544E-2</v>
      </c>
      <c r="P114" s="34">
        <f t="shared" si="103"/>
        <v>0.11552346570397098</v>
      </c>
      <c r="Q114" s="34">
        <f t="shared" si="103"/>
        <v>0.14084507042253525</v>
      </c>
      <c r="R114" s="34">
        <f t="shared" si="103"/>
        <v>-0.28378378378378377</v>
      </c>
      <c r="S114" s="34">
        <f t="shared" si="103"/>
        <v>0.23809523809523814</v>
      </c>
      <c r="T114" s="34">
        <f t="shared" si="103"/>
        <v>0.44303797468354422</v>
      </c>
      <c r="U114" s="34">
        <f t="shared" si="103"/>
        <v>0.14239482200647258</v>
      </c>
      <c r="V114" s="34">
        <f t="shared" si="103"/>
        <v>0.45679012345678993</v>
      </c>
      <c r="W114" s="34">
        <f t="shared" si="103"/>
        <v>1.1509433962264146</v>
      </c>
      <c r="AL114" s="27"/>
      <c r="AM114" s="27"/>
      <c r="AN114" s="27"/>
      <c r="AO114" s="27"/>
      <c r="AP114" s="27"/>
      <c r="AQ114" s="27"/>
      <c r="AR114" s="27"/>
      <c r="AS114" s="27"/>
      <c r="AT114" s="27"/>
      <c r="AU114" s="27"/>
      <c r="AV114" s="27"/>
      <c r="AW114" s="27"/>
      <c r="AX114" s="27"/>
      <c r="AY114" s="27"/>
      <c r="AZ114" s="27"/>
      <c r="BA114" s="27"/>
      <c r="BB114" s="27"/>
    </row>
    <row r="115" spans="1:54" ht="13" x14ac:dyDescent="0.3">
      <c r="A115" s="115"/>
      <c r="B115" s="146"/>
      <c r="C115" s="209"/>
      <c r="D115" s="209"/>
      <c r="E115" s="209"/>
      <c r="F115" s="209"/>
      <c r="G115" s="209"/>
    </row>
    <row r="116" spans="1:54" ht="13" x14ac:dyDescent="0.3">
      <c r="A116" s="137" t="s">
        <v>251</v>
      </c>
      <c r="B116" s="258"/>
      <c r="C116" s="31"/>
      <c r="D116" s="31"/>
      <c r="E116" s="31"/>
      <c r="F116" s="31"/>
      <c r="G116" s="31"/>
      <c r="O116" s="325"/>
    </row>
    <row r="117" spans="1:54" ht="13" x14ac:dyDescent="0.3">
      <c r="A117" s="137"/>
      <c r="B117" s="258"/>
      <c r="C117" s="31"/>
      <c r="D117" s="31"/>
      <c r="E117" s="265"/>
      <c r="F117" s="265"/>
      <c r="G117" s="265"/>
      <c r="O117" s="102"/>
      <c r="P117" s="102"/>
      <c r="Q117" s="102"/>
      <c r="R117" s="102"/>
      <c r="S117" s="102"/>
      <c r="T117" s="102"/>
      <c r="U117" s="102"/>
      <c r="V117" s="102"/>
      <c r="W117" s="102"/>
    </row>
    <row r="118" spans="1:54" ht="11.25" customHeight="1" x14ac:dyDescent="0.3">
      <c r="A118" s="137" t="s">
        <v>261</v>
      </c>
      <c r="B118" s="258"/>
      <c r="C118" s="31"/>
      <c r="D118" s="31"/>
      <c r="E118" s="31"/>
      <c r="F118" s="31"/>
      <c r="G118" s="31"/>
    </row>
    <row r="119" spans="1:54" ht="13" x14ac:dyDescent="0.3">
      <c r="A119" s="137" t="s">
        <v>243</v>
      </c>
      <c r="B119" s="31"/>
      <c r="C119" s="31"/>
      <c r="D119" s="31"/>
      <c r="E119" s="31"/>
      <c r="F119" s="31"/>
      <c r="G119" s="31"/>
    </row>
    <row r="121" spans="1:54" ht="13" x14ac:dyDescent="0.3">
      <c r="A121" s="137" t="s">
        <v>245</v>
      </c>
    </row>
    <row r="122" spans="1:54" x14ac:dyDescent="0.25">
      <c r="A122" s="24" t="s">
        <v>244</v>
      </c>
    </row>
    <row r="124" spans="1:54" x14ac:dyDescent="0.25">
      <c r="B124" s="93"/>
    </row>
    <row r="1048576" spans="12:22" x14ac:dyDescent="0.25">
      <c r="L1048576" s="363">
        <f>SUM(L112:L1048575)</f>
        <v>0.7617671517671516</v>
      </c>
      <c r="M1048576" s="363">
        <f>SUM(M112:M1048575)</f>
        <v>0.88673113306705886</v>
      </c>
      <c r="N1048576" s="363">
        <f>SUM(L1048576:M1048576)</f>
        <v>1.6484982848342105</v>
      </c>
      <c r="O1048576" s="363">
        <f>SUM(O112:O1048575)</f>
        <v>0.79804375804375816</v>
      </c>
      <c r="P1048576" s="364">
        <f>SUM(P114:P1048575)</f>
        <v>0.11552346570397098</v>
      </c>
      <c r="Q1048576" s="363">
        <f>SUM(O1048576:P1048576)</f>
        <v>0.91356722374772914</v>
      </c>
      <c r="V1048576" s="363">
        <f>SUM(T1048576:U1048576)</f>
        <v>0</v>
      </c>
    </row>
  </sheetData>
  <customSheetViews>
    <customSheetView guid="{168DC811-186D-42DC-8A72-3741D1063270}" scale="80" showGridLines="0">
      <pane xSplit="1" ySplit="5" topLeftCell="G6" activePane="bottomRight" state="frozen"/>
      <selection pane="bottomRight" activeCell="Q8" sqref="Q8"/>
      <colBreaks count="1" manualBreakCount="1">
        <brk id="8" max="1048575" man="1"/>
      </colBreaks>
      <pageMargins left="0.7" right="0.7" top="0.75" bottom="0.75" header="0.3" footer="0.3"/>
      <pageSetup scale="62" orientation="landscape" horizontalDpi="300" verticalDpi="300" r:id="rId1"/>
    </customSheetView>
  </customSheetViews>
  <mergeCells count="1">
    <mergeCell ref="X68:Y68"/>
  </mergeCells>
  <phoneticPr fontId="0" type="noConversion"/>
  <pageMargins left="0.25" right="0" top="0.25" bottom="0" header="0.3" footer="0.3"/>
  <pageSetup paperSize="9" scale="38" orientation="landscape" r:id="rId2"/>
  <ignoredErrors>
    <ignoredError sqref="J8 J12 J17 J20 J23 J35:J36 J41:J42 J69:J70 J95 K71 J73 J26 J107:K107 J97 J99 J101:K101 J105 J108 K100 J106 J104 J102:K103" formulaRange="1"/>
    <ignoredError sqref="J98:K98 O73 M98 O96 N109"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G71"/>
  <sheetViews>
    <sheetView showGridLines="0" view="pageBreakPreview" zoomScale="80" zoomScaleNormal="90" zoomScaleSheetLayoutView="80" workbookViewId="0">
      <pane xSplit="2" ySplit="4" topLeftCell="F5" activePane="bottomRight" state="frozen"/>
      <selection activeCell="I106" sqref="I106"/>
      <selection pane="topRight" activeCell="I106" sqref="I106"/>
      <selection pane="bottomLeft" activeCell="I106" sqref="I106"/>
      <selection pane="bottomRight" activeCell="U8" sqref="U8"/>
    </sheetView>
  </sheetViews>
  <sheetFormatPr defaultColWidth="9.1796875" defaultRowHeight="12.5" outlineLevelCol="1" x14ac:dyDescent="0.25"/>
  <cols>
    <col min="1" max="1" width="47.1796875" style="23" customWidth="1"/>
    <col min="2" max="2" width="3.1796875" style="2" customWidth="1"/>
    <col min="3" max="3" width="10" style="2" hidden="1" customWidth="1" outlineLevel="1"/>
    <col min="4" max="4" width="11.26953125" style="2" hidden="1" customWidth="1" outlineLevel="1"/>
    <col min="5" max="5" width="10" style="2" hidden="1" customWidth="1" outlineLevel="1"/>
    <col min="6" max="6" width="11.54296875" style="2" bestFit="1" customWidth="1" collapsed="1"/>
    <col min="7" max="7" width="11.54296875" style="2" hidden="1" customWidth="1" outlineLevel="1"/>
    <col min="8" max="8" width="12.26953125" style="2" hidden="1" customWidth="1" outlineLevel="1"/>
    <col min="9" max="9" width="12" style="2" hidden="1" customWidth="1" outlineLevel="1"/>
    <col min="10" max="10" width="12" style="2" customWidth="1" collapsed="1"/>
    <col min="11" max="11" width="12" style="2" hidden="1" customWidth="1" outlineLevel="1" collapsed="1"/>
    <col min="12" max="13" width="12" style="2" hidden="1" customWidth="1" outlineLevel="1"/>
    <col min="14" max="14" width="12" style="2" bestFit="1" customWidth="1" collapsed="1"/>
    <col min="15" max="17" width="11.54296875" style="2" customWidth="1" outlineLevel="1"/>
    <col min="18" max="20" width="11.54296875" style="2" bestFit="1" customWidth="1"/>
    <col min="21" max="16384" width="9.1796875" style="2"/>
  </cols>
  <sheetData>
    <row r="1" spans="1:20" ht="13" x14ac:dyDescent="0.3">
      <c r="A1" s="11"/>
    </row>
    <row r="2" spans="1:20" ht="45" customHeight="1" x14ac:dyDescent="0.25"/>
    <row r="3" spans="1:20" ht="13" x14ac:dyDescent="0.3">
      <c r="A3" s="18" t="s">
        <v>15</v>
      </c>
      <c r="C3" s="3">
        <v>2017</v>
      </c>
      <c r="D3" s="3">
        <v>2017</v>
      </c>
      <c r="E3" s="3">
        <v>2017</v>
      </c>
      <c r="F3" s="3">
        <v>2017</v>
      </c>
      <c r="G3" s="3">
        <v>2018</v>
      </c>
      <c r="H3" s="3">
        <v>2018</v>
      </c>
      <c r="I3" s="3">
        <v>2018</v>
      </c>
      <c r="J3" s="3">
        <v>2018</v>
      </c>
      <c r="K3" s="3">
        <v>2019</v>
      </c>
      <c r="L3" s="3">
        <v>2019</v>
      </c>
      <c r="M3" s="3">
        <v>2019</v>
      </c>
      <c r="N3" s="3">
        <v>2019</v>
      </c>
      <c r="O3" s="3">
        <v>2020</v>
      </c>
      <c r="P3" s="3">
        <v>2020</v>
      </c>
      <c r="Q3" s="3">
        <v>2020</v>
      </c>
      <c r="R3" s="3">
        <v>2020</v>
      </c>
      <c r="S3" s="3">
        <v>2021</v>
      </c>
      <c r="T3" s="3">
        <v>2021</v>
      </c>
    </row>
    <row r="4" spans="1:20" s="8" customFormat="1" ht="13" x14ac:dyDescent="0.3">
      <c r="A4" s="25" t="s">
        <v>66</v>
      </c>
      <c r="C4" s="77" t="s">
        <v>9</v>
      </c>
      <c r="D4" s="77" t="s">
        <v>10</v>
      </c>
      <c r="E4" s="77" t="s">
        <v>11</v>
      </c>
      <c r="F4" s="77" t="s">
        <v>12</v>
      </c>
      <c r="G4" s="77" t="s">
        <v>9</v>
      </c>
      <c r="H4" s="77" t="s">
        <v>10</v>
      </c>
      <c r="I4" s="77" t="s">
        <v>11</v>
      </c>
      <c r="J4" s="77" t="s">
        <v>12</v>
      </c>
      <c r="K4" s="77" t="s">
        <v>9</v>
      </c>
      <c r="L4" s="77" t="s">
        <v>10</v>
      </c>
      <c r="M4" s="77" t="s">
        <v>11</v>
      </c>
      <c r="N4" s="77" t="s">
        <v>12</v>
      </c>
      <c r="O4" s="77" t="s">
        <v>9</v>
      </c>
      <c r="P4" s="77" t="s">
        <v>10</v>
      </c>
      <c r="Q4" s="77" t="s">
        <v>11</v>
      </c>
      <c r="R4" s="77" t="s">
        <v>12</v>
      </c>
      <c r="S4" s="77" t="s">
        <v>9</v>
      </c>
      <c r="T4" s="77" t="s">
        <v>10</v>
      </c>
    </row>
    <row r="5" spans="1:20" s="3" customFormat="1" ht="13" x14ac:dyDescent="0.3">
      <c r="A5" s="18"/>
    </row>
    <row r="6" spans="1:20" s="38" customFormat="1" ht="13" x14ac:dyDescent="0.3">
      <c r="A6" s="50" t="s">
        <v>17</v>
      </c>
      <c r="B6" s="38" t="s">
        <v>21</v>
      </c>
    </row>
    <row r="7" spans="1:20" ht="13" x14ac:dyDescent="0.3">
      <c r="A7" s="67" t="s">
        <v>18</v>
      </c>
      <c r="B7" s="117" t="s">
        <v>21</v>
      </c>
    </row>
    <row r="8" spans="1:20" x14ac:dyDescent="0.25">
      <c r="A8" s="68" t="s">
        <v>105</v>
      </c>
      <c r="B8" s="126" t="s">
        <v>21</v>
      </c>
      <c r="C8" s="127">
        <v>91700</v>
      </c>
      <c r="D8" s="127">
        <v>89414</v>
      </c>
      <c r="E8" s="127">
        <v>87665</v>
      </c>
      <c r="F8" s="127">
        <v>86795</v>
      </c>
      <c r="G8" s="127">
        <v>69955</v>
      </c>
      <c r="H8" s="127">
        <v>84091</v>
      </c>
      <c r="I8" s="127">
        <v>97636</v>
      </c>
      <c r="J8" s="127">
        <v>95881</v>
      </c>
      <c r="K8" s="127">
        <v>86688</v>
      </c>
      <c r="L8" s="127">
        <f>'[2]Balance Sheets'!C9</f>
        <v>84842</v>
      </c>
      <c r="M8" s="127">
        <v>101432</v>
      </c>
      <c r="N8" s="127">
        <f>'[4]Balance Sheets'!C9</f>
        <v>119165</v>
      </c>
      <c r="O8" s="101">
        <f>'[5]Balance Sheets'!C9</f>
        <v>224874</v>
      </c>
      <c r="P8" s="101">
        <f>'[6]Balance Sheets'!$C$9</f>
        <v>163619</v>
      </c>
      <c r="Q8" s="101">
        <f>'[7]Balance Sheets'!C9</f>
        <v>206423</v>
      </c>
      <c r="R8" s="101">
        <f>'[8]Balance Sheets'!C9</f>
        <v>218530</v>
      </c>
      <c r="S8" s="101">
        <f>'[9]Balance Sheets'!C9</f>
        <v>177121</v>
      </c>
      <c r="T8" s="101">
        <f>'[10]Balance Sheets'!C9</f>
        <v>150211</v>
      </c>
    </row>
    <row r="9" spans="1:20" x14ac:dyDescent="0.25">
      <c r="A9" s="68" t="s">
        <v>104</v>
      </c>
      <c r="B9" s="126" t="s">
        <v>21</v>
      </c>
      <c r="C9" s="125">
        <v>126472</v>
      </c>
      <c r="D9" s="147">
        <v>147915</v>
      </c>
      <c r="E9" s="147">
        <v>161702</v>
      </c>
      <c r="F9" s="147">
        <v>178479</v>
      </c>
      <c r="G9" s="147">
        <v>169461</v>
      </c>
      <c r="H9" s="147">
        <v>149045</v>
      </c>
      <c r="I9" s="147">
        <v>144878</v>
      </c>
      <c r="J9" s="147">
        <v>184489</v>
      </c>
      <c r="K9" s="147">
        <v>216056</v>
      </c>
      <c r="L9" s="147">
        <f>'[2]Balance Sheets'!C10</f>
        <v>168204</v>
      </c>
      <c r="M9" s="147">
        <v>179340</v>
      </c>
      <c r="N9" s="147">
        <f>'[4]Balance Sheets'!C10</f>
        <v>202238</v>
      </c>
      <c r="O9" s="324">
        <f>'[5]Balance Sheets'!C10</f>
        <v>142539</v>
      </c>
      <c r="P9" s="324">
        <f>'[6]Balance Sheets'!$C$10</f>
        <v>171962</v>
      </c>
      <c r="Q9" s="324">
        <f>'[7]Balance Sheets'!C10</f>
        <v>156175</v>
      </c>
      <c r="R9" s="324">
        <f>'[8]Balance Sheets'!C10</f>
        <v>184286</v>
      </c>
      <c r="S9" s="324">
        <f>'[9]Balance Sheets'!C10</f>
        <v>198721</v>
      </c>
      <c r="T9" s="324">
        <f>'[10]Balance Sheets'!C10</f>
        <v>144533</v>
      </c>
    </row>
    <row r="10" spans="1:20" x14ac:dyDescent="0.25">
      <c r="A10" s="68" t="s">
        <v>19</v>
      </c>
      <c r="B10" s="126"/>
      <c r="C10" s="125">
        <v>2691</v>
      </c>
      <c r="D10" s="147">
        <v>1898</v>
      </c>
      <c r="E10" s="147">
        <v>1913</v>
      </c>
      <c r="F10" s="147">
        <v>3674</v>
      </c>
      <c r="G10" s="147">
        <v>2727</v>
      </c>
      <c r="H10" s="147">
        <v>2256</v>
      </c>
      <c r="I10" s="147">
        <v>4679</v>
      </c>
      <c r="J10" s="147">
        <v>5608</v>
      </c>
      <c r="K10" s="147">
        <v>5364</v>
      </c>
      <c r="L10" s="147">
        <f>'[2]Balance Sheets'!C11</f>
        <v>4098</v>
      </c>
      <c r="M10" s="147">
        <v>5412</v>
      </c>
      <c r="N10" s="147">
        <f>'[4]Balance Sheets'!C11</f>
        <v>5453</v>
      </c>
      <c r="O10" s="324">
        <f>'[5]Balance Sheets'!C11</f>
        <v>6369</v>
      </c>
      <c r="P10" s="324">
        <f>'[6]Balance Sheets'!$C$11</f>
        <v>4858</v>
      </c>
      <c r="Q10" s="324">
        <f>'[7]Balance Sheets'!C11</f>
        <v>7312</v>
      </c>
      <c r="R10" s="324">
        <f>'[8]Balance Sheets'!C11</f>
        <v>4690</v>
      </c>
      <c r="S10" s="324">
        <f>'[9]Balance Sheets'!C11</f>
        <v>5295</v>
      </c>
      <c r="T10" s="324">
        <f>'[10]Balance Sheets'!C11</f>
        <v>5065</v>
      </c>
    </row>
    <row r="11" spans="1:20" x14ac:dyDescent="0.25">
      <c r="A11" s="68" t="s">
        <v>176</v>
      </c>
      <c r="B11" s="126" t="s">
        <v>21</v>
      </c>
      <c r="C11" s="125">
        <v>119811</v>
      </c>
      <c r="D11" s="147">
        <v>123798</v>
      </c>
      <c r="E11" s="147">
        <v>133862</v>
      </c>
      <c r="F11" s="147">
        <v>135705</v>
      </c>
      <c r="G11" s="147">
        <v>137150</v>
      </c>
      <c r="H11" s="147">
        <v>147099</v>
      </c>
      <c r="I11" s="147">
        <v>164307</v>
      </c>
      <c r="J11" s="147">
        <v>164752</v>
      </c>
      <c r="K11" s="147">
        <v>176889</v>
      </c>
      <c r="L11" s="147">
        <f>'[2]Balance Sheets'!C12</f>
        <v>180680</v>
      </c>
      <c r="M11" s="147">
        <v>179702</v>
      </c>
      <c r="N11" s="147">
        <f>'[4]Balance Sheets'!C12</f>
        <v>171864</v>
      </c>
      <c r="O11" s="324">
        <f>'[5]Balance Sheets'!C12</f>
        <v>187137</v>
      </c>
      <c r="P11" s="324">
        <f>'[6]Balance Sheets'!$C$12</f>
        <v>157505</v>
      </c>
      <c r="Q11" s="324">
        <f>'[7]Balance Sheets'!C12</f>
        <v>154983</v>
      </c>
      <c r="R11" s="324">
        <f>'[8]Balance Sheets'!C12</f>
        <v>147635</v>
      </c>
      <c r="S11" s="324">
        <f>'[9]Balance Sheets'!C12</f>
        <v>159296</v>
      </c>
      <c r="T11" s="324">
        <f>'[10]Balance Sheets'!C12</f>
        <v>182111</v>
      </c>
    </row>
    <row r="12" spans="1:20" x14ac:dyDescent="0.25">
      <c r="A12" s="68" t="s">
        <v>179</v>
      </c>
      <c r="B12" s="126" t="s">
        <v>21</v>
      </c>
      <c r="C12" s="201">
        <v>0</v>
      </c>
      <c r="D12" s="202">
        <v>0</v>
      </c>
      <c r="E12" s="202">
        <v>0</v>
      </c>
      <c r="F12" s="202">
        <v>0</v>
      </c>
      <c r="G12" s="147">
        <v>0</v>
      </c>
      <c r="H12" s="147">
        <v>0</v>
      </c>
      <c r="I12" s="147">
        <v>0</v>
      </c>
      <c r="J12" s="147">
        <v>0</v>
      </c>
      <c r="K12" s="147">
        <v>0</v>
      </c>
      <c r="L12" s="147">
        <v>0</v>
      </c>
      <c r="M12" s="147">
        <v>0</v>
      </c>
      <c r="N12" s="147">
        <v>0</v>
      </c>
      <c r="O12" s="324">
        <v>0</v>
      </c>
      <c r="P12" s="324">
        <v>0</v>
      </c>
      <c r="Q12" s="324">
        <v>0</v>
      </c>
      <c r="R12" s="324">
        <v>0</v>
      </c>
      <c r="S12" s="324">
        <v>0</v>
      </c>
      <c r="T12" s="373">
        <v>0</v>
      </c>
    </row>
    <row r="13" spans="1:20" x14ac:dyDescent="0.25">
      <c r="A13" s="68" t="s">
        <v>177</v>
      </c>
      <c r="B13" s="126" t="s">
        <v>21</v>
      </c>
      <c r="C13" s="125">
        <v>7687</v>
      </c>
      <c r="D13" s="147">
        <v>7337</v>
      </c>
      <c r="E13" s="147">
        <v>8821</v>
      </c>
      <c r="F13" s="147">
        <v>8801</v>
      </c>
      <c r="G13" s="147">
        <v>17802</v>
      </c>
      <c r="H13" s="147">
        <v>11278</v>
      </c>
      <c r="I13" s="147">
        <v>7700</v>
      </c>
      <c r="J13" s="147">
        <v>9639</v>
      </c>
      <c r="K13" s="147">
        <v>11334</v>
      </c>
      <c r="L13" s="147">
        <f>'[2]Balance Sheets'!C14</f>
        <v>7906</v>
      </c>
      <c r="M13" s="147">
        <v>3002</v>
      </c>
      <c r="N13" s="147">
        <f>'[4]Balance Sheets'!$C$14</f>
        <v>4698</v>
      </c>
      <c r="O13" s="324">
        <f>'[5]Balance Sheets'!$C$14</f>
        <v>6024</v>
      </c>
      <c r="P13" s="324">
        <f>'[6]Balance Sheets'!$C$14</f>
        <v>1003</v>
      </c>
      <c r="Q13" s="324">
        <f>'[7]Balance Sheets'!$C$14</f>
        <v>1138</v>
      </c>
      <c r="R13" s="324">
        <f>'[8]Balance Sheets'!$C$14</f>
        <v>5684</v>
      </c>
      <c r="S13" s="324">
        <f>'[9]Balance Sheets'!C14</f>
        <v>7580</v>
      </c>
      <c r="T13" s="324">
        <f>'[10]Balance Sheets'!C14</f>
        <v>13567</v>
      </c>
    </row>
    <row r="14" spans="1:20" x14ac:dyDescent="0.25">
      <c r="A14" s="68" t="s">
        <v>38</v>
      </c>
      <c r="B14" s="126" t="s">
        <v>21</v>
      </c>
      <c r="C14" s="125">
        <v>35137</v>
      </c>
      <c r="D14" s="147">
        <v>28238</v>
      </c>
      <c r="E14" s="147">
        <v>29291</v>
      </c>
      <c r="F14" s="147">
        <v>39363</v>
      </c>
      <c r="G14" s="147">
        <v>38878</v>
      </c>
      <c r="H14" s="147">
        <v>32965</v>
      </c>
      <c r="I14" s="147">
        <v>34627</v>
      </c>
      <c r="J14" s="147">
        <v>39566</v>
      </c>
      <c r="K14" s="147">
        <v>39727</v>
      </c>
      <c r="L14" s="147">
        <f>'[2]Balance Sheets'!$C$13+'[2]Balance Sheets'!C15</f>
        <v>43345</v>
      </c>
      <c r="M14" s="147">
        <v>37338</v>
      </c>
      <c r="N14" s="147">
        <f>'[4]Balance Sheets'!$C$13+'[4]Balance Sheets'!$C$15</f>
        <v>37840</v>
      </c>
      <c r="O14" s="324">
        <f>'[5]Balance Sheets'!$C$13+'[5]Balance Sheets'!$C$15</f>
        <v>37949</v>
      </c>
      <c r="P14" s="324">
        <f>'[6]Balance Sheets'!$C$13+'[6]Balance Sheets'!$C$15</f>
        <v>37593</v>
      </c>
      <c r="Q14" s="324">
        <f>'[7]Balance Sheets'!$C$13+'[7]Balance Sheets'!$C$15</f>
        <v>39032</v>
      </c>
      <c r="R14" s="324">
        <f>'[8]Balance Sheets'!$C$13+'[8]Balance Sheets'!$C$15</f>
        <v>48453</v>
      </c>
      <c r="S14" s="324">
        <f>'[9]Balance Sheets'!C15+'[9]Balance Sheets'!$C$13</f>
        <v>48537</v>
      </c>
      <c r="T14" s="373">
        <f>'[10]Balance Sheets'!C15+'[10]Balance Sheets'!$C$13</f>
        <v>45675</v>
      </c>
    </row>
    <row r="15" spans="1:20" ht="13" x14ac:dyDescent="0.3">
      <c r="A15" s="51" t="s">
        <v>106</v>
      </c>
      <c r="B15" s="135" t="s">
        <v>21</v>
      </c>
      <c r="C15" s="134">
        <f t="shared" ref="C15:Q15" si="0">SUM(C8:C14)</f>
        <v>383498</v>
      </c>
      <c r="D15" s="134">
        <f t="shared" si="0"/>
        <v>398600</v>
      </c>
      <c r="E15" s="134">
        <f t="shared" si="0"/>
        <v>423254</v>
      </c>
      <c r="F15" s="134">
        <f t="shared" si="0"/>
        <v>452817</v>
      </c>
      <c r="G15" s="134">
        <f t="shared" si="0"/>
        <v>435973</v>
      </c>
      <c r="H15" s="134">
        <f t="shared" si="0"/>
        <v>426734</v>
      </c>
      <c r="I15" s="134">
        <f t="shared" si="0"/>
        <v>453827</v>
      </c>
      <c r="J15" s="134">
        <f t="shared" si="0"/>
        <v>499935</v>
      </c>
      <c r="K15" s="134">
        <f t="shared" si="0"/>
        <v>536058</v>
      </c>
      <c r="L15" s="134">
        <f t="shared" si="0"/>
        <v>489075</v>
      </c>
      <c r="M15" s="134">
        <f t="shared" si="0"/>
        <v>506226</v>
      </c>
      <c r="N15" s="134">
        <f t="shared" si="0"/>
        <v>541258</v>
      </c>
      <c r="O15" s="134">
        <f t="shared" si="0"/>
        <v>604892</v>
      </c>
      <c r="P15" s="134">
        <f t="shared" si="0"/>
        <v>536540</v>
      </c>
      <c r="Q15" s="134">
        <f t="shared" si="0"/>
        <v>565063</v>
      </c>
      <c r="R15" s="134">
        <f>ROUND(SUM(R8:R14),0)</f>
        <v>609278</v>
      </c>
      <c r="S15" s="134">
        <f t="shared" ref="S15" si="1">SUM(S8:S14)</f>
        <v>596550</v>
      </c>
      <c r="T15" s="134">
        <f>SUM(T8:T14)</f>
        <v>541162</v>
      </c>
    </row>
    <row r="16" spans="1:20" x14ac:dyDescent="0.25">
      <c r="A16" s="19" t="s">
        <v>21</v>
      </c>
      <c r="B16" s="117" t="s">
        <v>21</v>
      </c>
      <c r="D16" s="147"/>
    </row>
    <row r="17" spans="1:44" x14ac:dyDescent="0.25">
      <c r="A17" s="69" t="s">
        <v>178</v>
      </c>
      <c r="B17" s="126" t="s">
        <v>21</v>
      </c>
      <c r="C17" s="127">
        <v>59220</v>
      </c>
      <c r="D17" s="147">
        <v>63978</v>
      </c>
      <c r="E17" s="147">
        <v>63729</v>
      </c>
      <c r="F17" s="147">
        <v>66757</v>
      </c>
      <c r="G17" s="147">
        <v>67748</v>
      </c>
      <c r="H17" s="147">
        <v>66112</v>
      </c>
      <c r="I17" s="147">
        <v>67675</v>
      </c>
      <c r="J17" s="147">
        <v>73510</v>
      </c>
      <c r="K17" s="147">
        <v>73447</v>
      </c>
      <c r="L17" s="147">
        <f>'[2]Balance Sheets'!C17</f>
        <v>78083</v>
      </c>
      <c r="M17" s="147">
        <v>78471</v>
      </c>
      <c r="N17" s="147">
        <f>'[4]Balance Sheets'!C17</f>
        <v>79142</v>
      </c>
      <c r="O17" s="324">
        <f>'[5]Balance Sheets'!$C$17</f>
        <v>90513</v>
      </c>
      <c r="P17" s="324">
        <f>'[6]Balance Sheets'!$C$17</f>
        <v>91848</v>
      </c>
      <c r="Q17" s="324">
        <f>'[7]Balance Sheets'!C17</f>
        <v>94103</v>
      </c>
      <c r="R17" s="324">
        <f>'[8]Balance Sheets'!C17</f>
        <v>92875</v>
      </c>
      <c r="S17" s="324">
        <f>'[9]Balance Sheets'!C17</f>
        <v>90153</v>
      </c>
      <c r="T17" s="324">
        <f>'[10]Balance Sheets'!C17</f>
        <v>86511</v>
      </c>
    </row>
    <row r="18" spans="1:44" x14ac:dyDescent="0.25">
      <c r="A18" s="69" t="s">
        <v>223</v>
      </c>
      <c r="B18" s="126"/>
      <c r="C18" s="127"/>
      <c r="D18" s="147"/>
      <c r="E18" s="147"/>
      <c r="F18" s="147">
        <v>0</v>
      </c>
      <c r="G18" s="147">
        <v>0</v>
      </c>
      <c r="H18" s="147">
        <v>0</v>
      </c>
      <c r="I18" s="147">
        <v>0</v>
      </c>
      <c r="J18" s="147">
        <v>0</v>
      </c>
      <c r="K18" s="147">
        <v>89835</v>
      </c>
      <c r="L18" s="147">
        <f>'[2]Balance Sheets'!C18</f>
        <v>93162</v>
      </c>
      <c r="M18" s="147">
        <v>88753</v>
      </c>
      <c r="N18" s="147">
        <f>'[4]Balance Sheets'!C18</f>
        <v>86396</v>
      </c>
      <c r="O18" s="324">
        <f>'[5]Balance Sheets'!$C$18</f>
        <v>99940</v>
      </c>
      <c r="P18" s="324">
        <f>'[6]Balance Sheets'!$C$18</f>
        <v>96789</v>
      </c>
      <c r="Q18" s="324">
        <f>'[7]Balance Sheets'!C18</f>
        <v>95873</v>
      </c>
      <c r="R18" s="324">
        <f>'[8]Balance Sheets'!C18</f>
        <v>91918</v>
      </c>
      <c r="S18" s="324">
        <f>'[9]Balance Sheets'!C18</f>
        <v>88777</v>
      </c>
      <c r="T18" s="324">
        <f>'[10]Balance Sheets'!C18</f>
        <v>83280</v>
      </c>
    </row>
    <row r="19" spans="1:44" x14ac:dyDescent="0.25">
      <c r="A19" s="69" t="s">
        <v>19</v>
      </c>
      <c r="B19" s="126"/>
      <c r="C19" s="127">
        <v>3657</v>
      </c>
      <c r="D19" s="147">
        <v>3692</v>
      </c>
      <c r="E19" s="147">
        <v>3710</v>
      </c>
      <c r="F19" s="147">
        <v>3808</v>
      </c>
      <c r="G19" s="283">
        <v>3783</v>
      </c>
      <c r="H19" s="147">
        <v>3645</v>
      </c>
      <c r="I19" s="147">
        <v>3499</v>
      </c>
      <c r="J19" s="147">
        <v>2642</v>
      </c>
      <c r="K19" s="147">
        <v>2575</v>
      </c>
      <c r="L19" s="147">
        <f>'[2]Balance Sheets'!C19</f>
        <v>2507</v>
      </c>
      <c r="M19" s="147">
        <v>2441</v>
      </c>
      <c r="N19" s="147">
        <f>'[4]Balance Sheets'!C19</f>
        <v>2426</v>
      </c>
      <c r="O19" s="324">
        <f>'[5]Balance Sheets'!C19</f>
        <v>2291</v>
      </c>
      <c r="P19" s="324">
        <f>'[6]Balance Sheets'!$C$19</f>
        <v>2298</v>
      </c>
      <c r="Q19" s="324">
        <f>'[7]Balance Sheets'!C19</f>
        <v>2277</v>
      </c>
      <c r="R19" s="324">
        <f>'[8]Balance Sheets'!C19</f>
        <v>2299</v>
      </c>
      <c r="S19" s="324">
        <f>'[9]Balance Sheets'!C19</f>
        <v>2298</v>
      </c>
      <c r="T19" s="324">
        <f>'[10]Balance Sheets'!C19</f>
        <v>2260</v>
      </c>
    </row>
    <row r="20" spans="1:44" x14ac:dyDescent="0.25">
      <c r="A20" s="69" t="s">
        <v>225</v>
      </c>
      <c r="B20" s="126" t="s">
        <v>21</v>
      </c>
      <c r="C20" s="125">
        <v>16392</v>
      </c>
      <c r="D20" s="147">
        <v>13959</v>
      </c>
      <c r="E20" s="147">
        <v>16118</v>
      </c>
      <c r="F20" s="147">
        <v>9280</v>
      </c>
      <c r="G20" s="147">
        <v>6518</v>
      </c>
      <c r="H20" s="147">
        <v>12702</v>
      </c>
      <c r="I20" s="147">
        <v>12201</v>
      </c>
      <c r="J20" s="147">
        <v>6602</v>
      </c>
      <c r="K20" s="147">
        <v>4570</v>
      </c>
      <c r="L20" s="147">
        <f>'[2]Balance Sheets'!C20</f>
        <v>4200</v>
      </c>
      <c r="M20" s="147">
        <v>6190</v>
      </c>
      <c r="N20" s="147">
        <f>'[4]Balance Sheets'!C20</f>
        <v>11855</v>
      </c>
      <c r="O20" s="324">
        <f>'[5]Balance Sheets'!C20</f>
        <v>16640</v>
      </c>
      <c r="P20" s="324">
        <f>'[6]Balance Sheets'!$C$20</f>
        <v>17070</v>
      </c>
      <c r="Q20" s="324">
        <f>'[7]Balance Sheets'!C20</f>
        <v>13230</v>
      </c>
      <c r="R20" s="324">
        <f>'[8]Balance Sheets'!C20</f>
        <v>7749</v>
      </c>
      <c r="S20" s="324">
        <f>'[9]Balance Sheets'!C20</f>
        <v>10657</v>
      </c>
      <c r="T20" s="324">
        <f>'[10]Balance Sheets'!C20</f>
        <v>24132</v>
      </c>
    </row>
    <row r="21" spans="1:44" x14ac:dyDescent="0.25">
      <c r="A21" s="70" t="s">
        <v>226</v>
      </c>
      <c r="B21" s="133"/>
      <c r="C21" s="125">
        <v>50356</v>
      </c>
      <c r="D21" s="147">
        <v>46973</v>
      </c>
      <c r="E21" s="147">
        <v>43568</v>
      </c>
      <c r="F21" s="147">
        <v>48958</v>
      </c>
      <c r="G21" s="147">
        <v>45104</v>
      </c>
      <c r="H21" s="147">
        <v>41170</v>
      </c>
      <c r="I21" s="147">
        <v>114799</v>
      </c>
      <c r="J21" s="147">
        <v>95495</v>
      </c>
      <c r="K21" s="147">
        <v>90008</v>
      </c>
      <c r="L21" s="147">
        <f>'[2]Balance Sheets'!C21</f>
        <v>84402</v>
      </c>
      <c r="M21" s="147">
        <v>78845</v>
      </c>
      <c r="N21" s="147">
        <f>'[4]Balance Sheets'!C21</f>
        <v>73982</v>
      </c>
      <c r="O21" s="324">
        <f>'[5]Balance Sheets'!C21</f>
        <v>69734</v>
      </c>
      <c r="P21" s="324">
        <f>'[6]Balance Sheets'!$C$21</f>
        <v>66296</v>
      </c>
      <c r="Q21" s="324">
        <f>'[7]Balance Sheets'!C21</f>
        <v>62941</v>
      </c>
      <c r="R21" s="324">
        <f>'[8]Balance Sheets'!C21</f>
        <v>59594</v>
      </c>
      <c r="S21" s="324">
        <f>'[9]Balance Sheets'!C21</f>
        <v>56243</v>
      </c>
      <c r="T21" s="324">
        <f>'[10]Balance Sheets'!C21</f>
        <v>52853</v>
      </c>
    </row>
    <row r="22" spans="1:44" x14ac:dyDescent="0.25">
      <c r="A22" s="69" t="s">
        <v>22</v>
      </c>
      <c r="B22" s="126" t="s">
        <v>21</v>
      </c>
      <c r="C22" s="125">
        <v>187952</v>
      </c>
      <c r="D22" s="147">
        <v>188154</v>
      </c>
      <c r="E22" s="147">
        <v>187953</v>
      </c>
      <c r="F22" s="147">
        <v>204481</v>
      </c>
      <c r="G22" s="147">
        <v>202337</v>
      </c>
      <c r="H22" s="147">
        <v>200981</v>
      </c>
      <c r="I22" s="147">
        <v>357533</v>
      </c>
      <c r="J22" s="147">
        <v>349984</v>
      </c>
      <c r="K22" s="147">
        <v>350239</v>
      </c>
      <c r="L22" s="147">
        <f>'[2]Balance Sheets'!C22</f>
        <v>350220</v>
      </c>
      <c r="M22" s="147">
        <v>349530</v>
      </c>
      <c r="N22" s="147">
        <f>'[4]Balance Sheets'!C22</f>
        <v>349529</v>
      </c>
      <c r="O22" s="324">
        <f>'[5]Balance Sheets'!C22</f>
        <v>348076</v>
      </c>
      <c r="P22" s="324">
        <f>'[6]Balance Sheets'!$C$22</f>
        <v>348110</v>
      </c>
      <c r="Q22" s="324">
        <f>'[7]Balance Sheets'!C22</f>
        <v>348723</v>
      </c>
      <c r="R22" s="324">
        <f>'[8]Balance Sheets'!C22</f>
        <v>349088</v>
      </c>
      <c r="S22" s="324">
        <f>'[9]Balance Sheets'!C22</f>
        <v>349098</v>
      </c>
      <c r="T22" s="324">
        <f>'[10]Balance Sheets'!C22</f>
        <v>348747</v>
      </c>
    </row>
    <row r="23" spans="1:44" x14ac:dyDescent="0.25">
      <c r="A23" s="69" t="s">
        <v>31</v>
      </c>
      <c r="B23" s="126" t="s">
        <v>21</v>
      </c>
      <c r="C23" s="125">
        <f>29275-C19</f>
        <v>25618</v>
      </c>
      <c r="D23" s="147">
        <f>35767-D19</f>
        <v>32075</v>
      </c>
      <c r="E23" s="147">
        <f>34382-E19</f>
        <v>30672</v>
      </c>
      <c r="F23" s="147">
        <f>40177-F19</f>
        <v>36369</v>
      </c>
      <c r="G23" s="147">
        <v>33863</v>
      </c>
      <c r="H23" s="147">
        <v>36033</v>
      </c>
      <c r="I23" s="147">
        <v>32779</v>
      </c>
      <c r="J23" s="147">
        <v>31015</v>
      </c>
      <c r="K23" s="147">
        <v>33164</v>
      </c>
      <c r="L23" s="147">
        <f>'[2]Balance Sheets'!C23</f>
        <v>33194</v>
      </c>
      <c r="M23" s="147">
        <v>32967</v>
      </c>
      <c r="N23" s="147">
        <f>'[4]Balance Sheets'!C23</f>
        <v>36016</v>
      </c>
      <c r="O23" s="324">
        <f>'[5]Balance Sheets'!C23</f>
        <v>32045</v>
      </c>
      <c r="P23" s="324">
        <f>'[6]Balance Sheets'!$C$23</f>
        <v>31599</v>
      </c>
      <c r="Q23" s="324">
        <f>'[7]Balance Sheets'!C23</f>
        <v>34280</v>
      </c>
      <c r="R23" s="324">
        <f>'[8]Balance Sheets'!C23</f>
        <v>32099</v>
      </c>
      <c r="S23" s="324">
        <f>'[9]Balance Sheets'!C23</f>
        <v>29669</v>
      </c>
      <c r="T23" s="324">
        <f>'[10]Balance Sheets'!C23</f>
        <v>27472</v>
      </c>
    </row>
    <row r="24" spans="1:44" x14ac:dyDescent="0.25">
      <c r="A24" s="69" t="s">
        <v>180</v>
      </c>
      <c r="B24" s="126"/>
      <c r="C24" s="201">
        <v>0</v>
      </c>
      <c r="D24" s="147">
        <v>0</v>
      </c>
      <c r="E24" s="147">
        <v>0</v>
      </c>
      <c r="F24" s="147">
        <v>3000</v>
      </c>
      <c r="G24" s="147">
        <v>2944</v>
      </c>
      <c r="H24" s="147">
        <v>2886</v>
      </c>
      <c r="I24" s="147">
        <v>2824</v>
      </c>
      <c r="J24" s="147">
        <v>2753</v>
      </c>
      <c r="K24" s="147">
        <v>2686</v>
      </c>
      <c r="L24" s="147">
        <f>'[2]Balance Sheets'!C24</f>
        <v>2624</v>
      </c>
      <c r="M24" s="147">
        <v>2555</v>
      </c>
      <c r="N24" s="147">
        <f>'[4]Balance Sheets'!C24</f>
        <v>2484</v>
      </c>
      <c r="O24" s="324">
        <f>'[5]Balance Sheets'!C24</f>
        <v>3128</v>
      </c>
      <c r="P24" s="324">
        <f>'[6]Balance Sheets'!$C$24</f>
        <v>3063</v>
      </c>
      <c r="Q24" s="324">
        <f>'[7]Balance Sheets'!C24</f>
        <v>2991</v>
      </c>
      <c r="R24" s="324">
        <f>'[8]Balance Sheets'!C24</f>
        <v>2957</v>
      </c>
      <c r="S24" s="324">
        <f>'[9]Balance Sheets'!C24</f>
        <v>2921</v>
      </c>
      <c r="T24" s="324">
        <f>'[10]Balance Sheets'!C24</f>
        <v>2929</v>
      </c>
    </row>
    <row r="25" spans="1:44" s="8" customFormat="1" ht="13" x14ac:dyDescent="0.3">
      <c r="A25" s="47" t="s">
        <v>107</v>
      </c>
      <c r="B25" s="132" t="s">
        <v>21</v>
      </c>
      <c r="C25" s="118">
        <f t="shared" ref="C25:H25" si="2">SUM(C15:C24)</f>
        <v>726693</v>
      </c>
      <c r="D25" s="118">
        <f t="shared" si="2"/>
        <v>747431</v>
      </c>
      <c r="E25" s="118">
        <f t="shared" si="2"/>
        <v>769004</v>
      </c>
      <c r="F25" s="118">
        <f t="shared" si="2"/>
        <v>825470</v>
      </c>
      <c r="G25" s="118">
        <f t="shared" si="2"/>
        <v>798270</v>
      </c>
      <c r="H25" s="118">
        <f t="shared" si="2"/>
        <v>790263</v>
      </c>
      <c r="I25" s="118">
        <f>SUM(I15:I24)</f>
        <v>1045137</v>
      </c>
      <c r="J25" s="118">
        <f>SUM(J15:J24)</f>
        <v>1061936</v>
      </c>
      <c r="K25" s="118">
        <f>SUM(K15:K24)</f>
        <v>1182582</v>
      </c>
      <c r="L25" s="118">
        <f>SUM(L15:L24)</f>
        <v>1137467</v>
      </c>
      <c r="M25" s="118">
        <f t="shared" ref="M25:Q25" si="3">SUM(M15:M24)</f>
        <v>1145978</v>
      </c>
      <c r="N25" s="118">
        <f t="shared" si="3"/>
        <v>1183088</v>
      </c>
      <c r="O25" s="118">
        <f t="shared" si="3"/>
        <v>1267259</v>
      </c>
      <c r="P25" s="118">
        <f>SUM(P15:P24)</f>
        <v>1193613</v>
      </c>
      <c r="Q25" s="118">
        <f t="shared" si="3"/>
        <v>1219481</v>
      </c>
      <c r="R25" s="118">
        <f>ROUND(SUM(R15:R24),0)</f>
        <v>1247857</v>
      </c>
      <c r="S25" s="118">
        <f t="shared" ref="S25:T25" si="4">SUM(S15:S24)</f>
        <v>1226366</v>
      </c>
      <c r="T25" s="118">
        <f t="shared" si="4"/>
        <v>1169346</v>
      </c>
      <c r="AF25" s="2"/>
      <c r="AG25" s="2"/>
      <c r="AH25" s="2"/>
      <c r="AI25" s="2"/>
      <c r="AJ25" s="2"/>
      <c r="AK25" s="2"/>
      <c r="AL25" s="2"/>
      <c r="AM25" s="2"/>
      <c r="AN25" s="2"/>
      <c r="AO25" s="2"/>
      <c r="AP25" s="2"/>
      <c r="AQ25" s="2"/>
      <c r="AR25" s="2"/>
    </row>
    <row r="26" spans="1:44" x14ac:dyDescent="0.25">
      <c r="A26" s="22" t="s">
        <v>21</v>
      </c>
      <c r="B26" s="117" t="s">
        <v>21</v>
      </c>
      <c r="D26" s="147"/>
    </row>
    <row r="27" spans="1:44" s="38" customFormat="1" ht="13" x14ac:dyDescent="0.3">
      <c r="A27" s="50" t="s">
        <v>23</v>
      </c>
      <c r="B27" s="131" t="s">
        <v>21</v>
      </c>
      <c r="D27" s="155"/>
      <c r="AF27" s="2"/>
      <c r="AG27" s="2"/>
      <c r="AH27" s="2"/>
      <c r="AI27" s="2"/>
      <c r="AJ27" s="2"/>
      <c r="AK27" s="2"/>
      <c r="AL27" s="2"/>
      <c r="AM27" s="2"/>
      <c r="AN27" s="2"/>
      <c r="AO27" s="2"/>
      <c r="AP27" s="2"/>
      <c r="AQ27" s="2"/>
      <c r="AR27" s="2"/>
    </row>
    <row r="28" spans="1:44" ht="13" x14ac:dyDescent="0.3">
      <c r="A28" s="67" t="s">
        <v>24</v>
      </c>
      <c r="B28" s="117" t="s">
        <v>21</v>
      </c>
      <c r="D28" s="147"/>
    </row>
    <row r="29" spans="1:44" s="8" customFormat="1" ht="13" x14ac:dyDescent="0.3">
      <c r="A29" s="68" t="s">
        <v>25</v>
      </c>
      <c r="B29" s="130" t="s">
        <v>21</v>
      </c>
      <c r="C29" s="127">
        <v>5286</v>
      </c>
      <c r="D29" s="147">
        <v>11661</v>
      </c>
      <c r="E29" s="147">
        <v>3834</v>
      </c>
      <c r="F29" s="147">
        <v>5918</v>
      </c>
      <c r="G29" s="147">
        <v>4114</v>
      </c>
      <c r="H29" s="147">
        <v>5428</v>
      </c>
      <c r="I29" s="147">
        <v>4310</v>
      </c>
      <c r="J29" s="147">
        <v>5653</v>
      </c>
      <c r="K29" s="147">
        <v>4560</v>
      </c>
      <c r="L29" s="147">
        <f>'[2]Balance Sheets'!C28</f>
        <v>3269</v>
      </c>
      <c r="M29" s="147">
        <v>3658</v>
      </c>
      <c r="N29" s="147">
        <f>'[4]Balance Sheets'!C28</f>
        <v>6564</v>
      </c>
      <c r="O29" s="324">
        <f>'[5]Balance Sheets'!C28</f>
        <v>8048</v>
      </c>
      <c r="P29" s="324">
        <f>'[6]Balance Sheets'!$C$28</f>
        <v>9048</v>
      </c>
      <c r="Q29" s="324">
        <f>'[7]Balance Sheets'!C28</f>
        <v>6213</v>
      </c>
      <c r="R29" s="324">
        <f>'[8]Balance Sheets'!C28</f>
        <v>6992</v>
      </c>
      <c r="S29" s="324">
        <f>'[9]Balance Sheets'!C28</f>
        <v>8304</v>
      </c>
      <c r="T29" s="324">
        <f>'[10]Balance Sheets'!C28</f>
        <v>3877</v>
      </c>
      <c r="AF29" s="2"/>
      <c r="AG29" s="2"/>
      <c r="AH29" s="2"/>
      <c r="AI29" s="2"/>
      <c r="AJ29" s="2"/>
      <c r="AK29" s="2"/>
      <c r="AL29" s="2"/>
      <c r="AM29" s="2"/>
      <c r="AN29" s="2"/>
      <c r="AO29" s="2"/>
      <c r="AP29" s="2"/>
      <c r="AQ29" s="2"/>
      <c r="AR29" s="2"/>
    </row>
    <row r="30" spans="1:44" s="8" customFormat="1" ht="13" x14ac:dyDescent="0.3">
      <c r="A30" s="68" t="s">
        <v>181</v>
      </c>
      <c r="B30" s="130"/>
      <c r="C30" s="125">
        <v>10000</v>
      </c>
      <c r="D30" s="147">
        <v>10000</v>
      </c>
      <c r="E30" s="147">
        <v>0</v>
      </c>
      <c r="F30" s="147">
        <v>10318</v>
      </c>
      <c r="G30" s="147">
        <v>318</v>
      </c>
      <c r="H30" s="147">
        <v>10318</v>
      </c>
      <c r="I30" s="147">
        <v>12318</v>
      </c>
      <c r="J30" s="147">
        <v>21423</v>
      </c>
      <c r="K30" s="147">
        <v>20876</v>
      </c>
      <c r="L30" s="147">
        <f>'[2]Balance Sheets'!C29</f>
        <v>20885</v>
      </c>
      <c r="M30" s="147">
        <v>20876</v>
      </c>
      <c r="N30" s="147">
        <f>'[4]Balance Sheets'!C29</f>
        <v>40867</v>
      </c>
      <c r="O30" s="324">
        <f>'[5]Balance Sheets'!C29</f>
        <v>100666</v>
      </c>
      <c r="P30" s="324">
        <f>'[6]Balance Sheets'!$C$29</f>
        <v>20657</v>
      </c>
      <c r="Q30" s="324">
        <f>'[7]Balance Sheets'!C29</f>
        <v>10474</v>
      </c>
      <c r="R30" s="324">
        <f>'[8]Balance Sheets'!C29</f>
        <v>25000</v>
      </c>
      <c r="S30" s="324">
        <f>'[9]Balance Sheets'!C29</f>
        <v>25000</v>
      </c>
      <c r="T30" s="324">
        <f>'[10]Balance Sheets'!C29</f>
        <v>15000</v>
      </c>
      <c r="AF30" s="2"/>
      <c r="AG30" s="2"/>
      <c r="AH30" s="2"/>
      <c r="AI30" s="2"/>
      <c r="AJ30" s="2"/>
      <c r="AK30" s="2"/>
      <c r="AL30" s="2"/>
      <c r="AM30" s="2"/>
      <c r="AN30" s="2"/>
      <c r="AO30" s="2"/>
      <c r="AP30" s="2"/>
      <c r="AQ30" s="2"/>
      <c r="AR30" s="2"/>
    </row>
    <row r="31" spans="1:44" x14ac:dyDescent="0.25">
      <c r="A31" s="68" t="s">
        <v>26</v>
      </c>
      <c r="B31" s="128" t="s">
        <v>21</v>
      </c>
      <c r="C31" s="125">
        <v>17968</v>
      </c>
      <c r="D31" s="147">
        <v>14189</v>
      </c>
      <c r="E31" s="147">
        <v>8662</v>
      </c>
      <c r="F31" s="147">
        <v>10716</v>
      </c>
      <c r="G31" s="147">
        <v>11504</v>
      </c>
      <c r="H31" s="147">
        <v>10448</v>
      </c>
      <c r="I31" s="147">
        <v>7600</v>
      </c>
      <c r="J31" s="147">
        <v>7722</v>
      </c>
      <c r="K31" s="147">
        <v>11132</v>
      </c>
      <c r="L31" s="147">
        <f>'[2]Balance Sheets'!C30</f>
        <v>11790</v>
      </c>
      <c r="M31" s="147">
        <v>9585</v>
      </c>
      <c r="N31" s="147">
        <f>'[4]Balance Sheets'!C30</f>
        <v>13436</v>
      </c>
      <c r="O31" s="324">
        <f>'[5]Balance Sheets'!C30</f>
        <v>16038</v>
      </c>
      <c r="P31" s="324">
        <f>'[6]Balance Sheets'!$C$30</f>
        <v>16752</v>
      </c>
      <c r="Q31" s="324">
        <f>'[7]Balance Sheets'!C30</f>
        <v>13562</v>
      </c>
      <c r="R31" s="324">
        <f>'[8]Balance Sheets'!C30</f>
        <v>32649</v>
      </c>
      <c r="S31" s="324">
        <f>'[9]Balance Sheets'!C30</f>
        <v>14764</v>
      </c>
      <c r="T31" s="324">
        <f>'[10]Balance Sheets'!C30</f>
        <v>12017</v>
      </c>
    </row>
    <row r="32" spans="1:44" x14ac:dyDescent="0.25">
      <c r="A32" s="68" t="s">
        <v>27</v>
      </c>
      <c r="B32" s="128" t="s">
        <v>21</v>
      </c>
      <c r="C32" s="125">
        <v>29830</v>
      </c>
      <c r="D32" s="147">
        <v>39135</v>
      </c>
      <c r="E32" s="147">
        <v>49385</v>
      </c>
      <c r="F32" s="147">
        <v>55664</v>
      </c>
      <c r="G32" s="147">
        <v>27615</v>
      </c>
      <c r="H32" s="147">
        <v>33338</v>
      </c>
      <c r="I32" s="147">
        <v>46638</v>
      </c>
      <c r="J32" s="147">
        <v>54893</v>
      </c>
      <c r="K32" s="147">
        <v>31954</v>
      </c>
      <c r="L32" s="147">
        <f>'[2]Balance Sheets'!C31</f>
        <v>42967</v>
      </c>
      <c r="M32" s="147">
        <v>59568</v>
      </c>
      <c r="N32" s="147">
        <f>'[7]Balance Sheets'!$E$31</f>
        <v>68885</v>
      </c>
      <c r="O32" s="324">
        <f>'[5]Balance Sheets'!$C$31</f>
        <v>28937</v>
      </c>
      <c r="P32" s="324">
        <f>'[6]Balance Sheets'!$C$31</f>
        <v>42376</v>
      </c>
      <c r="Q32" s="324">
        <f>'[7]Balance Sheets'!C31</f>
        <v>57402</v>
      </c>
      <c r="R32" s="324">
        <f>'[8]Balance Sheets'!C31</f>
        <v>67645</v>
      </c>
      <c r="S32" s="324">
        <f>'[9]Balance Sheets'!C31</f>
        <v>43492</v>
      </c>
      <c r="T32" s="324">
        <f>'[10]Balance Sheets'!C31</f>
        <v>70496</v>
      </c>
    </row>
    <row r="33" spans="1:20" x14ac:dyDescent="0.25">
      <c r="A33" s="68" t="s">
        <v>64</v>
      </c>
      <c r="B33" s="128" t="s">
        <v>21</v>
      </c>
      <c r="C33" s="136">
        <v>47886</v>
      </c>
      <c r="D33" s="147">
        <v>41048</v>
      </c>
      <c r="E33" s="147">
        <v>49208</v>
      </c>
      <c r="F33" s="147">
        <v>61633</v>
      </c>
      <c r="G33" s="147">
        <v>61394</v>
      </c>
      <c r="H33" s="147">
        <v>60105</v>
      </c>
      <c r="I33" s="147">
        <v>67305</v>
      </c>
      <c r="J33" s="147">
        <v>64392</v>
      </c>
      <c r="K33" s="147">
        <v>66110</v>
      </c>
      <c r="L33" s="147">
        <f>'[2]Balance Sheets'!C32+'[2]Balance Sheets'!$C$35</f>
        <v>65286</v>
      </c>
      <c r="M33" s="147">
        <v>70124</v>
      </c>
      <c r="N33" s="147">
        <f>'[7]Balance Sheets'!$E$32</f>
        <v>74017</v>
      </c>
      <c r="O33" s="324">
        <f>'[5]Balance Sheets'!$C$32+'[5]Balance Sheets'!$C$35</f>
        <v>84747</v>
      </c>
      <c r="P33" s="324">
        <f>'[6]Balance Sheets'!$C$32</f>
        <v>74772</v>
      </c>
      <c r="Q33" s="324">
        <f>'[7]Balance Sheets'!C32</f>
        <v>73043</v>
      </c>
      <c r="R33" s="324">
        <f>'[8]Balance Sheets'!C32</f>
        <v>66410</v>
      </c>
      <c r="S33" s="324">
        <f>'[9]Balance Sheets'!C32</f>
        <v>73241</v>
      </c>
      <c r="T33" s="324">
        <f>'[10]Balance Sheets'!C32</f>
        <v>76424</v>
      </c>
    </row>
    <row r="34" spans="1:20" x14ac:dyDescent="0.25">
      <c r="A34" s="68" t="s">
        <v>211</v>
      </c>
      <c r="B34" s="128"/>
      <c r="C34" s="136"/>
      <c r="D34" s="147"/>
      <c r="E34" s="147"/>
      <c r="F34" s="147">
        <v>0</v>
      </c>
      <c r="G34" s="147">
        <v>0</v>
      </c>
      <c r="H34" s="147">
        <v>0</v>
      </c>
      <c r="I34" s="147">
        <v>0</v>
      </c>
      <c r="J34" s="147">
        <v>0</v>
      </c>
      <c r="K34" s="147">
        <v>22306</v>
      </c>
      <c r="L34" s="147">
        <f>'[2]Balance Sheets'!C33</f>
        <v>23439</v>
      </c>
      <c r="M34" s="147">
        <v>23516</v>
      </c>
      <c r="N34" s="147">
        <f>'[4]Balance Sheets'!$C$33</f>
        <v>24148</v>
      </c>
      <c r="O34" s="324">
        <f>'[5]Balance Sheets'!$C$33</f>
        <v>18236</v>
      </c>
      <c r="P34" s="324">
        <f>'[6]Balance Sheets'!$C$33</f>
        <v>18199</v>
      </c>
      <c r="Q34" s="324">
        <f>'[7]Balance Sheets'!C33</f>
        <v>19048</v>
      </c>
      <c r="R34" s="324">
        <f>'[8]Balance Sheets'!C33</f>
        <v>18894</v>
      </c>
      <c r="S34" s="324">
        <f>'[9]Balance Sheets'!C33</f>
        <v>18476</v>
      </c>
      <c r="T34" s="324">
        <f>'[10]Balance Sheets'!C33</f>
        <v>18039</v>
      </c>
    </row>
    <row r="35" spans="1:20" x14ac:dyDescent="0.25">
      <c r="A35" s="68" t="s">
        <v>224</v>
      </c>
      <c r="B35" s="128"/>
      <c r="C35" s="296">
        <v>0</v>
      </c>
      <c r="D35" s="147">
        <v>0</v>
      </c>
      <c r="E35" s="147">
        <v>0</v>
      </c>
      <c r="F35" s="147">
        <v>0</v>
      </c>
      <c r="G35" s="147">
        <v>0</v>
      </c>
      <c r="H35" s="147">
        <v>0</v>
      </c>
      <c r="I35" s="147">
        <v>0</v>
      </c>
      <c r="J35" s="147">
        <v>1012</v>
      </c>
      <c r="K35" s="147">
        <v>595</v>
      </c>
      <c r="L35" s="147">
        <f>'[2]Balance Sheets'!C34</f>
        <v>604</v>
      </c>
      <c r="M35" s="147">
        <v>575</v>
      </c>
      <c r="N35" s="147">
        <f>'[4]Balance Sheets'!$C$34</f>
        <v>1432</v>
      </c>
      <c r="O35" s="324">
        <f>'[5]Balance Sheets'!$C$34</f>
        <v>1692</v>
      </c>
      <c r="P35" s="324">
        <f>'[6]Balance Sheets'!$C$34</f>
        <v>2359</v>
      </c>
      <c r="Q35" s="324">
        <f>'[7]Balance Sheets'!C34</f>
        <v>5157</v>
      </c>
      <c r="R35" s="324">
        <f>'[8]Balance Sheets'!C34</f>
        <v>3488</v>
      </c>
      <c r="S35" s="324">
        <f>'[9]Balance Sheets'!C34</f>
        <v>14443</v>
      </c>
      <c r="T35" s="324">
        <f>'[10]Balance Sheets'!C34</f>
        <v>11256</v>
      </c>
    </row>
    <row r="36" spans="1:20" ht="13" x14ac:dyDescent="0.3">
      <c r="A36" s="69" t="s">
        <v>29</v>
      </c>
      <c r="B36" s="128" t="s">
        <v>21</v>
      </c>
      <c r="C36" s="129">
        <f t="shared" ref="C36:J36" si="5">SUM(C29:C35)</f>
        <v>110970</v>
      </c>
      <c r="D36" s="129">
        <f t="shared" si="5"/>
        <v>116033</v>
      </c>
      <c r="E36" s="129">
        <f t="shared" si="5"/>
        <v>111089</v>
      </c>
      <c r="F36" s="129">
        <f t="shared" si="5"/>
        <v>144249</v>
      </c>
      <c r="G36" s="129">
        <f t="shared" si="5"/>
        <v>104945</v>
      </c>
      <c r="H36" s="129">
        <f t="shared" si="5"/>
        <v>119637</v>
      </c>
      <c r="I36" s="129">
        <f t="shared" si="5"/>
        <v>138171</v>
      </c>
      <c r="J36" s="129">
        <f t="shared" si="5"/>
        <v>155095</v>
      </c>
      <c r="K36" s="129">
        <f t="shared" ref="K36:Q36" si="6">SUM(K29:K35)</f>
        <v>157533</v>
      </c>
      <c r="L36" s="129">
        <f t="shared" si="6"/>
        <v>168240</v>
      </c>
      <c r="M36" s="129">
        <f t="shared" si="6"/>
        <v>187902</v>
      </c>
      <c r="N36" s="130">
        <f t="shared" si="6"/>
        <v>229349</v>
      </c>
      <c r="O36" s="130">
        <f t="shared" si="6"/>
        <v>258364</v>
      </c>
      <c r="P36" s="130">
        <f t="shared" si="6"/>
        <v>184163</v>
      </c>
      <c r="Q36" s="130">
        <f t="shared" si="6"/>
        <v>184899</v>
      </c>
      <c r="R36" s="130">
        <f>ROUND(SUM(R29:R35),0)</f>
        <v>221078</v>
      </c>
      <c r="S36" s="130">
        <f t="shared" ref="S36:T36" si="7">SUM(S29:S35)</f>
        <v>197720</v>
      </c>
      <c r="T36" s="130">
        <f t="shared" si="7"/>
        <v>207109</v>
      </c>
    </row>
    <row r="37" spans="1:20" x14ac:dyDescent="0.25">
      <c r="A37" s="72" t="s">
        <v>21</v>
      </c>
      <c r="B37" s="128" t="s">
        <v>21</v>
      </c>
      <c r="D37" s="147"/>
    </row>
    <row r="38" spans="1:20" ht="13" x14ac:dyDescent="0.3">
      <c r="A38" s="73" t="s">
        <v>220</v>
      </c>
      <c r="B38" s="128"/>
      <c r="C38" s="147">
        <v>35000</v>
      </c>
      <c r="D38" s="147">
        <v>35000</v>
      </c>
      <c r="E38" s="147">
        <v>45000</v>
      </c>
      <c r="F38" s="147">
        <v>50391</v>
      </c>
      <c r="G38" s="147">
        <v>67355</v>
      </c>
      <c r="H38" s="147">
        <v>57326</v>
      </c>
      <c r="I38" s="147">
        <v>288309</v>
      </c>
      <c r="J38" s="147">
        <v>263241</v>
      </c>
      <c r="K38" s="147">
        <v>299765</v>
      </c>
      <c r="L38" s="147">
        <f>'[2]Balance Sheets'!$C$37</f>
        <v>231409</v>
      </c>
      <c r="M38" s="147">
        <v>223916</v>
      </c>
      <c r="N38" s="147">
        <f>'[4]Balance Sheets'!$C$37</f>
        <v>194131</v>
      </c>
      <c r="O38" s="147">
        <f>'[5]Balance Sheets'!$C$37</f>
        <v>234820</v>
      </c>
      <c r="P38" s="147">
        <f>'[6]Balance Sheets'!$C$37</f>
        <v>215527</v>
      </c>
      <c r="Q38" s="147">
        <f>'[7]Balance Sheets'!$C$37</f>
        <v>216235</v>
      </c>
      <c r="R38" s="147">
        <f>'[8]Balance Sheets'!$C$37</f>
        <v>201961</v>
      </c>
      <c r="S38" s="147">
        <f>'[9]Balance Sheets'!$C$37</f>
        <v>202687</v>
      </c>
      <c r="T38" s="147">
        <f>'[10]Balance Sheets'!$C$37</f>
        <v>139432</v>
      </c>
    </row>
    <row r="39" spans="1:20" ht="13" x14ac:dyDescent="0.3">
      <c r="A39" s="73" t="s">
        <v>65</v>
      </c>
      <c r="B39" s="126" t="s">
        <v>21</v>
      </c>
      <c r="D39" s="147"/>
      <c r="E39" s="147"/>
    </row>
    <row r="40" spans="1:20" x14ac:dyDescent="0.25">
      <c r="A40" s="68" t="s">
        <v>221</v>
      </c>
      <c r="B40" s="126"/>
      <c r="C40" s="127">
        <v>285</v>
      </c>
      <c r="D40" s="147">
        <v>310</v>
      </c>
      <c r="E40" s="147">
        <v>315</v>
      </c>
      <c r="F40" s="147">
        <v>331</v>
      </c>
      <c r="G40" s="147">
        <v>282</v>
      </c>
      <c r="H40" s="147">
        <v>270</v>
      </c>
      <c r="I40" s="147">
        <v>261</v>
      </c>
      <c r="J40" s="147">
        <v>315</v>
      </c>
      <c r="K40" s="147">
        <v>492</v>
      </c>
      <c r="L40" s="147">
        <f>'[2]Balance Sheets'!C38</f>
        <v>474</v>
      </c>
      <c r="M40" s="147">
        <v>436</v>
      </c>
      <c r="N40" s="147">
        <f>'[4]Balance Sheets'!C38*0</f>
        <v>0</v>
      </c>
      <c r="O40" s="324">
        <f>'[5]Balance Sheets'!C38</f>
        <v>380</v>
      </c>
      <c r="P40" s="324">
        <f>'[6]Balance Sheets'!$C$38</f>
        <v>0</v>
      </c>
      <c r="Q40" s="324"/>
      <c r="R40" s="324">
        <f>'[8]Balance Sheets'!$C$38</f>
        <v>0</v>
      </c>
      <c r="S40" s="324">
        <f>'[9]Balance Sheets'!C38</f>
        <v>0</v>
      </c>
      <c r="T40" s="324">
        <f>'[10]Balance Sheets'!$C$38</f>
        <v>0</v>
      </c>
    </row>
    <row r="41" spans="1:20" x14ac:dyDescent="0.25">
      <c r="A41" s="68" t="s">
        <v>28</v>
      </c>
      <c r="B41" s="126"/>
      <c r="C41" s="201">
        <v>0</v>
      </c>
      <c r="D41" s="201">
        <v>0</v>
      </c>
      <c r="E41" s="201">
        <v>0</v>
      </c>
      <c r="F41" s="147">
        <v>13557</v>
      </c>
      <c r="G41" s="147">
        <v>8721</v>
      </c>
      <c r="H41" s="147">
        <v>8721</v>
      </c>
      <c r="I41" s="147">
        <v>8721</v>
      </c>
      <c r="J41" s="147">
        <v>0</v>
      </c>
      <c r="K41" s="147">
        <v>0</v>
      </c>
      <c r="L41" s="147">
        <f>'[2]Balance Sheets'!C39</f>
        <v>0</v>
      </c>
      <c r="M41" s="147">
        <v>0</v>
      </c>
      <c r="N41" s="147">
        <f>'[4]Balance Sheets'!C39</f>
        <v>1790</v>
      </c>
      <c r="O41" s="324">
        <f>'[5]Balance Sheets'!C39</f>
        <v>1790</v>
      </c>
      <c r="P41" s="324">
        <f>'[6]Balance Sheets'!$C$39</f>
        <v>1790</v>
      </c>
      <c r="Q41" s="324">
        <f>'[7]Balance Sheets'!$C$39</f>
        <v>1790</v>
      </c>
      <c r="R41" s="324">
        <f>'[8]Balance Sheets'!$C$39</f>
        <v>1790</v>
      </c>
      <c r="S41" s="324">
        <f>'[9]Balance Sheets'!C39</f>
        <v>1790</v>
      </c>
      <c r="T41" s="324">
        <f>'[10]Balance Sheets'!C39</f>
        <v>1790</v>
      </c>
    </row>
    <row r="42" spans="1:20" x14ac:dyDescent="0.25">
      <c r="A42" s="68" t="s">
        <v>227</v>
      </c>
      <c r="B42" s="126"/>
      <c r="C42" s="201">
        <v>0</v>
      </c>
      <c r="D42" s="201">
        <v>0</v>
      </c>
      <c r="E42" s="201">
        <v>0</v>
      </c>
      <c r="F42" s="297">
        <v>695</v>
      </c>
      <c r="G42" s="201">
        <v>0</v>
      </c>
      <c r="H42" s="201">
        <v>0</v>
      </c>
      <c r="I42" s="147">
        <v>13352</v>
      </c>
      <c r="J42" s="147">
        <v>8445</v>
      </c>
      <c r="K42" s="147">
        <v>10103</v>
      </c>
      <c r="L42" s="147">
        <f>'[2]Balance Sheets'!C40</f>
        <v>6366</v>
      </c>
      <c r="M42" s="147">
        <v>720</v>
      </c>
      <c r="N42" s="147">
        <f>'[4]Balance Sheets'!C40</f>
        <v>966</v>
      </c>
      <c r="O42" s="324">
        <f>'[5]Balance Sheets'!C40</f>
        <v>773</v>
      </c>
      <c r="P42" s="324">
        <f>'[6]Balance Sheets'!$C$40</f>
        <v>705</v>
      </c>
      <c r="Q42" s="324">
        <f>'[7]Balance Sheets'!$C$40</f>
        <v>841</v>
      </c>
      <c r="R42" s="324">
        <f>'[8]Balance Sheets'!$C$40</f>
        <v>847</v>
      </c>
      <c r="S42" s="324">
        <f>'[9]Balance Sheets'!C40</f>
        <v>877</v>
      </c>
      <c r="T42" s="324">
        <f>'[10]Balance Sheets'!C40</f>
        <v>902</v>
      </c>
    </row>
    <row r="43" spans="1:20" x14ac:dyDescent="0.25">
      <c r="A43" s="68" t="s">
        <v>212</v>
      </c>
      <c r="B43" s="126"/>
      <c r="C43" s="201"/>
      <c r="D43" s="201"/>
      <c r="E43" s="201"/>
      <c r="F43" s="297">
        <v>0</v>
      </c>
      <c r="G43" s="201">
        <v>0</v>
      </c>
      <c r="H43" s="201">
        <v>0</v>
      </c>
      <c r="I43" s="147">
        <v>0</v>
      </c>
      <c r="J43" s="147">
        <v>0</v>
      </c>
      <c r="K43" s="147">
        <v>77060</v>
      </c>
      <c r="L43" s="147">
        <f>'[2]Balance Sheets'!C41</f>
        <v>80531</v>
      </c>
      <c r="M43" s="147">
        <v>76080</v>
      </c>
      <c r="N43" s="147">
        <f>'[4]Balance Sheets'!C41</f>
        <v>74709</v>
      </c>
      <c r="O43" s="324">
        <f>'[5]Balance Sheets'!C41</f>
        <v>93707</v>
      </c>
      <c r="P43" s="324">
        <f>'[6]Balance Sheets'!$C$41</f>
        <v>90934</v>
      </c>
      <c r="Q43" s="324">
        <f>'[7]Balance Sheets'!$C$41</f>
        <v>89412</v>
      </c>
      <c r="R43" s="324">
        <f>'[8]Balance Sheets'!$C$41</f>
        <v>84874</v>
      </c>
      <c r="S43" s="324">
        <f>'[9]Balance Sheets'!C41</f>
        <v>81948</v>
      </c>
      <c r="T43" s="324">
        <f>'[10]Balance Sheets'!C41</f>
        <v>76518</v>
      </c>
    </row>
    <row r="44" spans="1:20" x14ac:dyDescent="0.25">
      <c r="A44" s="68" t="s">
        <v>32</v>
      </c>
      <c r="B44" s="126"/>
      <c r="C44" s="125">
        <v>17729</v>
      </c>
      <c r="D44" s="147">
        <v>16166</v>
      </c>
      <c r="E44" s="147">
        <v>16234</v>
      </c>
      <c r="F44" s="147">
        <v>16202</v>
      </c>
      <c r="G44" s="147">
        <v>15262</v>
      </c>
      <c r="H44" s="147">
        <v>18830</v>
      </c>
      <c r="I44" s="147">
        <v>21875</v>
      </c>
      <c r="J44" s="147">
        <v>16521</v>
      </c>
      <c r="K44" s="147">
        <v>6794</v>
      </c>
      <c r="L44" s="147">
        <f>'[2]Balance Sheets'!C42</f>
        <v>9094</v>
      </c>
      <c r="M44" s="147">
        <v>9241</v>
      </c>
      <c r="N44" s="147">
        <f>'[7]Balance Sheets'!$E$42</f>
        <v>12142</v>
      </c>
      <c r="O44" s="324">
        <f>'[5]Balance Sheets'!C42</f>
        <v>21521</v>
      </c>
      <c r="P44" s="324">
        <f>'[6]Balance Sheets'!$C$42</f>
        <v>19566</v>
      </c>
      <c r="Q44" s="324">
        <f>'[7]Balance Sheets'!$C$42</f>
        <v>16376</v>
      </c>
      <c r="R44" s="324">
        <f>'[8]Balance Sheets'!$C$42</f>
        <v>18135</v>
      </c>
      <c r="S44" s="324">
        <f>'[9]Balance Sheets'!C42</f>
        <v>15119</v>
      </c>
      <c r="T44" s="324">
        <f>'[10]Balance Sheets'!C42</f>
        <v>15581</v>
      </c>
    </row>
    <row r="45" spans="1:20" ht="13" x14ac:dyDescent="0.3">
      <c r="A45" s="43" t="s">
        <v>73</v>
      </c>
      <c r="B45" s="44" t="s">
        <v>21</v>
      </c>
      <c r="C45" s="120">
        <f t="shared" ref="C45:L45" si="8">SUM(C36:C44)</f>
        <v>163984</v>
      </c>
      <c r="D45" s="120">
        <f t="shared" si="8"/>
        <v>167509</v>
      </c>
      <c r="E45" s="120">
        <f t="shared" si="8"/>
        <v>172638</v>
      </c>
      <c r="F45" s="120">
        <f t="shared" si="8"/>
        <v>225425</v>
      </c>
      <c r="G45" s="120">
        <f t="shared" si="8"/>
        <v>196565</v>
      </c>
      <c r="H45" s="120">
        <f t="shared" si="8"/>
        <v>204784</v>
      </c>
      <c r="I45" s="120">
        <f t="shared" si="8"/>
        <v>470689</v>
      </c>
      <c r="J45" s="120">
        <f t="shared" si="8"/>
        <v>443617</v>
      </c>
      <c r="K45" s="120">
        <f t="shared" si="8"/>
        <v>551747</v>
      </c>
      <c r="L45" s="120">
        <f t="shared" si="8"/>
        <v>496114</v>
      </c>
      <c r="M45" s="120">
        <f t="shared" ref="M45:Q45" si="9">SUM(M36:M44)</f>
        <v>498295</v>
      </c>
      <c r="N45" s="120">
        <f t="shared" si="9"/>
        <v>513087</v>
      </c>
      <c r="O45" s="120">
        <f t="shared" si="9"/>
        <v>611355</v>
      </c>
      <c r="P45" s="120">
        <f>SUM(P36:P44)</f>
        <v>512685</v>
      </c>
      <c r="Q45" s="120">
        <f t="shared" si="9"/>
        <v>509553</v>
      </c>
      <c r="R45" s="120">
        <f>ROUND(SUM(R36:R44),0)</f>
        <v>528685</v>
      </c>
      <c r="S45" s="120">
        <f t="shared" ref="S45:T45" si="10">SUM(S36:S44)</f>
        <v>500141</v>
      </c>
      <c r="T45" s="120">
        <f t="shared" si="10"/>
        <v>441332</v>
      </c>
    </row>
    <row r="46" spans="1:20" x14ac:dyDescent="0.25">
      <c r="A46" s="19" t="s">
        <v>21</v>
      </c>
      <c r="B46" s="2" t="s">
        <v>21</v>
      </c>
      <c r="D46" s="147"/>
    </row>
    <row r="47" spans="1:20" ht="25" x14ac:dyDescent="0.25">
      <c r="A47" s="20" t="s">
        <v>74</v>
      </c>
      <c r="B47" s="2" t="s">
        <v>21</v>
      </c>
      <c r="C47" s="119">
        <v>0</v>
      </c>
      <c r="D47" s="119">
        <v>0</v>
      </c>
      <c r="E47" s="119">
        <v>0</v>
      </c>
      <c r="F47" s="119">
        <v>0</v>
      </c>
      <c r="G47" s="119">
        <v>0</v>
      </c>
      <c r="H47" s="119">
        <v>0</v>
      </c>
      <c r="I47" s="119">
        <v>0</v>
      </c>
      <c r="J47" s="119">
        <v>0</v>
      </c>
      <c r="K47" s="119">
        <v>0</v>
      </c>
      <c r="L47" s="119">
        <f>'[2]Balance Sheets'!$C$45</f>
        <v>0</v>
      </c>
      <c r="M47" s="119">
        <v>0</v>
      </c>
      <c r="N47" s="119">
        <f>'[4]Balance Sheets'!$C$45</f>
        <v>0</v>
      </c>
      <c r="O47" s="101">
        <f>'[5]Balance Sheets'!$C$45</f>
        <v>0</v>
      </c>
      <c r="P47" s="101">
        <f>'[6]Balance Sheets'!$C$45</f>
        <v>0</v>
      </c>
      <c r="Q47" s="101">
        <f>'[7]Balance Sheets'!$C$45</f>
        <v>0</v>
      </c>
      <c r="R47" s="101">
        <f>'[8]Balance Sheets'!$C$45</f>
        <v>0</v>
      </c>
      <c r="S47" s="101">
        <f>'[9]Balance Sheets'!$C$45</f>
        <v>0</v>
      </c>
      <c r="T47" s="101">
        <f>'[10]Balance Sheets'!$C$45</f>
        <v>0</v>
      </c>
    </row>
    <row r="48" spans="1:20" x14ac:dyDescent="0.25">
      <c r="A48" s="19"/>
      <c r="D48" s="147"/>
    </row>
    <row r="49" spans="1:215" ht="13" x14ac:dyDescent="0.3">
      <c r="A49" s="21" t="s">
        <v>108</v>
      </c>
      <c r="B49" s="8" t="s">
        <v>21</v>
      </c>
      <c r="D49" s="147"/>
    </row>
    <row r="50" spans="1:215" ht="13" x14ac:dyDescent="0.3">
      <c r="A50" s="100"/>
      <c r="B50" s="8"/>
      <c r="D50" s="147"/>
    </row>
    <row r="51" spans="1:215" x14ac:dyDescent="0.25">
      <c r="A51" s="20" t="s">
        <v>75</v>
      </c>
      <c r="B51" s="38" t="s">
        <v>21</v>
      </c>
      <c r="C51" s="119">
        <v>36</v>
      </c>
      <c r="D51" s="147">
        <v>36</v>
      </c>
      <c r="E51" s="147">
        <v>37</v>
      </c>
      <c r="F51" s="147">
        <v>37</v>
      </c>
      <c r="G51" s="147">
        <v>38</v>
      </c>
      <c r="H51" s="147">
        <v>38</v>
      </c>
      <c r="I51" s="147">
        <v>38</v>
      </c>
      <c r="J51" s="147">
        <v>38</v>
      </c>
      <c r="K51" s="147">
        <v>38</v>
      </c>
      <c r="L51" s="147">
        <f>'[2]Balance Sheets'!C47</f>
        <v>38</v>
      </c>
      <c r="M51" s="147">
        <v>38</v>
      </c>
      <c r="N51" s="147">
        <f>'[4]Balance Sheets'!C47</f>
        <v>39</v>
      </c>
      <c r="O51" s="324">
        <f>'[5]Balance Sheets'!C47</f>
        <v>39</v>
      </c>
      <c r="P51" s="324">
        <f>'[6]Balance Sheets'!$C$47</f>
        <v>39</v>
      </c>
      <c r="Q51" s="324">
        <f>'[7]Balance Sheets'!C47</f>
        <v>39</v>
      </c>
      <c r="R51" s="324">
        <f>'[8]Balance Sheets'!C47</f>
        <v>39</v>
      </c>
      <c r="S51" s="324">
        <f>'[9]Balance Sheets'!C47</f>
        <v>39</v>
      </c>
      <c r="T51" s="324">
        <f>'[10]Balance Sheets'!C47</f>
        <v>39</v>
      </c>
    </row>
    <row r="52" spans="1:215" x14ac:dyDescent="0.25">
      <c r="A52" s="20" t="s">
        <v>30</v>
      </c>
      <c r="B52" s="2" t="s">
        <v>21</v>
      </c>
      <c r="C52" s="124">
        <v>296792</v>
      </c>
      <c r="D52" s="147">
        <v>303486</v>
      </c>
      <c r="E52" s="147">
        <v>311691</v>
      </c>
      <c r="F52" s="147">
        <v>322246</v>
      </c>
      <c r="G52" s="147">
        <v>327750</v>
      </c>
      <c r="H52" s="147">
        <v>334643</v>
      </c>
      <c r="I52" s="147">
        <v>344720</v>
      </c>
      <c r="J52" s="147">
        <v>364179</v>
      </c>
      <c r="K52" s="147">
        <v>371144</v>
      </c>
      <c r="L52" s="147">
        <f>'[2]Balance Sheets'!C48</f>
        <v>378633</v>
      </c>
      <c r="M52" s="147">
        <v>386060</v>
      </c>
      <c r="N52" s="147">
        <f>'[4]Balance Sheets'!C48</f>
        <v>391240</v>
      </c>
      <c r="O52" s="324">
        <f>'[5]Balance Sheets'!C48</f>
        <v>396939</v>
      </c>
      <c r="P52" s="324">
        <f>'[6]Balance Sheets'!$C$48</f>
        <v>404704</v>
      </c>
      <c r="Q52" s="324">
        <f>'[7]Balance Sheets'!C48</f>
        <v>413135</v>
      </c>
      <c r="R52" s="324">
        <f>'[8]Balance Sheets'!C48</f>
        <v>420976</v>
      </c>
      <c r="S52" s="324">
        <f>'[9]Balance Sheets'!C48</f>
        <v>428882</v>
      </c>
      <c r="T52" s="324">
        <f>'[10]Balance Sheets'!C48</f>
        <v>439051</v>
      </c>
    </row>
    <row r="53" spans="1:215" x14ac:dyDescent="0.25">
      <c r="A53" s="69" t="s">
        <v>33</v>
      </c>
      <c r="B53" s="71" t="s">
        <v>21</v>
      </c>
      <c r="C53" s="124">
        <v>394964</v>
      </c>
      <c r="D53" s="147">
        <v>415342</v>
      </c>
      <c r="E53" s="147">
        <v>436419</v>
      </c>
      <c r="F53" s="147">
        <v>427064</v>
      </c>
      <c r="G53" s="147">
        <v>450676</v>
      </c>
      <c r="H53" s="147">
        <v>465138</v>
      </c>
      <c r="I53" s="147">
        <v>480387</v>
      </c>
      <c r="J53" s="147">
        <v>484244</v>
      </c>
      <c r="K53" s="147">
        <v>498939</v>
      </c>
      <c r="L53" s="147">
        <f>'[2]Balance Sheets'!C49</f>
        <v>511503</v>
      </c>
      <c r="M53" s="147">
        <v>530547</v>
      </c>
      <c r="N53" s="147">
        <f>'[4]Balance Sheets'!C49</f>
        <v>551903</v>
      </c>
      <c r="O53" s="324">
        <f>'[5]Balance Sheets'!C49</f>
        <v>574314</v>
      </c>
      <c r="P53" s="324">
        <f>'[6]Balance Sheets'!$C$49</f>
        <v>582743</v>
      </c>
      <c r="Q53" s="324">
        <f>'[7]Balance Sheets'!$C$49</f>
        <v>609161</v>
      </c>
      <c r="R53" s="324">
        <f>'[8]Balance Sheets'!$C$49</f>
        <v>641379</v>
      </c>
      <c r="S53" s="324">
        <f>'[9]Balance Sheets'!C49</f>
        <v>673310</v>
      </c>
      <c r="T53" s="324">
        <f>'[10]Balance Sheets'!C49</f>
        <v>701331</v>
      </c>
    </row>
    <row r="54" spans="1:215" x14ac:dyDescent="0.25">
      <c r="A54" s="69" t="s">
        <v>130</v>
      </c>
      <c r="B54" s="71" t="s">
        <v>21</v>
      </c>
      <c r="C54" s="124">
        <v>-57013</v>
      </c>
      <c r="D54" s="147">
        <v>-55451</v>
      </c>
      <c r="E54" s="147">
        <v>-59290</v>
      </c>
      <c r="F54" s="147">
        <v>-45710</v>
      </c>
      <c r="G54" s="147">
        <v>-59670</v>
      </c>
      <c r="H54" s="147">
        <v>-87621</v>
      </c>
      <c r="I54" s="147">
        <v>-114330</v>
      </c>
      <c r="J54" s="147">
        <v>-83467</v>
      </c>
      <c r="K54" s="147">
        <v>-77212</v>
      </c>
      <c r="L54" s="147">
        <f>'[2]Balance Sheets'!C50</f>
        <v>-74358</v>
      </c>
      <c r="M54" s="147">
        <v>-86153</v>
      </c>
      <c r="N54" s="147">
        <f>'[4]Balance Sheets'!C50</f>
        <v>-84892</v>
      </c>
      <c r="O54" s="324">
        <f>'[5]Balance Sheets'!C50</f>
        <v>-113104</v>
      </c>
      <c r="P54" s="324">
        <f>'[6]Balance Sheets'!$C$50</f>
        <v>-104274</v>
      </c>
      <c r="Q54" s="324">
        <f>'[7]Balance Sheets'!$C$50</f>
        <v>-85217</v>
      </c>
      <c r="R54" s="324">
        <f>'[8]Balance Sheets'!$C$50</f>
        <v>-74984</v>
      </c>
      <c r="S54" s="324">
        <f>'[9]Balance Sheets'!C50</f>
        <v>-78753</v>
      </c>
      <c r="T54" s="324">
        <f>'[10]Balance Sheets'!C50</f>
        <v>-86745</v>
      </c>
    </row>
    <row r="55" spans="1:215" x14ac:dyDescent="0.25">
      <c r="A55" s="20" t="s">
        <v>190</v>
      </c>
      <c r="B55" s="2" t="s">
        <v>21</v>
      </c>
      <c r="C55" s="124">
        <v>-72275</v>
      </c>
      <c r="D55" s="147">
        <v>-83694</v>
      </c>
      <c r="E55" s="147">
        <v>-92698</v>
      </c>
      <c r="F55" s="147">
        <v>-103816</v>
      </c>
      <c r="G55" s="147">
        <v>-117320</v>
      </c>
      <c r="H55" s="147">
        <v>-126952</v>
      </c>
      <c r="I55" s="147">
        <v>-136609</v>
      </c>
      <c r="J55" s="147">
        <v>-146925</v>
      </c>
      <c r="K55" s="147">
        <v>-162333</v>
      </c>
      <c r="L55" s="147">
        <f>'[2]Balance Sheets'!$C$52</f>
        <v>-174463</v>
      </c>
      <c r="M55" s="147">
        <v>-182809</v>
      </c>
      <c r="N55" s="147">
        <f>'[4]Balance Sheets'!$C$52</f>
        <v>-188289</v>
      </c>
      <c r="O55" s="324">
        <f>'[5]Balance Sheets'!$C$52</f>
        <v>-202284</v>
      </c>
      <c r="P55" s="324">
        <f>'[6]Balance Sheets'!$C$52</f>
        <v>-202284</v>
      </c>
      <c r="Q55" s="324">
        <f>'[7]Balance Sheets'!$C$52</f>
        <v>-227190</v>
      </c>
      <c r="R55" s="324">
        <f>'[8]Balance Sheets'!$C$52</f>
        <v>-268238</v>
      </c>
      <c r="S55" s="324">
        <f>'[9]Balance Sheets'!$C$52</f>
        <v>-297253</v>
      </c>
      <c r="T55" s="324">
        <f>'[10]Balance Sheets'!$C$52</f>
        <v>-325662</v>
      </c>
    </row>
    <row r="56" spans="1:215" ht="13" x14ac:dyDescent="0.3">
      <c r="A56" s="121" t="s">
        <v>121</v>
      </c>
      <c r="B56" s="44" t="s">
        <v>21</v>
      </c>
      <c r="C56" s="120">
        <f t="shared" ref="C56:Q56" si="11">SUM(C47:C55)</f>
        <v>562504</v>
      </c>
      <c r="D56" s="120">
        <f t="shared" si="11"/>
        <v>579719</v>
      </c>
      <c r="E56" s="120">
        <f t="shared" si="11"/>
        <v>596159</v>
      </c>
      <c r="F56" s="120">
        <f t="shared" si="11"/>
        <v>599821</v>
      </c>
      <c r="G56" s="120">
        <f t="shared" si="11"/>
        <v>601474</v>
      </c>
      <c r="H56" s="120">
        <f t="shared" si="11"/>
        <v>585246</v>
      </c>
      <c r="I56" s="120">
        <f t="shared" si="11"/>
        <v>574206</v>
      </c>
      <c r="J56" s="120">
        <f t="shared" si="11"/>
        <v>618069</v>
      </c>
      <c r="K56" s="120">
        <f t="shared" si="11"/>
        <v>630576</v>
      </c>
      <c r="L56" s="120">
        <f t="shared" si="11"/>
        <v>641353</v>
      </c>
      <c r="M56" s="120">
        <f t="shared" si="11"/>
        <v>647683</v>
      </c>
      <c r="N56" s="120">
        <f t="shared" si="11"/>
        <v>670001</v>
      </c>
      <c r="O56" s="120">
        <f t="shared" si="11"/>
        <v>655904</v>
      </c>
      <c r="P56" s="120">
        <f t="shared" si="11"/>
        <v>680928</v>
      </c>
      <c r="Q56" s="120">
        <f t="shared" si="11"/>
        <v>709928</v>
      </c>
      <c r="R56" s="120">
        <f>ROUND(SUM(R47:R55),0)</f>
        <v>719172</v>
      </c>
      <c r="S56" s="120">
        <f t="shared" ref="S56:T56" si="12">SUM(S47:S55)</f>
        <v>726225</v>
      </c>
      <c r="T56" s="120">
        <f t="shared" si="12"/>
        <v>728014</v>
      </c>
    </row>
    <row r="57" spans="1:215" ht="13" x14ac:dyDescent="0.3">
      <c r="A57" s="123" t="s">
        <v>137</v>
      </c>
      <c r="B57" s="1"/>
      <c r="C57" s="2">
        <v>205</v>
      </c>
      <c r="D57" s="147">
        <v>203</v>
      </c>
      <c r="E57" s="2">
        <v>207</v>
      </c>
      <c r="F57" s="2">
        <v>224</v>
      </c>
      <c r="G57" s="2">
        <v>231</v>
      </c>
      <c r="H57" s="2">
        <v>233</v>
      </c>
      <c r="I57" s="147">
        <v>242</v>
      </c>
      <c r="J57" s="147">
        <v>250</v>
      </c>
      <c r="K57" s="147">
        <v>259</v>
      </c>
      <c r="L57" s="147">
        <f>'[2]Balance Sheets'!$C$54</f>
        <v>0</v>
      </c>
      <c r="M57" s="147">
        <v>0</v>
      </c>
      <c r="N57" s="147">
        <f>'[4]Balance Sheets'!$C$54</f>
        <v>0</v>
      </c>
      <c r="O57" s="328">
        <f>'[5]Balance Sheets'!$C$54</f>
        <v>0</v>
      </c>
      <c r="P57" s="328">
        <v>0</v>
      </c>
      <c r="Q57" s="328">
        <v>0</v>
      </c>
      <c r="R57" s="328">
        <v>0</v>
      </c>
      <c r="S57" s="328">
        <f>'[5]Balance Sheets'!$C$54</f>
        <v>0</v>
      </c>
      <c r="T57" s="328">
        <f>'[10]Balance Sheets'!$C$54</f>
        <v>0</v>
      </c>
    </row>
    <row r="58" spans="1:215" ht="13" x14ac:dyDescent="0.3">
      <c r="A58" s="121" t="s">
        <v>122</v>
      </c>
      <c r="B58" s="44" t="s">
        <v>21</v>
      </c>
      <c r="C58" s="120">
        <f t="shared" ref="C58:R58" si="13">SUM(C56:C57)</f>
        <v>562709</v>
      </c>
      <c r="D58" s="120">
        <f t="shared" si="13"/>
        <v>579922</v>
      </c>
      <c r="E58" s="120">
        <f t="shared" si="13"/>
        <v>596366</v>
      </c>
      <c r="F58" s="120">
        <f t="shared" si="13"/>
        <v>600045</v>
      </c>
      <c r="G58" s="120">
        <f t="shared" si="13"/>
        <v>601705</v>
      </c>
      <c r="H58" s="120">
        <f t="shared" si="13"/>
        <v>585479</v>
      </c>
      <c r="I58" s="120">
        <f t="shared" si="13"/>
        <v>574448</v>
      </c>
      <c r="J58" s="120">
        <f t="shared" si="13"/>
        <v>618319</v>
      </c>
      <c r="K58" s="120">
        <f t="shared" si="13"/>
        <v>630835</v>
      </c>
      <c r="L58" s="120">
        <f t="shared" si="13"/>
        <v>641353</v>
      </c>
      <c r="M58" s="120">
        <f t="shared" si="13"/>
        <v>647683</v>
      </c>
      <c r="N58" s="120">
        <f t="shared" si="13"/>
        <v>670001</v>
      </c>
      <c r="O58" s="120">
        <f t="shared" si="13"/>
        <v>655904</v>
      </c>
      <c r="P58" s="120">
        <f t="shared" si="13"/>
        <v>680928</v>
      </c>
      <c r="Q58" s="120">
        <f t="shared" si="13"/>
        <v>709928</v>
      </c>
      <c r="R58" s="120">
        <f t="shared" si="13"/>
        <v>719172</v>
      </c>
      <c r="S58" s="120">
        <f t="shared" ref="S58:T58" si="14">SUM(S56:S57)</f>
        <v>726225</v>
      </c>
      <c r="T58" s="120">
        <f t="shared" si="14"/>
        <v>728014</v>
      </c>
    </row>
    <row r="59" spans="1:215" x14ac:dyDescent="0.25">
      <c r="A59" s="22" t="s">
        <v>21</v>
      </c>
      <c r="B59" s="2" t="s">
        <v>21</v>
      </c>
      <c r="D59" s="147"/>
    </row>
    <row r="60" spans="1:215" s="49" customFormat="1" ht="13" x14ac:dyDescent="0.3">
      <c r="A60" s="47" t="s">
        <v>109</v>
      </c>
      <c r="B60" s="48" t="s">
        <v>21</v>
      </c>
      <c r="C60" s="118">
        <f>C58+C45</f>
        <v>726693</v>
      </c>
      <c r="D60" s="118">
        <f>D58+D45</f>
        <v>747431</v>
      </c>
      <c r="E60" s="118">
        <f t="shared" ref="E60:J60" si="15">E58+E45</f>
        <v>769004</v>
      </c>
      <c r="F60" s="118">
        <f t="shared" si="15"/>
        <v>825470</v>
      </c>
      <c r="G60" s="118">
        <f t="shared" si="15"/>
        <v>798270</v>
      </c>
      <c r="H60" s="118">
        <f t="shared" si="15"/>
        <v>790263</v>
      </c>
      <c r="I60" s="118">
        <f t="shared" si="15"/>
        <v>1045137</v>
      </c>
      <c r="J60" s="118">
        <f t="shared" si="15"/>
        <v>1061936</v>
      </c>
      <c r="K60" s="118">
        <f t="shared" ref="K60:Q60" si="16">K58+K45</f>
        <v>1182582</v>
      </c>
      <c r="L60" s="118">
        <f t="shared" si="16"/>
        <v>1137467</v>
      </c>
      <c r="M60" s="118">
        <f t="shared" si="16"/>
        <v>1145978</v>
      </c>
      <c r="N60" s="118">
        <f t="shared" si="16"/>
        <v>1183088</v>
      </c>
      <c r="O60" s="118">
        <f t="shared" si="16"/>
        <v>1267259</v>
      </c>
      <c r="P60" s="118">
        <f t="shared" si="16"/>
        <v>1193613</v>
      </c>
      <c r="Q60" s="118">
        <f t="shared" si="16"/>
        <v>1219481</v>
      </c>
      <c r="R60" s="118">
        <f>ROUND(R58+R45,0)</f>
        <v>1247857</v>
      </c>
      <c r="S60" s="118">
        <f t="shared" ref="S60:T60" si="17">S58+S45</f>
        <v>1226366</v>
      </c>
      <c r="T60" s="118">
        <f t="shared" si="17"/>
        <v>1169346</v>
      </c>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row>
    <row r="61" spans="1:215" hidden="1" x14ac:dyDescent="0.25"/>
    <row r="62" spans="1:215" hidden="1" x14ac:dyDescent="0.25"/>
    <row r="63" spans="1:215" hidden="1" x14ac:dyDescent="0.25"/>
    <row r="64" spans="1:215" hidden="1" x14ac:dyDescent="0.25"/>
    <row r="65" spans="1:20" x14ac:dyDescent="0.25">
      <c r="C65" s="101"/>
    </row>
    <row r="66" spans="1:20" x14ac:dyDescent="0.25">
      <c r="C66" s="202">
        <f t="shared" ref="C66:L66" si="18">C25-C60</f>
        <v>0</v>
      </c>
      <c r="D66" s="202">
        <f t="shared" si="18"/>
        <v>0</v>
      </c>
      <c r="E66" s="202">
        <f t="shared" si="18"/>
        <v>0</v>
      </c>
      <c r="F66" s="202">
        <f t="shared" si="18"/>
        <v>0</v>
      </c>
      <c r="G66" s="202">
        <f t="shared" si="18"/>
        <v>0</v>
      </c>
      <c r="H66" s="202">
        <f t="shared" si="18"/>
        <v>0</v>
      </c>
      <c r="I66" s="147">
        <f t="shared" si="18"/>
        <v>0</v>
      </c>
      <c r="J66" s="147">
        <f t="shared" si="18"/>
        <v>0</v>
      </c>
      <c r="K66" s="147">
        <f t="shared" si="18"/>
        <v>0</v>
      </c>
      <c r="L66" s="147">
        <f t="shared" si="18"/>
        <v>0</v>
      </c>
      <c r="M66" s="147">
        <f t="shared" ref="M66:Q66" si="19">M25-M60</f>
        <v>0</v>
      </c>
      <c r="N66" s="147">
        <f t="shared" si="19"/>
        <v>0</v>
      </c>
      <c r="O66" s="147">
        <f t="shared" si="19"/>
        <v>0</v>
      </c>
      <c r="P66" s="147">
        <f>P25-P60</f>
        <v>0</v>
      </c>
      <c r="Q66" s="147">
        <f t="shared" si="19"/>
        <v>0</v>
      </c>
      <c r="R66" s="147">
        <f>R25-R60</f>
        <v>0</v>
      </c>
      <c r="S66" s="147">
        <f t="shared" ref="S66" si="20">S25-S60</f>
        <v>0</v>
      </c>
      <c r="T66" s="147">
        <v>0</v>
      </c>
    </row>
    <row r="68" spans="1:20" x14ac:dyDescent="0.25">
      <c r="A68" s="2"/>
    </row>
    <row r="69" spans="1:20" x14ac:dyDescent="0.25">
      <c r="A69" s="2"/>
    </row>
    <row r="70" spans="1:20" x14ac:dyDescent="0.25">
      <c r="A70" s="2"/>
    </row>
    <row r="71" spans="1:20" x14ac:dyDescent="0.25">
      <c r="A71" s="2"/>
    </row>
  </sheetData>
  <phoneticPr fontId="17" type="noConversion"/>
  <pageMargins left="0.7" right="0.7" top="0.33" bottom="0.38" header="0.3" footer="0.3"/>
  <pageSetup paperSize="5"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X100"/>
  <sheetViews>
    <sheetView showGridLines="0" view="pageBreakPreview" zoomScale="80" zoomScaleNormal="90" zoomScaleSheetLayoutView="80" workbookViewId="0">
      <pane xSplit="1" ySplit="5" topLeftCell="L80" activePane="bottomRight" state="frozen"/>
      <selection activeCell="I106" sqref="I106"/>
      <selection pane="topRight" activeCell="I106" sqref="I106"/>
      <selection pane="bottomLeft" activeCell="I106" sqref="I106"/>
      <selection pane="bottomRight" activeCell="A90" sqref="A90"/>
    </sheetView>
  </sheetViews>
  <sheetFormatPr defaultColWidth="9.1796875" defaultRowHeight="12.5" outlineLevelCol="1" x14ac:dyDescent="0.25"/>
  <cols>
    <col min="1" max="1" width="42.54296875" style="2" customWidth="1"/>
    <col min="2" max="2" width="13.453125" style="94" hidden="1" customWidth="1" outlineLevel="1"/>
    <col min="3" max="5" width="10.7265625" style="56" hidden="1" customWidth="1" outlineLevel="1"/>
    <col min="6" max="6" width="13" style="189" customWidth="1" collapsed="1"/>
    <col min="7" max="10" width="13" style="189" customWidth="1" outlineLevel="1"/>
    <col min="11" max="11" width="10.7265625" style="94" customWidth="1"/>
    <col min="12" max="12" width="10.7265625" style="94" customWidth="1" outlineLevel="1"/>
    <col min="13" max="15" width="11.453125" style="94" customWidth="1" outlineLevel="1"/>
    <col min="16" max="16" width="11" style="94" customWidth="1"/>
    <col min="17" max="17" width="11" style="99" hidden="1" customWidth="1"/>
    <col min="18" max="21" width="11" style="99" customWidth="1" outlineLevel="1"/>
    <col min="22" max="24" width="11" style="99" customWidth="1"/>
    <col min="25" max="26" width="9.1796875" style="56"/>
    <col min="27" max="27" width="11.6328125" style="56" bestFit="1" customWidth="1"/>
    <col min="28" max="34" width="9.1796875" style="56"/>
    <col min="35" max="16384" width="9.1796875" style="2"/>
  </cols>
  <sheetData>
    <row r="1" spans="1:63" ht="13" x14ac:dyDescent="0.3">
      <c r="A1" s="11"/>
    </row>
    <row r="2" spans="1:63" x14ac:dyDescent="0.25">
      <c r="A2" s="12"/>
    </row>
    <row r="3" spans="1:63" ht="28.5" customHeight="1" x14ac:dyDescent="0.25">
      <c r="B3" s="382"/>
      <c r="G3" s="383"/>
    </row>
    <row r="4" spans="1:63" ht="13" x14ac:dyDescent="0.3">
      <c r="A4" s="9" t="s">
        <v>46</v>
      </c>
      <c r="B4" s="210" t="s">
        <v>175</v>
      </c>
      <c r="C4" s="210" t="s">
        <v>175</v>
      </c>
      <c r="D4" s="210" t="s">
        <v>175</v>
      </c>
      <c r="E4" s="210" t="s">
        <v>175</v>
      </c>
      <c r="F4" s="210" t="s">
        <v>175</v>
      </c>
      <c r="G4" s="3">
        <v>2018</v>
      </c>
      <c r="H4" s="3">
        <v>2018</v>
      </c>
      <c r="I4" s="3">
        <v>2018</v>
      </c>
      <c r="J4" s="3">
        <v>2018</v>
      </c>
      <c r="K4" s="158">
        <v>2018</v>
      </c>
      <c r="L4" s="158">
        <v>2019</v>
      </c>
      <c r="M4" s="158">
        <v>2019</v>
      </c>
      <c r="N4" s="158">
        <v>2019</v>
      </c>
      <c r="O4" s="158">
        <v>2019</v>
      </c>
      <c r="P4" s="158">
        <v>2019</v>
      </c>
      <c r="R4" s="330">
        <v>2020</v>
      </c>
      <c r="S4" s="330">
        <v>2020</v>
      </c>
      <c r="T4" s="330">
        <v>2020</v>
      </c>
      <c r="U4" s="330">
        <v>2020</v>
      </c>
      <c r="V4" s="330">
        <v>2020</v>
      </c>
      <c r="W4" s="330">
        <v>2021</v>
      </c>
      <c r="X4" s="330">
        <v>2021</v>
      </c>
    </row>
    <row r="5" spans="1:63" ht="15" x14ac:dyDescent="0.3">
      <c r="A5" s="25" t="s">
        <v>66</v>
      </c>
      <c r="B5" s="266" t="s">
        <v>196</v>
      </c>
      <c r="C5" s="266" t="s">
        <v>195</v>
      </c>
      <c r="D5" s="266" t="s">
        <v>197</v>
      </c>
      <c r="E5" s="266" t="s">
        <v>198</v>
      </c>
      <c r="F5" s="266" t="s">
        <v>199</v>
      </c>
      <c r="G5" s="6" t="s">
        <v>160</v>
      </c>
      <c r="H5" s="6" t="s">
        <v>162</v>
      </c>
      <c r="I5" s="6" t="s">
        <v>164</v>
      </c>
      <c r="J5" s="6" t="s">
        <v>167</v>
      </c>
      <c r="K5" s="286" t="s">
        <v>13</v>
      </c>
      <c r="L5" s="6" t="s">
        <v>160</v>
      </c>
      <c r="M5" s="6" t="s">
        <v>162</v>
      </c>
      <c r="N5" s="286" t="s">
        <v>164</v>
      </c>
      <c r="O5" s="286" t="s">
        <v>167</v>
      </c>
      <c r="P5" s="286" t="s">
        <v>13</v>
      </c>
      <c r="R5" s="82" t="s">
        <v>160</v>
      </c>
      <c r="S5" s="82" t="s">
        <v>162</v>
      </c>
      <c r="T5" s="82" t="s">
        <v>164</v>
      </c>
      <c r="U5" s="82" t="s">
        <v>167</v>
      </c>
      <c r="V5" s="82" t="s">
        <v>13</v>
      </c>
      <c r="W5" s="82" t="s">
        <v>160</v>
      </c>
      <c r="X5" s="82" t="s">
        <v>162</v>
      </c>
    </row>
    <row r="6" spans="1:63" s="8" customFormat="1" ht="13" x14ac:dyDescent="0.3">
      <c r="B6" s="267"/>
      <c r="C6" s="267"/>
      <c r="D6" s="267"/>
      <c r="E6" s="267"/>
      <c r="F6" s="267"/>
      <c r="G6" s="159"/>
      <c r="H6" s="159"/>
      <c r="I6" s="159"/>
      <c r="J6" s="159"/>
      <c r="K6" s="154"/>
      <c r="L6" s="154"/>
      <c r="M6" s="154"/>
      <c r="N6" s="154"/>
      <c r="O6" s="154"/>
      <c r="P6" s="154"/>
      <c r="R6" s="331"/>
      <c r="S6" s="331"/>
      <c r="T6" s="331"/>
      <c r="U6" s="331"/>
      <c r="V6" s="331"/>
      <c r="W6" s="331"/>
      <c r="X6" s="331"/>
      <c r="Y6" s="1"/>
      <c r="Z6" s="1"/>
      <c r="AA6" s="1"/>
      <c r="AB6" s="1"/>
      <c r="AC6" s="1"/>
      <c r="AD6" s="1"/>
      <c r="AE6" s="1"/>
      <c r="AF6" s="1"/>
      <c r="AG6" s="1"/>
      <c r="AH6" s="1"/>
    </row>
    <row r="7" spans="1:63" ht="13" x14ac:dyDescent="0.3">
      <c r="A7" s="13" t="s">
        <v>110</v>
      </c>
      <c r="B7" s="268"/>
      <c r="C7" s="268"/>
      <c r="D7" s="268"/>
      <c r="E7" s="268"/>
      <c r="F7" s="268"/>
    </row>
    <row r="8" spans="1:63" ht="13" x14ac:dyDescent="0.3">
      <c r="A8" s="14" t="s">
        <v>34</v>
      </c>
      <c r="B8" s="269">
        <v>16788</v>
      </c>
      <c r="C8" s="269">
        <v>20378.064520000004</v>
      </c>
      <c r="D8" s="269">
        <v>21076.999999999996</v>
      </c>
      <c r="E8" s="269">
        <v>-9355.0645199999999</v>
      </c>
      <c r="F8" s="269">
        <v>48888</v>
      </c>
      <c r="G8" s="190">
        <v>23158</v>
      </c>
      <c r="H8" s="190">
        <v>14462</v>
      </c>
      <c r="I8" s="190">
        <v>15249</v>
      </c>
      <c r="J8" s="190">
        <f>+K8-SUM(G8:I8)</f>
        <v>3857</v>
      </c>
      <c r="K8" s="288">
        <v>56726</v>
      </c>
      <c r="L8" s="288">
        <v>14695</v>
      </c>
      <c r="M8" s="332">
        <f>ROUND('[2]Statements of Cash Flow'!$C$7,0)-L8</f>
        <v>12564</v>
      </c>
      <c r="N8" s="288">
        <v>19044</v>
      </c>
      <c r="O8" s="190">
        <f>+P8-SUM(L8:N8)</f>
        <v>21356</v>
      </c>
      <c r="P8" s="288">
        <f>'[4]Statements of Cash Flow'!$C$7</f>
        <v>67659</v>
      </c>
      <c r="Q8" s="323">
        <f>SUM(L8:O8)-P8</f>
        <v>0</v>
      </c>
      <c r="R8" s="332">
        <f>'[5]Statements of Cash Flow'!$C$7</f>
        <v>22411</v>
      </c>
      <c r="S8" s="332">
        <f>'[6]Statements of Cash Flow'!$C$7-R8</f>
        <v>8429</v>
      </c>
      <c r="T8" s="332">
        <f>ROUND('[7]Statements of Cash Flow'!$C$7,0)-SUM(R8:S8)</f>
        <v>26418</v>
      </c>
      <c r="U8" s="332">
        <f>+V8-SUM(R8:T8)</f>
        <v>32218</v>
      </c>
      <c r="V8" s="332">
        <f>ROUND('[8]Statements of Cash Flow'!$C$7,0)</f>
        <v>89476</v>
      </c>
      <c r="W8" s="332">
        <f>'[9]Statements of Cash Flow'!$C$7</f>
        <v>31931</v>
      </c>
      <c r="X8" s="332">
        <f>'[10]Statements of Cash Flow'!$C$7-W8</f>
        <v>28021</v>
      </c>
      <c r="Y8" s="103"/>
    </row>
    <row r="9" spans="1:63" x14ac:dyDescent="0.25">
      <c r="A9" s="15" t="s">
        <v>52</v>
      </c>
      <c r="B9" s="270"/>
      <c r="C9" s="270"/>
      <c r="D9" s="270"/>
      <c r="E9" s="270"/>
      <c r="F9" s="270"/>
      <c r="K9" s="285"/>
      <c r="L9" s="285"/>
      <c r="M9" s="333"/>
      <c r="N9" s="285"/>
      <c r="O9" s="285"/>
      <c r="P9" s="285"/>
      <c r="Q9" s="56"/>
      <c r="R9" s="333"/>
      <c r="S9" s="333"/>
      <c r="T9" s="333"/>
      <c r="U9" s="333"/>
      <c r="V9" s="333"/>
      <c r="W9" s="333"/>
      <c r="X9" s="333"/>
    </row>
    <row r="10" spans="1:63" x14ac:dyDescent="0.25">
      <c r="A10" s="36" t="s">
        <v>53</v>
      </c>
      <c r="B10" s="270"/>
      <c r="C10" s="270"/>
      <c r="D10" s="270"/>
      <c r="E10" s="270"/>
      <c r="F10" s="270"/>
      <c r="K10" s="285"/>
      <c r="L10" s="285"/>
      <c r="M10" s="333"/>
      <c r="N10" s="285"/>
      <c r="O10" s="285"/>
      <c r="P10" s="285"/>
      <c r="Q10" s="56"/>
      <c r="R10" s="333"/>
      <c r="S10" s="333"/>
      <c r="T10" s="333"/>
      <c r="U10" s="333"/>
      <c r="V10" s="333"/>
      <c r="W10" s="333"/>
      <c r="X10" s="333"/>
    </row>
    <row r="11" spans="1:63" x14ac:dyDescent="0.25">
      <c r="A11" s="45" t="s">
        <v>5</v>
      </c>
      <c r="B11" s="271">
        <v>9426</v>
      </c>
      <c r="C11" s="271">
        <v>9637</v>
      </c>
      <c r="D11" s="271">
        <v>9708</v>
      </c>
      <c r="E11" s="271">
        <v>10213</v>
      </c>
      <c r="F11" s="271">
        <v>38984</v>
      </c>
      <c r="G11" s="248">
        <v>10655</v>
      </c>
      <c r="H11" s="248">
        <v>10625</v>
      </c>
      <c r="I11" s="248">
        <v>14065</v>
      </c>
      <c r="J11" s="248">
        <f t="shared" ref="J11:J27" si="0">+K11-SUM(G11:I11)</f>
        <v>13374</v>
      </c>
      <c r="K11" s="287">
        <v>48719</v>
      </c>
      <c r="L11" s="287">
        <v>13724</v>
      </c>
      <c r="M11" s="322">
        <f>'[2]Statements of Cash Flow'!$C$9-L11</f>
        <v>12808</v>
      </c>
      <c r="N11" s="287">
        <v>13101</v>
      </c>
      <c r="O11" s="287">
        <f t="shared" ref="O11:O25" si="1">+P11-SUM(L11:N11)</f>
        <v>12560</v>
      </c>
      <c r="P11" s="287">
        <f>'[4]Statements of Cash Flow'!$C$9</f>
        <v>52193</v>
      </c>
      <c r="Q11" s="323">
        <f t="shared" ref="Q11:Q28" si="2">SUM(L11:O11)-P11</f>
        <v>0</v>
      </c>
      <c r="R11" s="322">
        <f>'[5]Statements of Cash Flow'!$C$9</f>
        <v>12472</v>
      </c>
      <c r="S11" s="322">
        <f>'[6]Statements of Cash Flow'!$C$9-R11</f>
        <v>12334</v>
      </c>
      <c r="T11" s="322">
        <f>ROUND('[7]Statements of Cash Flow'!$C$9,0)-SUM(R11:S11)</f>
        <v>12443</v>
      </c>
      <c r="U11" s="322">
        <f t="shared" ref="U11:U28" si="3">+V11-SUM(R11:T11)</f>
        <v>13264</v>
      </c>
      <c r="V11" s="322">
        <f>ROUND('[8]Statements of Cash Flow'!$C$9,0)</f>
        <v>50513</v>
      </c>
      <c r="W11" s="322">
        <f>'[9]Statements of Cash Flow'!$C$9</f>
        <v>12266</v>
      </c>
      <c r="X11" s="322">
        <f>'[10]Statements of Cash Flow'!$C$9-W11</f>
        <v>12468</v>
      </c>
    </row>
    <row r="12" spans="1:63" s="24" customFormat="1" hidden="1" x14ac:dyDescent="0.25">
      <c r="A12" s="381" t="s">
        <v>35</v>
      </c>
      <c r="B12" s="270"/>
      <c r="C12" s="270"/>
      <c r="D12" s="270"/>
      <c r="E12" s="270"/>
      <c r="F12" s="270"/>
      <c r="G12" s="105"/>
      <c r="H12" s="282"/>
      <c r="I12" s="282"/>
      <c r="J12" s="282"/>
      <c r="K12" s="28"/>
      <c r="L12" s="28"/>
      <c r="M12" s="30"/>
      <c r="N12" s="28"/>
      <c r="O12" s="28"/>
      <c r="P12" s="30"/>
      <c r="Q12" s="323">
        <f t="shared" si="2"/>
        <v>0</v>
      </c>
      <c r="R12" s="30">
        <f>ROUND('[27]Cash Flow_SEC Format'!$H$8/1000,0)*0</f>
        <v>0</v>
      </c>
      <c r="S12" s="30">
        <f>0*ROUND('[28]Cash Flow_SEC Format'!$G$8/1000,0)-R12</f>
        <v>0</v>
      </c>
      <c r="T12" s="30">
        <f>0*ROUND('[29]Cash Flow_SEC Format'!$G$8/1000,0)-SUM(R12:S12)</f>
        <v>0</v>
      </c>
      <c r="U12" s="30">
        <f t="shared" si="3"/>
        <v>0</v>
      </c>
      <c r="V12" s="30">
        <f>ROUND('[30]Cash Flow_SEC Format'!$G$8/1000,0)*0</f>
        <v>0</v>
      </c>
      <c r="W12" s="30">
        <f>ROUND('[31]Cash Flow_SEC Format'!$H$8/1000,0)*0</f>
        <v>0</v>
      </c>
      <c r="X12" s="30">
        <f>0*ROUND('[32]Cash Flow_SEC Format'!$G$8/1000,0)-W12</f>
        <v>0</v>
      </c>
      <c r="Y12" s="94"/>
      <c r="Z12" s="94"/>
      <c r="AA12" s="94"/>
      <c r="AB12" s="94"/>
      <c r="AC12" s="94"/>
      <c r="AD12" s="94"/>
      <c r="AE12" s="94"/>
      <c r="AF12" s="94"/>
      <c r="AG12" s="94"/>
      <c r="AH12" s="94"/>
      <c r="AQ12" s="2"/>
      <c r="AR12" s="2"/>
      <c r="AS12" s="2"/>
      <c r="AT12" s="2"/>
      <c r="AU12" s="2"/>
      <c r="AV12" s="2"/>
      <c r="AW12" s="2"/>
      <c r="AX12" s="2"/>
      <c r="AY12" s="2"/>
      <c r="AZ12" s="2"/>
      <c r="BA12" s="2"/>
      <c r="BB12" s="2"/>
      <c r="BC12" s="2"/>
      <c r="BD12" s="2"/>
      <c r="BE12" s="2"/>
      <c r="BF12" s="2"/>
      <c r="BG12" s="2"/>
      <c r="BH12" s="2"/>
      <c r="BI12" s="2"/>
      <c r="BJ12" s="2"/>
      <c r="BK12" s="2"/>
    </row>
    <row r="13" spans="1:63" s="24" customFormat="1" x14ac:dyDescent="0.25">
      <c r="A13" s="156" t="s">
        <v>206</v>
      </c>
      <c r="B13" s="270"/>
      <c r="C13" s="270"/>
      <c r="D13" s="270"/>
      <c r="E13" s="270"/>
      <c r="F13" s="270">
        <v>0</v>
      </c>
      <c r="G13" s="282">
        <v>0</v>
      </c>
      <c r="H13" s="282">
        <v>0</v>
      </c>
      <c r="I13" s="282">
        <v>0</v>
      </c>
      <c r="J13" s="282">
        <f t="shared" si="0"/>
        <v>600.47593517868052</v>
      </c>
      <c r="K13" s="28">
        <v>600.47593517868052</v>
      </c>
      <c r="L13" s="28">
        <v>600.47593517868052</v>
      </c>
      <c r="M13" s="30">
        <f>ROUND('[33]Cash Flow_SEC Format'!$G$19/1000,0)-L13</f>
        <v>617.52406482131948</v>
      </c>
      <c r="N13" s="28">
        <v>618</v>
      </c>
      <c r="O13" s="28">
        <f t="shared" si="1"/>
        <v>636</v>
      </c>
      <c r="P13" s="30">
        <f>ROUND('[34]Cash Flow_SEC Format'!$G$19/1000,0)+1</f>
        <v>2472</v>
      </c>
      <c r="Q13" s="323">
        <f t="shared" si="2"/>
        <v>0</v>
      </c>
      <c r="R13" s="30">
        <f>ROUND('[27]Cash Flow_SEC Format'!$H$19/1000,0)</f>
        <v>635</v>
      </c>
      <c r="S13" s="30">
        <f>ROUND('[28]Cash Flow_SEC Format'!$G$19/1000,0)-R13</f>
        <v>654</v>
      </c>
      <c r="T13" s="30">
        <f>ROUND('[29]Cash Flow_SEC Format'!$G$19/1000,0)-SUM(R13:S13)</f>
        <v>654</v>
      </c>
      <c r="U13" s="30">
        <f t="shared" si="3"/>
        <v>673</v>
      </c>
      <c r="V13" s="30">
        <f>ROUND('[30]Cash Flow_SEC Format'!$G$19/1000,0)</f>
        <v>2616</v>
      </c>
      <c r="W13" s="30">
        <f>ROUND('[31]Cash Flow_SEC Format'!$H$19/1000,0)</f>
        <v>673</v>
      </c>
      <c r="X13" s="30">
        <f>ROUND('[32]Cash Flow_SEC Format'!$G$19/1000,0)-W13</f>
        <v>691</v>
      </c>
      <c r="Y13" s="94"/>
      <c r="Z13" s="94"/>
      <c r="AA13" s="94"/>
      <c r="AB13" s="94"/>
      <c r="AC13" s="94"/>
      <c r="AD13" s="94"/>
      <c r="AE13" s="94"/>
      <c r="AF13" s="94"/>
      <c r="AG13" s="94"/>
      <c r="AH13" s="94"/>
      <c r="AQ13" s="2"/>
      <c r="AR13" s="2"/>
      <c r="AS13" s="2"/>
      <c r="AT13" s="2"/>
      <c r="AU13" s="2"/>
      <c r="AV13" s="2"/>
      <c r="AW13" s="2"/>
      <c r="AX13" s="2"/>
      <c r="AY13" s="2"/>
      <c r="AZ13" s="2"/>
      <c r="BA13" s="2"/>
      <c r="BB13" s="2"/>
      <c r="BC13" s="2"/>
      <c r="BD13" s="2"/>
      <c r="BE13" s="2"/>
      <c r="BF13" s="2"/>
      <c r="BG13" s="2"/>
      <c r="BH13" s="2"/>
      <c r="BI13" s="2"/>
      <c r="BJ13" s="2"/>
      <c r="BK13" s="2"/>
    </row>
    <row r="14" spans="1:63" s="24" customFormat="1" x14ac:dyDescent="0.25">
      <c r="A14" s="156" t="s">
        <v>111</v>
      </c>
      <c r="B14" s="270">
        <v>5956</v>
      </c>
      <c r="C14" s="270">
        <v>5107</v>
      </c>
      <c r="D14" s="270">
        <v>5708</v>
      </c>
      <c r="E14" s="270">
        <v>6270</v>
      </c>
      <c r="F14" s="270">
        <v>23041</v>
      </c>
      <c r="G14" s="105">
        <v>5074</v>
      </c>
      <c r="H14" s="282">
        <v>6892</v>
      </c>
      <c r="I14" s="282">
        <v>5345</v>
      </c>
      <c r="J14" s="282">
        <f t="shared" si="0"/>
        <v>6590</v>
      </c>
      <c r="K14" s="287">
        <v>23901</v>
      </c>
      <c r="L14" s="287">
        <v>6956</v>
      </c>
      <c r="M14" s="322">
        <f>'[2]Statements of Cash Flow'!$C$10-L14</f>
        <v>7155</v>
      </c>
      <c r="N14" s="287">
        <v>7427</v>
      </c>
      <c r="O14" s="287">
        <f t="shared" si="1"/>
        <v>4532</v>
      </c>
      <c r="P14" s="287">
        <f>'[4]Statements of Cash Flow'!$C$10</f>
        <v>26070</v>
      </c>
      <c r="Q14" s="323">
        <f t="shared" si="2"/>
        <v>0</v>
      </c>
      <c r="R14" s="322">
        <f>'[5]Statements of Cash Flow'!$C$10</f>
        <v>4778</v>
      </c>
      <c r="S14" s="322">
        <f>'[6]Statements of Cash Flow'!$C$10-R14</f>
        <v>7726</v>
      </c>
      <c r="T14" s="322">
        <f>'[7]Statements of Cash Flow'!$C$10-SUM(R14:S14)</f>
        <v>8346</v>
      </c>
      <c r="U14" s="322">
        <f t="shared" si="3"/>
        <v>7385</v>
      </c>
      <c r="V14" s="322">
        <f>'[8]Statements of Cash Flow'!$C$10</f>
        <v>28235</v>
      </c>
      <c r="W14" s="322">
        <f>'[9]Statements of Cash Flow'!$C$10</f>
        <v>7832</v>
      </c>
      <c r="X14" s="322">
        <f>'[10]Statements of Cash Flow'!$C$10-W14</f>
        <v>10070</v>
      </c>
      <c r="Y14" s="94"/>
      <c r="Z14" s="94"/>
      <c r="AA14" s="94"/>
      <c r="AB14" s="94"/>
      <c r="AC14" s="94"/>
      <c r="AD14" s="94"/>
      <c r="AE14" s="94"/>
      <c r="AF14" s="94"/>
      <c r="AG14" s="94"/>
      <c r="AH14" s="94"/>
      <c r="AQ14" s="2"/>
      <c r="AR14" s="2"/>
      <c r="AS14" s="2"/>
      <c r="AT14" s="2"/>
      <c r="AU14" s="2"/>
      <c r="AV14" s="2"/>
      <c r="AW14" s="2"/>
      <c r="AX14" s="2"/>
      <c r="AY14" s="2"/>
      <c r="AZ14" s="2"/>
      <c r="BA14" s="2"/>
      <c r="BB14" s="2"/>
      <c r="BC14" s="2"/>
      <c r="BD14" s="2"/>
      <c r="BE14" s="2"/>
      <c r="BF14" s="2"/>
      <c r="BG14" s="2"/>
      <c r="BH14" s="2"/>
      <c r="BI14" s="2"/>
      <c r="BJ14" s="2"/>
      <c r="BK14" s="2"/>
    </row>
    <row r="15" spans="1:63" s="24" customFormat="1" x14ac:dyDescent="0.25">
      <c r="A15" s="157" t="s">
        <v>191</v>
      </c>
      <c r="B15" s="270"/>
      <c r="C15" s="270">
        <v>0</v>
      </c>
      <c r="D15" s="270">
        <v>0</v>
      </c>
      <c r="E15" s="270">
        <v>0</v>
      </c>
      <c r="F15" s="270">
        <v>0</v>
      </c>
      <c r="G15" s="204">
        <v>56</v>
      </c>
      <c r="H15" s="204">
        <v>58</v>
      </c>
      <c r="I15" s="204">
        <v>62</v>
      </c>
      <c r="J15" s="204">
        <f t="shared" si="0"/>
        <v>71</v>
      </c>
      <c r="K15" s="28">
        <v>247</v>
      </c>
      <c r="L15" s="28">
        <v>67</v>
      </c>
      <c r="M15" s="30">
        <f>'[2]Statements of Cash Flow'!$C$16-L15</f>
        <v>62</v>
      </c>
      <c r="N15" s="28">
        <v>69</v>
      </c>
      <c r="O15" s="28">
        <f t="shared" si="1"/>
        <v>71</v>
      </c>
      <c r="P15" s="28">
        <f>'[4]Statements of Cash Flow'!$C$16</f>
        <v>269</v>
      </c>
      <c r="Q15" s="323">
        <f t="shared" si="2"/>
        <v>0</v>
      </c>
      <c r="R15" s="30">
        <f>'[5]Statements of Cash Flow'!$C$16</f>
        <v>55</v>
      </c>
      <c r="S15" s="30">
        <f>'[6]Statements of Cash Flow'!$C$16-R15</f>
        <v>66</v>
      </c>
      <c r="T15" s="30">
        <f>'[7]Statements of Cash Flow'!$C$16-SUM(R15:S15)</f>
        <v>72</v>
      </c>
      <c r="U15" s="30">
        <f t="shared" si="3"/>
        <v>34</v>
      </c>
      <c r="V15" s="30">
        <f>'[8]Statements of Cash Flow'!$C$16</f>
        <v>227</v>
      </c>
      <c r="W15" s="30">
        <f>'[9]Statements of Cash Flow'!$C$16</f>
        <v>36</v>
      </c>
      <c r="X15" s="30">
        <f>'[10]Statements of Cash Flow'!$C$16-W15</f>
        <v>-8</v>
      </c>
      <c r="Y15" s="94"/>
      <c r="Z15" s="94"/>
      <c r="AA15" s="94"/>
      <c r="AB15" s="94"/>
      <c r="AC15" s="94"/>
      <c r="AD15" s="94"/>
      <c r="AE15" s="94"/>
      <c r="AF15" s="94"/>
      <c r="AG15" s="94"/>
      <c r="AH15" s="94"/>
      <c r="AQ15" s="2"/>
      <c r="AR15" s="2"/>
      <c r="AS15" s="2"/>
      <c r="AT15" s="2"/>
      <c r="AU15" s="2"/>
      <c r="AV15" s="2"/>
      <c r="AW15" s="2"/>
      <c r="AX15" s="2"/>
      <c r="AY15" s="2"/>
      <c r="AZ15" s="2"/>
      <c r="BA15" s="2"/>
      <c r="BB15" s="2"/>
      <c r="BC15" s="2"/>
      <c r="BD15" s="2"/>
      <c r="BE15" s="2"/>
      <c r="BF15" s="2"/>
      <c r="BG15" s="2"/>
      <c r="BH15" s="2"/>
      <c r="BI15" s="2"/>
      <c r="BJ15" s="2"/>
      <c r="BK15" s="2"/>
    </row>
    <row r="16" spans="1:63" s="24" customFormat="1" hidden="1" x14ac:dyDescent="0.25">
      <c r="A16" s="157" t="s">
        <v>36</v>
      </c>
      <c r="B16" s="270"/>
      <c r="C16" s="270">
        <v>0</v>
      </c>
      <c r="D16" s="270">
        <v>0</v>
      </c>
      <c r="E16" s="270">
        <v>0</v>
      </c>
      <c r="F16" s="270">
        <v>0</v>
      </c>
      <c r="G16" s="204">
        <v>0</v>
      </c>
      <c r="H16" s="204">
        <v>0</v>
      </c>
      <c r="I16" s="204">
        <v>0</v>
      </c>
      <c r="J16" s="204">
        <f t="shared" si="0"/>
        <v>0</v>
      </c>
      <c r="K16" s="204">
        <v>0</v>
      </c>
      <c r="L16" s="204">
        <v>0</v>
      </c>
      <c r="M16" s="204">
        <v>0</v>
      </c>
      <c r="N16" s="204">
        <v>0</v>
      </c>
      <c r="O16" s="204">
        <v>0</v>
      </c>
      <c r="P16" s="204">
        <v>0</v>
      </c>
      <c r="Q16" s="323">
        <f t="shared" si="2"/>
        <v>0</v>
      </c>
      <c r="R16" s="204">
        <v>0</v>
      </c>
      <c r="S16" s="204">
        <v>0</v>
      </c>
      <c r="T16" s="204">
        <v>0</v>
      </c>
      <c r="U16" s="204">
        <v>0</v>
      </c>
      <c r="V16" s="204">
        <v>0</v>
      </c>
      <c r="W16" s="204">
        <v>0</v>
      </c>
      <c r="X16" s="204">
        <v>0</v>
      </c>
      <c r="Y16" s="94"/>
      <c r="Z16" s="94"/>
      <c r="AA16" s="94"/>
      <c r="AB16" s="94"/>
      <c r="AC16" s="94"/>
      <c r="AD16" s="94"/>
      <c r="AE16" s="94"/>
      <c r="AF16" s="94"/>
      <c r="AG16" s="94"/>
      <c r="AH16" s="94"/>
      <c r="AQ16" s="2"/>
      <c r="AR16" s="2"/>
      <c r="AS16" s="2"/>
      <c r="AT16" s="2"/>
      <c r="AU16" s="2"/>
      <c r="AV16" s="2"/>
      <c r="AW16" s="2"/>
      <c r="AX16" s="2"/>
      <c r="AY16" s="2"/>
      <c r="AZ16" s="2"/>
      <c r="BA16" s="2"/>
      <c r="BB16" s="2"/>
      <c r="BC16" s="2"/>
      <c r="BD16" s="2"/>
      <c r="BE16" s="2"/>
      <c r="BF16" s="2"/>
      <c r="BG16" s="2"/>
      <c r="BH16" s="2"/>
      <c r="BI16" s="2"/>
      <c r="BJ16" s="2"/>
      <c r="BK16" s="2"/>
    </row>
    <row r="17" spans="1:63" s="24" customFormat="1" hidden="1" x14ac:dyDescent="0.25">
      <c r="A17" s="380" t="s">
        <v>124</v>
      </c>
      <c r="B17" s="270"/>
      <c r="C17" s="270"/>
      <c r="D17" s="270"/>
      <c r="E17" s="270"/>
      <c r="F17" s="270"/>
      <c r="G17" s="105"/>
      <c r="H17" s="282"/>
      <c r="I17" s="282"/>
      <c r="J17" s="282"/>
      <c r="K17" s="28"/>
      <c r="L17" s="28"/>
      <c r="M17" s="30"/>
      <c r="N17" s="28"/>
      <c r="O17" s="28"/>
      <c r="P17" s="30"/>
      <c r="Q17" s="323">
        <f t="shared" si="2"/>
        <v>0</v>
      </c>
      <c r="R17" s="30">
        <f>ROUND('[27]Cash Flow_SEC Format'!$H$15/1000,0)</f>
        <v>0</v>
      </c>
      <c r="S17" s="30">
        <f>ROUND('[28]Cash Flow_SEC Format'!$G$15/1000,0)-R17</f>
        <v>0</v>
      </c>
      <c r="T17" s="30">
        <f>ROUND('[29]Cash Flow_SEC Format'!$G$15/1000,0)-SUM(R17:S17)</f>
        <v>0</v>
      </c>
      <c r="U17" s="30">
        <f t="shared" si="3"/>
        <v>0</v>
      </c>
      <c r="V17" s="30">
        <f>ROUND('[30]Cash Flow_SEC Format'!$G$15/1000,0)</f>
        <v>0</v>
      </c>
      <c r="W17" s="30">
        <f>ROUND('[31]Cash Flow_SEC Format'!$H$15/1000,0)</f>
        <v>0</v>
      </c>
      <c r="X17" s="30">
        <f>ROUND('[32]Cash Flow_SEC Format'!$G$15/1000,0)-W17</f>
        <v>0</v>
      </c>
      <c r="Y17" s="94"/>
      <c r="Z17" s="94"/>
      <c r="AA17" s="94"/>
      <c r="AB17" s="94"/>
      <c r="AC17" s="94"/>
      <c r="AD17" s="94"/>
      <c r="AE17" s="94"/>
      <c r="AF17" s="94"/>
      <c r="AG17" s="94"/>
      <c r="AH17" s="94"/>
      <c r="AQ17" s="2"/>
      <c r="AR17" s="2"/>
      <c r="AS17" s="2"/>
      <c r="AT17" s="2"/>
      <c r="AU17" s="2"/>
      <c r="AV17" s="2"/>
      <c r="AW17" s="2"/>
      <c r="AX17" s="2"/>
      <c r="AY17" s="2"/>
      <c r="AZ17" s="2"/>
      <c r="BA17" s="2"/>
      <c r="BB17" s="2"/>
      <c r="BC17" s="2"/>
      <c r="BD17" s="2"/>
      <c r="BE17" s="2"/>
      <c r="BF17" s="2"/>
      <c r="BG17" s="2"/>
      <c r="BH17" s="2"/>
      <c r="BI17" s="2"/>
      <c r="BJ17" s="2"/>
      <c r="BK17" s="2"/>
    </row>
    <row r="18" spans="1:63" s="24" customFormat="1" hidden="1" x14ac:dyDescent="0.25">
      <c r="A18" s="157" t="s">
        <v>140</v>
      </c>
      <c r="B18" s="270"/>
      <c r="C18" s="270">
        <v>0</v>
      </c>
      <c r="D18" s="270">
        <v>0</v>
      </c>
      <c r="E18" s="270">
        <v>0</v>
      </c>
      <c r="F18" s="270">
        <v>0</v>
      </c>
      <c r="G18" s="204">
        <v>0</v>
      </c>
      <c r="H18" s="204">
        <v>0</v>
      </c>
      <c r="I18" s="204">
        <v>0</v>
      </c>
      <c r="J18" s="204">
        <f t="shared" si="0"/>
        <v>0</v>
      </c>
      <c r="K18" s="204">
        <v>0</v>
      </c>
      <c r="L18" s="204">
        <v>0</v>
      </c>
      <c r="M18" s="204">
        <v>0</v>
      </c>
      <c r="N18" s="204">
        <v>0</v>
      </c>
      <c r="O18" s="204">
        <v>0</v>
      </c>
      <c r="P18" s="204">
        <v>0</v>
      </c>
      <c r="Q18" s="323">
        <f t="shared" si="2"/>
        <v>0</v>
      </c>
      <c r="R18" s="204">
        <v>0</v>
      </c>
      <c r="S18" s="204">
        <v>0</v>
      </c>
      <c r="T18" s="204">
        <v>0</v>
      </c>
      <c r="U18" s="204">
        <v>0</v>
      </c>
      <c r="V18" s="204">
        <v>0</v>
      </c>
      <c r="W18" s="204">
        <v>0</v>
      </c>
      <c r="X18" s="204">
        <v>0</v>
      </c>
      <c r="Y18" s="94"/>
      <c r="Z18" s="94"/>
      <c r="AA18" s="94"/>
      <c r="AB18" s="94"/>
      <c r="AC18" s="94"/>
      <c r="AD18" s="94"/>
      <c r="AE18" s="94"/>
      <c r="AF18" s="94"/>
      <c r="AG18" s="94"/>
      <c r="AH18" s="94"/>
      <c r="AQ18" s="2"/>
      <c r="AR18" s="2"/>
      <c r="AS18" s="2"/>
      <c r="AT18" s="2"/>
      <c r="AU18" s="2"/>
      <c r="AV18" s="2"/>
      <c r="AW18" s="2"/>
      <c r="AX18" s="2"/>
      <c r="AY18" s="2"/>
      <c r="AZ18" s="2"/>
      <c r="BA18" s="2"/>
      <c r="BB18" s="2"/>
      <c r="BC18" s="2"/>
      <c r="BD18" s="2"/>
      <c r="BE18" s="2"/>
      <c r="BF18" s="2"/>
      <c r="BG18" s="2"/>
      <c r="BH18" s="2"/>
      <c r="BI18" s="2"/>
      <c r="BJ18" s="2"/>
      <c r="BK18" s="2"/>
    </row>
    <row r="19" spans="1:63" s="24" customFormat="1" x14ac:dyDescent="0.25">
      <c r="A19" s="157" t="s">
        <v>37</v>
      </c>
      <c r="B19" s="270">
        <v>2225</v>
      </c>
      <c r="C19" s="270">
        <v>-582</v>
      </c>
      <c r="D19" s="270">
        <v>-1197</v>
      </c>
      <c r="E19" s="270">
        <v>1077</v>
      </c>
      <c r="F19" s="270">
        <v>1523</v>
      </c>
      <c r="G19" s="105">
        <f>ROUND(-3318.50205594496,0)</f>
        <v>-3319</v>
      </c>
      <c r="H19" s="282">
        <f>ROUND(-4463.49794405504,0)</f>
        <v>-4463</v>
      </c>
      <c r="I19" s="282">
        <v>-6593</v>
      </c>
      <c r="J19" s="282">
        <f t="shared" si="0"/>
        <v>5755</v>
      </c>
      <c r="K19" s="287">
        <v>-8620</v>
      </c>
      <c r="L19" s="287">
        <v>127</v>
      </c>
      <c r="M19" s="322">
        <f>'[2]Statements of Cash Flow'!$C$13-L19</f>
        <v>1840</v>
      </c>
      <c r="N19" s="287">
        <v>-1948</v>
      </c>
      <c r="O19" s="287">
        <f t="shared" si="1"/>
        <v>-340</v>
      </c>
      <c r="P19" s="287">
        <f>'[4]Statements of Cash Flow'!$C$13</f>
        <v>-321</v>
      </c>
      <c r="Q19" s="323">
        <f t="shared" si="2"/>
        <v>0</v>
      </c>
      <c r="R19" s="322">
        <f>'[9]Statements of Cash Flow'!$E$13</f>
        <v>-6490</v>
      </c>
      <c r="S19" s="322">
        <f>'[6]Statements of Cash Flow'!$C$13-R19</f>
        <v>3174</v>
      </c>
      <c r="T19" s="322">
        <f>'[7]Statements of Cash Flow'!$C$13-SUM(R19:S19)</f>
        <v>2879</v>
      </c>
      <c r="U19" s="322">
        <f t="shared" si="3"/>
        <v>839</v>
      </c>
      <c r="V19" s="322">
        <f>'[8]Statements of Cash Flow'!$C$13</f>
        <v>402</v>
      </c>
      <c r="W19" s="322">
        <f>'[9]Statements of Cash Flow'!$C$13</f>
        <v>-1139</v>
      </c>
      <c r="X19" s="322">
        <f>'[10]Statements of Cash Flow'!$C$13-W19</f>
        <v>-1495</v>
      </c>
      <c r="Y19" s="94"/>
      <c r="Z19" s="94"/>
      <c r="AA19" s="94"/>
      <c r="AB19" s="94"/>
      <c r="AC19" s="94"/>
      <c r="AD19" s="94"/>
      <c r="AE19" s="94"/>
      <c r="AF19" s="94"/>
      <c r="AG19" s="94"/>
      <c r="AH19" s="94"/>
      <c r="AQ19" s="2"/>
      <c r="AR19" s="2"/>
      <c r="AS19" s="2"/>
      <c r="AT19" s="2"/>
      <c r="AU19" s="2"/>
      <c r="AV19" s="2"/>
      <c r="AW19" s="2"/>
      <c r="AX19" s="2"/>
      <c r="AY19" s="2"/>
      <c r="AZ19" s="2"/>
      <c r="BA19" s="2"/>
      <c r="BB19" s="2"/>
      <c r="BC19" s="2"/>
      <c r="BD19" s="2"/>
      <c r="BE19" s="2"/>
      <c r="BF19" s="2"/>
      <c r="BG19" s="2"/>
      <c r="BH19" s="2"/>
      <c r="BI19" s="2"/>
      <c r="BJ19" s="2"/>
      <c r="BK19" s="2"/>
    </row>
    <row r="20" spans="1:63" s="24" customFormat="1" x14ac:dyDescent="0.25">
      <c r="A20" s="157" t="s">
        <v>253</v>
      </c>
      <c r="B20" s="270"/>
      <c r="C20" s="270">
        <v>-2246</v>
      </c>
      <c r="D20" s="270">
        <v>-2191</v>
      </c>
      <c r="E20" s="270">
        <v>4437</v>
      </c>
      <c r="F20" s="270">
        <v>0</v>
      </c>
      <c r="G20" s="105">
        <v>-2842</v>
      </c>
      <c r="H20" s="282">
        <v>-1098</v>
      </c>
      <c r="I20" s="282">
        <v>-1483</v>
      </c>
      <c r="J20" s="282">
        <f t="shared" si="0"/>
        <v>-2273</v>
      </c>
      <c r="K20" s="287">
        <v>-7696</v>
      </c>
      <c r="L20" s="287">
        <v>-3185</v>
      </c>
      <c r="M20" s="322">
        <f>'[2]Statements of Cash Flow'!$C$12-L20</f>
        <v>-1177</v>
      </c>
      <c r="N20" s="287">
        <v>-3081</v>
      </c>
      <c r="O20" s="287">
        <f t="shared" si="1"/>
        <v>-2673</v>
      </c>
      <c r="P20" s="287">
        <f>'[4]Statements of Cash Flow'!$C$12</f>
        <v>-10116</v>
      </c>
      <c r="Q20" s="323">
        <f t="shared" si="2"/>
        <v>0</v>
      </c>
      <c r="R20" s="322">
        <f>'[5]Statements of Cash Flow'!$C$12</f>
        <v>267</v>
      </c>
      <c r="S20" s="322">
        <f>'[6]Statements of Cash Flow'!$C$12-R20</f>
        <v>-3109</v>
      </c>
      <c r="T20" s="322">
        <f>'[7]Statements of Cash Flow'!$C$12-SUM(R20:S20)</f>
        <v>-1965</v>
      </c>
      <c r="U20" s="322">
        <f t="shared" si="3"/>
        <v>-2367</v>
      </c>
      <c r="V20" s="322">
        <f>'[8]Statements of Cash Flow'!$C$12</f>
        <v>-7174</v>
      </c>
      <c r="W20" s="322">
        <f>'[9]Statements of Cash Flow'!$C$12</f>
        <v>-1103</v>
      </c>
      <c r="X20" s="322">
        <f>'[10]Statements of Cash Flow'!$C$12-W20</f>
        <v>7880</v>
      </c>
      <c r="Y20" s="94"/>
      <c r="Z20" s="94"/>
      <c r="AA20" s="94"/>
      <c r="AB20" s="94"/>
      <c r="AC20" s="94"/>
      <c r="AD20" s="94"/>
      <c r="AE20" s="94"/>
      <c r="AF20" s="94"/>
      <c r="AG20" s="94"/>
      <c r="AH20" s="94"/>
      <c r="AQ20" s="2"/>
      <c r="AR20" s="2"/>
      <c r="AS20" s="2"/>
      <c r="AT20" s="2"/>
      <c r="AU20" s="2"/>
      <c r="AV20" s="2"/>
      <c r="AW20" s="2"/>
      <c r="AX20" s="2"/>
      <c r="AY20" s="2"/>
      <c r="AZ20" s="2"/>
      <c r="BA20" s="2"/>
      <c r="BB20" s="2"/>
      <c r="BC20" s="2"/>
      <c r="BD20" s="2"/>
      <c r="BE20" s="2"/>
      <c r="BF20" s="2"/>
      <c r="BG20" s="2"/>
      <c r="BH20" s="2"/>
      <c r="BI20" s="2"/>
      <c r="BJ20" s="2"/>
      <c r="BK20" s="2"/>
    </row>
    <row r="21" spans="1:63" s="24" customFormat="1" x14ac:dyDescent="0.25">
      <c r="A21" s="157" t="s">
        <v>182</v>
      </c>
      <c r="B21" s="270">
        <v>-4256</v>
      </c>
      <c r="C21" s="270">
        <v>1138</v>
      </c>
      <c r="D21" s="270">
        <v>-2299</v>
      </c>
      <c r="E21" s="270">
        <v>6148</v>
      </c>
      <c r="F21" s="270">
        <v>731</v>
      </c>
      <c r="G21" s="105">
        <v>3433</v>
      </c>
      <c r="H21" s="282">
        <v>-2890</v>
      </c>
      <c r="I21" s="282">
        <v>-1529</v>
      </c>
      <c r="J21" s="282">
        <f t="shared" si="0"/>
        <v>361</v>
      </c>
      <c r="K21" s="287">
        <v>-625</v>
      </c>
      <c r="L21" s="287">
        <v>1049</v>
      </c>
      <c r="M21" s="322">
        <f>'[2]Statements of Cash Flow'!$C$14-L21</f>
        <v>-3680</v>
      </c>
      <c r="N21" s="287">
        <v>-4228</v>
      </c>
      <c r="O21" s="287">
        <f t="shared" si="1"/>
        <v>-5486</v>
      </c>
      <c r="P21" s="287">
        <f>'[4]Statements of Cash Flow'!$C$14</f>
        <v>-12345</v>
      </c>
      <c r="Q21" s="323">
        <f t="shared" si="2"/>
        <v>0</v>
      </c>
      <c r="R21" s="322">
        <f>'[5]Statements of Cash Flow'!$C$14</f>
        <v>3539</v>
      </c>
      <c r="S21" s="322">
        <f>'[6]Statements of Cash Flow'!$C$14-R21</f>
        <v>-4202</v>
      </c>
      <c r="T21" s="322">
        <f>'[7]Statements of Cash Flow'!$C$14-SUM(R21:S21)</f>
        <v>-909</v>
      </c>
      <c r="U21" s="322">
        <f t="shared" si="3"/>
        <v>4269</v>
      </c>
      <c r="V21" s="322">
        <f>'[8]Statements of Cash Flow'!$C$14</f>
        <v>2697</v>
      </c>
      <c r="W21" s="322">
        <f>'[9]Statements of Cash Flow'!$C$14</f>
        <v>-2695</v>
      </c>
      <c r="X21" s="322">
        <f>'[10]Statements of Cash Flow'!$C$14-W21</f>
        <v>-12042</v>
      </c>
      <c r="Y21" s="94"/>
      <c r="Z21" s="94"/>
      <c r="AA21" s="94"/>
      <c r="AB21" s="94"/>
      <c r="AC21" s="94"/>
      <c r="AD21" s="94"/>
      <c r="AE21" s="94"/>
      <c r="AF21" s="94"/>
      <c r="AG21" s="94"/>
      <c r="AH21" s="94"/>
      <c r="AQ21" s="2"/>
      <c r="AR21" s="2"/>
      <c r="AS21" s="2"/>
      <c r="AT21" s="2"/>
      <c r="AU21" s="2"/>
      <c r="AV21" s="2"/>
      <c r="AW21" s="2"/>
      <c r="AX21" s="2"/>
      <c r="AY21" s="2"/>
      <c r="AZ21" s="2"/>
      <c r="BA21" s="2"/>
      <c r="BB21" s="2"/>
      <c r="BC21" s="2"/>
      <c r="BD21" s="2"/>
      <c r="BE21" s="2"/>
      <c r="BF21" s="2"/>
      <c r="BG21" s="2"/>
      <c r="BH21" s="2"/>
      <c r="BI21" s="2"/>
      <c r="BJ21" s="2"/>
      <c r="BK21" s="2"/>
    </row>
    <row r="22" spans="1:63" s="24" customFormat="1" hidden="1" x14ac:dyDescent="0.25">
      <c r="A22" s="157" t="s">
        <v>183</v>
      </c>
      <c r="B22" s="270"/>
      <c r="C22" s="270">
        <v>0</v>
      </c>
      <c r="D22" s="270">
        <v>0</v>
      </c>
      <c r="E22" s="270">
        <v>0</v>
      </c>
      <c r="F22" s="270">
        <v>0</v>
      </c>
      <c r="G22" s="204">
        <v>0</v>
      </c>
      <c r="H22" s="204">
        <v>0</v>
      </c>
      <c r="I22" s="204">
        <v>0</v>
      </c>
      <c r="J22" s="282">
        <f t="shared" si="0"/>
        <v>0</v>
      </c>
      <c r="K22" s="287">
        <v>0</v>
      </c>
      <c r="L22" s="287">
        <v>0</v>
      </c>
      <c r="M22" s="322">
        <v>0</v>
      </c>
      <c r="N22" s="287">
        <v>0</v>
      </c>
      <c r="O22" s="287">
        <v>0</v>
      </c>
      <c r="P22" s="287">
        <v>0</v>
      </c>
      <c r="Q22" s="323">
        <f t="shared" si="2"/>
        <v>0</v>
      </c>
      <c r="R22" s="322">
        <v>0</v>
      </c>
      <c r="S22" s="322">
        <v>0</v>
      </c>
      <c r="T22" s="322">
        <v>0</v>
      </c>
      <c r="U22" s="322">
        <v>0</v>
      </c>
      <c r="V22" s="322">
        <v>0</v>
      </c>
      <c r="W22" s="322">
        <v>0</v>
      </c>
      <c r="X22" s="322">
        <v>0</v>
      </c>
      <c r="Y22" s="94"/>
      <c r="Z22" s="94"/>
      <c r="AA22" s="94"/>
      <c r="AB22" s="94"/>
      <c r="AC22" s="94"/>
      <c r="AD22" s="94"/>
      <c r="AE22" s="94"/>
      <c r="AF22" s="94"/>
      <c r="AG22" s="94"/>
      <c r="AH22" s="94"/>
      <c r="AQ22" s="2"/>
      <c r="AR22" s="2"/>
      <c r="AS22" s="2"/>
      <c r="AT22" s="2"/>
      <c r="AU22" s="2"/>
      <c r="AV22" s="2"/>
      <c r="AW22" s="2"/>
      <c r="AX22" s="2"/>
      <c r="AY22" s="2"/>
      <c r="AZ22" s="2"/>
      <c r="BA22" s="2"/>
      <c r="BB22" s="2"/>
      <c r="BC22" s="2"/>
      <c r="BD22" s="2"/>
      <c r="BE22" s="2"/>
      <c r="BF22" s="2"/>
      <c r="BG22" s="2"/>
      <c r="BH22" s="2"/>
      <c r="BI22" s="2"/>
      <c r="BJ22" s="2"/>
      <c r="BK22" s="2"/>
    </row>
    <row r="23" spans="1:63" s="24" customFormat="1" x14ac:dyDescent="0.25">
      <c r="A23" s="157" t="s">
        <v>203</v>
      </c>
      <c r="B23" s="270"/>
      <c r="C23" s="270"/>
      <c r="D23" s="270"/>
      <c r="E23" s="270"/>
      <c r="F23" s="270">
        <v>0</v>
      </c>
      <c r="G23" s="204">
        <v>0</v>
      </c>
      <c r="H23" s="204">
        <v>0</v>
      </c>
      <c r="I23" s="204">
        <v>0</v>
      </c>
      <c r="J23" s="282">
        <f t="shared" si="0"/>
        <v>20056</v>
      </c>
      <c r="K23" s="287">
        <v>20056</v>
      </c>
      <c r="L23" s="287">
        <v>1227</v>
      </c>
      <c r="M23" s="322">
        <f>'[2]Statements of Cash Flow'!$C$18-L23</f>
        <v>1940</v>
      </c>
      <c r="N23" s="287">
        <v>0</v>
      </c>
      <c r="O23" s="287">
        <f>+P23-SUM(L23:N23)</f>
        <v>460</v>
      </c>
      <c r="P23" s="287">
        <f>'[4]Statements of Cash Flow'!$C$18</f>
        <v>3627</v>
      </c>
      <c r="Q23" s="323">
        <f t="shared" si="2"/>
        <v>0</v>
      </c>
      <c r="R23" s="322">
        <f>'[5]Statements of Cash Flow'!$C$18</f>
        <v>0</v>
      </c>
      <c r="S23" s="322">
        <f>'[6]Statements of Cash Flow'!$C$18-R23</f>
        <v>0</v>
      </c>
      <c r="T23" s="322">
        <f>'[7]Statements of Cash Flow'!$C$18-SUM(R23:S23)</f>
        <v>0</v>
      </c>
      <c r="U23" s="322">
        <f t="shared" si="3"/>
        <v>0</v>
      </c>
      <c r="V23" s="322">
        <f>'[8]Statements of Cash Flow'!$C$18</f>
        <v>0</v>
      </c>
      <c r="W23" s="322">
        <f>'[9]Statements of Cash Flow'!$C$18</f>
        <v>0</v>
      </c>
      <c r="X23" s="322">
        <f>'[10]Statements of Cash Flow'!$C$18-W23</f>
        <v>0</v>
      </c>
      <c r="Y23" s="94"/>
      <c r="Z23" s="94"/>
      <c r="AA23" s="94"/>
      <c r="AB23" s="94"/>
      <c r="AC23" s="94"/>
      <c r="AD23" s="94"/>
      <c r="AE23" s="94"/>
      <c r="AF23" s="94"/>
      <c r="AG23" s="94"/>
      <c r="AH23" s="94"/>
      <c r="AQ23" s="2"/>
      <c r="AR23" s="2"/>
      <c r="AS23" s="2"/>
      <c r="AT23" s="2"/>
      <c r="AU23" s="2"/>
      <c r="AV23" s="2"/>
      <c r="AW23" s="2"/>
      <c r="AX23" s="2"/>
      <c r="AY23" s="2"/>
      <c r="AZ23" s="2"/>
      <c r="BA23" s="2"/>
      <c r="BB23" s="2"/>
      <c r="BC23" s="2"/>
      <c r="BD23" s="2"/>
      <c r="BE23" s="2"/>
      <c r="BF23" s="2"/>
      <c r="BG23" s="2"/>
      <c r="BH23" s="2"/>
      <c r="BI23" s="2"/>
      <c r="BJ23" s="2"/>
      <c r="BK23" s="2"/>
    </row>
    <row r="24" spans="1:63" s="24" customFormat="1" hidden="1" x14ac:dyDescent="0.25">
      <c r="A24" s="157" t="s">
        <v>150</v>
      </c>
      <c r="B24" s="270"/>
      <c r="C24" s="270">
        <v>0</v>
      </c>
      <c r="D24" s="270">
        <v>0</v>
      </c>
      <c r="E24" s="270">
        <v>0</v>
      </c>
      <c r="F24" s="270">
        <v>0</v>
      </c>
      <c r="G24" s="204">
        <v>0</v>
      </c>
      <c r="H24" s="204">
        <v>0</v>
      </c>
      <c r="I24" s="204">
        <v>0</v>
      </c>
      <c r="J24" s="204">
        <f t="shared" si="0"/>
        <v>0</v>
      </c>
      <c r="K24" s="204">
        <v>0</v>
      </c>
      <c r="L24" s="204">
        <v>0</v>
      </c>
      <c r="M24" s="204">
        <v>0</v>
      </c>
      <c r="N24" s="204">
        <v>0</v>
      </c>
      <c r="O24" s="204">
        <v>0</v>
      </c>
      <c r="P24" s="204">
        <v>0</v>
      </c>
      <c r="Q24" s="323">
        <f t="shared" si="2"/>
        <v>0</v>
      </c>
      <c r="R24" s="204">
        <v>0</v>
      </c>
      <c r="S24" s="204">
        <v>0</v>
      </c>
      <c r="T24" s="204">
        <v>0</v>
      </c>
      <c r="U24" s="204">
        <v>0</v>
      </c>
      <c r="V24" s="204">
        <v>0</v>
      </c>
      <c r="W24" s="204">
        <v>0</v>
      </c>
      <c r="X24" s="204">
        <v>0</v>
      </c>
      <c r="Y24" s="94"/>
      <c r="Z24" s="94"/>
      <c r="AA24" s="94"/>
      <c r="AB24" s="94"/>
      <c r="AC24" s="94"/>
      <c r="AD24" s="94"/>
      <c r="AE24" s="94"/>
      <c r="AF24" s="94"/>
      <c r="AG24" s="94"/>
      <c r="AH24" s="94"/>
      <c r="AQ24" s="2"/>
      <c r="AR24" s="2"/>
      <c r="AS24" s="2"/>
      <c r="AT24" s="2"/>
      <c r="AU24" s="2"/>
      <c r="AV24" s="2"/>
      <c r="AW24" s="2"/>
      <c r="AX24" s="2"/>
      <c r="AY24" s="2"/>
      <c r="AZ24" s="2"/>
      <c r="BA24" s="2"/>
      <c r="BB24" s="2"/>
      <c r="BC24" s="2"/>
      <c r="BD24" s="2"/>
      <c r="BE24" s="2"/>
      <c r="BF24" s="2"/>
      <c r="BG24" s="2"/>
      <c r="BH24" s="2"/>
      <c r="BI24" s="2"/>
      <c r="BJ24" s="2"/>
      <c r="BK24" s="2"/>
    </row>
    <row r="25" spans="1:63" s="24" customFormat="1" x14ac:dyDescent="0.25">
      <c r="A25" s="157" t="s">
        <v>270</v>
      </c>
      <c r="B25" s="270">
        <v>331.16800000000001</v>
      </c>
      <c r="C25" s="270">
        <v>552.93804</v>
      </c>
      <c r="D25" s="270">
        <v>1821.8939599999999</v>
      </c>
      <c r="E25" s="270">
        <v>110</v>
      </c>
      <c r="F25" s="270">
        <v>2816</v>
      </c>
      <c r="G25" s="204">
        <v>-612</v>
      </c>
      <c r="H25" s="204">
        <v>22</v>
      </c>
      <c r="I25" s="204">
        <v>-30</v>
      </c>
      <c r="J25" s="204">
        <f t="shared" si="0"/>
        <v>47</v>
      </c>
      <c r="K25" s="287">
        <v>-573</v>
      </c>
      <c r="L25" s="287">
        <v>298</v>
      </c>
      <c r="M25" s="322">
        <f>'[2]Statements of Cash Flow'!$C$15-L25</f>
        <v>-17</v>
      </c>
      <c r="N25" s="287">
        <v>152</v>
      </c>
      <c r="O25" s="287">
        <f t="shared" si="1"/>
        <v>181</v>
      </c>
      <c r="P25" s="287">
        <f>'[4]Statements of Cash Flow'!$C$15</f>
        <v>614</v>
      </c>
      <c r="Q25" s="323">
        <f t="shared" si="2"/>
        <v>0</v>
      </c>
      <c r="R25" s="322">
        <f>'[5]Statements of Cash Flow'!$C$15</f>
        <v>195</v>
      </c>
      <c r="S25" s="322">
        <f>'[6]Statements of Cash Flow'!$C$15-R25</f>
        <v>194</v>
      </c>
      <c r="T25" s="322">
        <f>'[7]Statements of Cash Flow'!$C$15-SUM(R25:S25)</f>
        <v>-36</v>
      </c>
      <c r="U25" s="322">
        <f t="shared" si="3"/>
        <v>-56</v>
      </c>
      <c r="V25" s="322">
        <f>'[8]Statements of Cash Flow'!$C$15</f>
        <v>297</v>
      </c>
      <c r="W25" s="322">
        <f>'[9]Statements of Cash Flow'!$C$15</f>
        <v>48</v>
      </c>
      <c r="X25" s="322">
        <f>'[10]Statements of Cash Flow'!$C$15-W25</f>
        <v>-438</v>
      </c>
      <c r="Y25" s="94"/>
      <c r="Z25" s="94"/>
      <c r="AA25" s="94"/>
      <c r="AB25" s="94"/>
      <c r="AC25" s="94"/>
      <c r="AD25" s="94"/>
      <c r="AE25" s="94"/>
      <c r="AF25" s="94"/>
      <c r="AG25" s="94"/>
      <c r="AH25" s="94"/>
      <c r="AQ25" s="2"/>
      <c r="AR25" s="2"/>
      <c r="AS25" s="2"/>
      <c r="AT25" s="2"/>
      <c r="AU25" s="2"/>
      <c r="AV25" s="2"/>
      <c r="AW25" s="2"/>
      <c r="AX25" s="2"/>
      <c r="AY25" s="2"/>
      <c r="AZ25" s="2"/>
      <c r="BA25" s="2"/>
      <c r="BB25" s="2"/>
      <c r="BC25" s="2"/>
      <c r="BD25" s="2"/>
      <c r="BE25" s="2"/>
      <c r="BF25" s="2"/>
      <c r="BG25" s="2"/>
      <c r="BH25" s="2"/>
      <c r="BI25" s="2"/>
      <c r="BJ25" s="2"/>
      <c r="BK25" s="2"/>
    </row>
    <row r="26" spans="1:63" s="24" customFormat="1" x14ac:dyDescent="0.25">
      <c r="A26" s="157" t="s">
        <v>271</v>
      </c>
      <c r="B26" s="270">
        <v>-8</v>
      </c>
      <c r="C26" s="270">
        <v>34.462940571428604</v>
      </c>
      <c r="D26" s="270">
        <v>-14.864699999999999</v>
      </c>
      <c r="E26" s="270">
        <v>240.40175942857138</v>
      </c>
      <c r="F26" s="270">
        <v>252</v>
      </c>
      <c r="G26" s="204">
        <v>28</v>
      </c>
      <c r="H26" s="204">
        <v>95</v>
      </c>
      <c r="I26" s="204">
        <v>70</v>
      </c>
      <c r="J26" s="204">
        <v>110</v>
      </c>
      <c r="K26" s="287">
        <v>303</v>
      </c>
      <c r="L26" s="287">
        <v>416</v>
      </c>
      <c r="M26" s="322">
        <v>544.57432654008653</v>
      </c>
      <c r="N26" s="287">
        <v>-1109.1716799999977</v>
      </c>
      <c r="O26" s="287">
        <v>-1056.4026465400889</v>
      </c>
      <c r="P26" s="322">
        <v>-1205</v>
      </c>
      <c r="Q26" s="323">
        <f t="shared" si="2"/>
        <v>0</v>
      </c>
      <c r="R26" s="30">
        <f>ROUND(SUM('[27]Cash Flow_SEC Format'!$H$18+'[27]Cash Flow_SEC Format'!$H$9+'[27]Cash Flow_SEC Format'!$H$8)/1000,0)</f>
        <v>-26</v>
      </c>
      <c r="S26" s="30">
        <f>ROUND(SUM('[28]Cash Flow_SEC Format'!$G$9+'[28]Cash Flow_SEC Format'!$G$18,'[28]Cash Flow_SEC Format'!$G$8)/1000,0)-R26</f>
        <v>-1178</v>
      </c>
      <c r="T26" s="30">
        <f>ROUND(SUM('[29]Cash Flow_SEC Format'!$G$9+'[29]Cash Flow_SEC Format'!$G$18+'[29]Cash Flow_SEC Format'!$G$8)/1000,0)-SUM(R26:S26)</f>
        <v>269</v>
      </c>
      <c r="U26" s="30">
        <f t="shared" si="3"/>
        <v>393</v>
      </c>
      <c r="V26" s="30">
        <f>ROUND(SUM('[30]Cash Flow_SEC Format'!$G$9+'[30]Cash Flow_SEC Format'!$G$18+'[30]Cash Flow_SEC Format'!$G$8)/1000,0)</f>
        <v>-542</v>
      </c>
      <c r="W26" s="30">
        <f>ROUND(SUM('[31]Cash Flow_SEC Format'!$H$18+'[31]Cash Flow_SEC Format'!$H$9+'[31]Cash Flow_SEC Format'!$H$8)/1000,0)-2</f>
        <v>216</v>
      </c>
      <c r="X26" s="30">
        <f>ROUND(SUM('[32]Cash Flow_SEC Format'!$G$18+'[32]Cash Flow_SEC Format'!$G$9+'[32]Cash Flow_SEC Format'!$G$8)/1000,0)-W26-3</f>
        <v>-72</v>
      </c>
      <c r="Y26" s="94"/>
      <c r="Z26" s="94"/>
      <c r="AA26" s="94"/>
      <c r="AB26" s="94"/>
      <c r="AC26" s="94"/>
      <c r="AD26" s="94"/>
      <c r="AE26" s="94"/>
      <c r="AF26" s="94"/>
      <c r="AG26" s="94"/>
      <c r="AH26" s="94"/>
      <c r="AQ26" s="2"/>
      <c r="AR26" s="2"/>
      <c r="AS26" s="2"/>
      <c r="AT26" s="2"/>
      <c r="AU26" s="2"/>
      <c r="AV26" s="2"/>
      <c r="AW26" s="2"/>
      <c r="AX26" s="2"/>
      <c r="AY26" s="2"/>
      <c r="AZ26" s="2"/>
      <c r="BA26" s="2"/>
      <c r="BB26" s="2"/>
      <c r="BC26" s="2"/>
      <c r="BD26" s="2"/>
      <c r="BE26" s="2"/>
      <c r="BF26" s="2"/>
      <c r="BG26" s="2"/>
      <c r="BH26" s="2"/>
      <c r="BI26" s="2"/>
      <c r="BJ26" s="2"/>
      <c r="BK26" s="2"/>
    </row>
    <row r="27" spans="1:63" hidden="1" x14ac:dyDescent="0.25">
      <c r="A27" s="36" t="s">
        <v>161</v>
      </c>
      <c r="B27" s="270"/>
      <c r="C27" s="270">
        <v>0</v>
      </c>
      <c r="D27" s="270">
        <v>0</v>
      </c>
      <c r="E27" s="270">
        <v>0</v>
      </c>
      <c r="F27" s="270">
        <v>0</v>
      </c>
      <c r="G27" s="204">
        <v>0</v>
      </c>
      <c r="H27" s="204">
        <v>0</v>
      </c>
      <c r="I27" s="204">
        <v>0</v>
      </c>
      <c r="J27" s="204">
        <f t="shared" si="0"/>
        <v>0</v>
      </c>
      <c r="K27" s="204">
        <v>0</v>
      </c>
      <c r="L27" s="204">
        <v>0</v>
      </c>
      <c r="M27" s="204">
        <v>0</v>
      </c>
      <c r="N27" s="204">
        <v>0</v>
      </c>
      <c r="O27" s="204">
        <v>0</v>
      </c>
      <c r="P27" s="204">
        <v>0</v>
      </c>
      <c r="Q27" s="323">
        <f t="shared" si="2"/>
        <v>0</v>
      </c>
      <c r="R27" s="204">
        <v>0</v>
      </c>
      <c r="S27" s="204">
        <v>0</v>
      </c>
      <c r="T27" s="204">
        <v>0</v>
      </c>
      <c r="U27" s="204">
        <v>0</v>
      </c>
      <c r="V27" s="204">
        <v>0</v>
      </c>
      <c r="W27" s="204">
        <v>0</v>
      </c>
      <c r="X27" s="204">
        <v>0</v>
      </c>
    </row>
    <row r="28" spans="1:63" x14ac:dyDescent="0.25">
      <c r="A28" s="36" t="s">
        <v>218</v>
      </c>
      <c r="B28" s="270"/>
      <c r="C28" s="270"/>
      <c r="D28" s="270"/>
      <c r="E28" s="270"/>
      <c r="F28" s="270">
        <v>0</v>
      </c>
      <c r="G28" s="204">
        <v>0</v>
      </c>
      <c r="H28" s="204">
        <v>0</v>
      </c>
      <c r="I28" s="204">
        <v>0</v>
      </c>
      <c r="J28" s="204">
        <v>0</v>
      </c>
      <c r="K28" s="204">
        <v>0</v>
      </c>
      <c r="L28" s="204">
        <v>0</v>
      </c>
      <c r="M28" s="204">
        <f>'[2]Statements of Cash Flow'!$C$11</f>
        <v>13701</v>
      </c>
      <c r="N28" s="204">
        <v>6843</v>
      </c>
      <c r="O28" s="287">
        <f>+P28-SUM(L28:N28)</f>
        <v>6791</v>
      </c>
      <c r="P28" s="204">
        <f>'[4]Statements of Cash Flow'!$C$11</f>
        <v>27335</v>
      </c>
      <c r="Q28" s="323">
        <f t="shared" si="2"/>
        <v>0</v>
      </c>
      <c r="R28" s="204">
        <f>'[5]Statements of Cash Flow'!$C$11</f>
        <v>6853</v>
      </c>
      <c r="S28" s="204">
        <f>'[6]Statements of Cash Flow'!$C$11-R28</f>
        <v>6850</v>
      </c>
      <c r="T28" s="204">
        <f>'[7]Statements of Cash Flow'!$C$11-SUM(R28:S28)</f>
        <v>6781</v>
      </c>
      <c r="U28" s="204">
        <f t="shared" si="3"/>
        <v>6662</v>
      </c>
      <c r="V28" s="204">
        <f>'[8]Statements of Cash Flow'!$C$11</f>
        <v>27146</v>
      </c>
      <c r="W28" s="204">
        <f>'[9]Statements of Cash Flow'!$C$11</f>
        <v>6761</v>
      </c>
      <c r="X28" s="204">
        <f>'[10]Statements of Cash Flow'!$C$11-W28</f>
        <v>6871</v>
      </c>
    </row>
    <row r="29" spans="1:63" x14ac:dyDescent="0.25">
      <c r="A29" s="46" t="s">
        <v>69</v>
      </c>
      <c r="B29" s="271"/>
      <c r="C29" s="271">
        <v>0</v>
      </c>
      <c r="D29" s="271"/>
      <c r="E29" s="271"/>
      <c r="F29" s="271"/>
      <c r="G29" s="204"/>
      <c r="H29" s="204"/>
      <c r="I29" s="204"/>
      <c r="J29" s="204"/>
      <c r="K29" s="287"/>
      <c r="L29" s="287"/>
      <c r="M29" s="287"/>
      <c r="N29" s="287"/>
      <c r="O29" s="287"/>
      <c r="P29" s="287"/>
      <c r="Q29" s="323"/>
      <c r="R29" s="322"/>
      <c r="S29" s="322"/>
      <c r="T29" s="322"/>
      <c r="U29" s="322"/>
      <c r="V29" s="322"/>
      <c r="W29" s="322"/>
      <c r="X29" s="322"/>
    </row>
    <row r="30" spans="1:63" x14ac:dyDescent="0.25">
      <c r="A30" s="36" t="s">
        <v>19</v>
      </c>
      <c r="B30" s="271">
        <v>0</v>
      </c>
      <c r="C30" s="271">
        <v>0</v>
      </c>
      <c r="D30" s="271">
        <v>0</v>
      </c>
      <c r="E30" s="271">
        <v>0</v>
      </c>
      <c r="F30" s="271"/>
      <c r="G30" s="204">
        <v>0</v>
      </c>
      <c r="H30" s="204">
        <v>0</v>
      </c>
      <c r="I30" s="204">
        <v>0</v>
      </c>
      <c r="J30" s="204">
        <f t="shared" ref="J30:J37" si="4">+K30-SUM(G30:I30)</f>
        <v>0</v>
      </c>
      <c r="K30" s="204">
        <v>0</v>
      </c>
      <c r="L30" s="204">
        <v>0</v>
      </c>
      <c r="M30" s="204">
        <v>0</v>
      </c>
      <c r="N30" s="204">
        <v>0</v>
      </c>
      <c r="O30" s="204">
        <f t="shared" ref="O30:O38" si="5">+P30-SUM(L30:N30)</f>
        <v>0</v>
      </c>
      <c r="P30" s="204">
        <v>0</v>
      </c>
      <c r="Q30" s="323"/>
      <c r="R30" s="204">
        <v>0</v>
      </c>
      <c r="S30" s="204">
        <v>0</v>
      </c>
      <c r="T30" s="204">
        <v>0</v>
      </c>
      <c r="U30" s="204">
        <v>0</v>
      </c>
      <c r="V30" s="204">
        <v>0</v>
      </c>
      <c r="W30" s="204">
        <v>0</v>
      </c>
      <c r="X30" s="204">
        <v>0</v>
      </c>
    </row>
    <row r="31" spans="1:63" x14ac:dyDescent="0.25">
      <c r="A31" s="36" t="s">
        <v>20</v>
      </c>
      <c r="B31" s="270">
        <v>-6671</v>
      </c>
      <c r="C31" s="270">
        <v>-3988</v>
      </c>
      <c r="D31" s="270">
        <v>-11405</v>
      </c>
      <c r="E31" s="270">
        <v>1582</v>
      </c>
      <c r="F31" s="270">
        <v>-20482</v>
      </c>
      <c r="G31" s="205">
        <v>-590</v>
      </c>
      <c r="H31" s="205">
        <v>-11129</v>
      </c>
      <c r="I31" s="205">
        <v>2365</v>
      </c>
      <c r="J31" s="205">
        <f t="shared" si="4"/>
        <v>-692</v>
      </c>
      <c r="K31" s="287">
        <v>-10046</v>
      </c>
      <c r="L31" s="287">
        <v>-12016</v>
      </c>
      <c r="M31" s="287">
        <f>'[2]Statements of Cash Flow'!$C$21-L31</f>
        <v>-4462</v>
      </c>
      <c r="N31" s="287">
        <v>3</v>
      </c>
      <c r="O31" s="287">
        <f t="shared" si="5"/>
        <v>9382</v>
      </c>
      <c r="P31" s="287">
        <f>'[4]Statements of Cash Flow'!C21</f>
        <v>-7093</v>
      </c>
      <c r="Q31" s="323">
        <f t="shared" ref="Q31:Q39" si="6">SUM(L31:O31)-P31</f>
        <v>0</v>
      </c>
      <c r="R31" s="322">
        <f>'[5]Statements of Cash Flow'!$C$21</f>
        <v>-17518</v>
      </c>
      <c r="S31" s="322">
        <f>'[6]Statements of Cash Flow'!$C$21-R31</f>
        <v>29898</v>
      </c>
      <c r="T31" s="322">
        <f>'[7]Statements of Cash Flow'!$C$21-SUM(R31:S31)</f>
        <v>3698</v>
      </c>
      <c r="U31" s="322">
        <f t="shared" ref="U31:U38" si="7">+V31-SUM(R31:T31)</f>
        <v>8618</v>
      </c>
      <c r="V31" s="322">
        <f>'[8]Statements of Cash Flow'!$C$21</f>
        <v>24696</v>
      </c>
      <c r="W31" s="322">
        <f>'[9]Statements of Cash Flow'!$C$21</f>
        <v>-11818</v>
      </c>
      <c r="X31" s="322">
        <f>'[10]Statements of Cash Flow'!$C$21-W31</f>
        <v>-22334</v>
      </c>
    </row>
    <row r="32" spans="1:63" x14ac:dyDescent="0.25">
      <c r="A32" s="36" t="s">
        <v>38</v>
      </c>
      <c r="B32" s="270">
        <v>-1285</v>
      </c>
      <c r="C32" s="270">
        <v>8446</v>
      </c>
      <c r="D32" s="270">
        <v>-1967</v>
      </c>
      <c r="E32" s="270">
        <v>-4976</v>
      </c>
      <c r="F32" s="270">
        <v>218</v>
      </c>
      <c r="G32" s="205">
        <v>-2164</v>
      </c>
      <c r="H32" s="205">
        <v>-266</v>
      </c>
      <c r="I32" s="205">
        <v>-914</v>
      </c>
      <c r="J32" s="205">
        <f t="shared" si="4"/>
        <v>-1165</v>
      </c>
      <c r="K32" s="287">
        <v>-4509</v>
      </c>
      <c r="L32" s="287">
        <v>591</v>
      </c>
      <c r="M32" s="287">
        <f>'[2]Statements of Cash Flow'!$C$22-L32</f>
        <v>-2624</v>
      </c>
      <c r="N32" s="287">
        <v>2785</v>
      </c>
      <c r="O32" s="287">
        <f t="shared" si="5"/>
        <v>463</v>
      </c>
      <c r="P32" s="287">
        <f>'[4]Statements of Cash Flow'!C22</f>
        <v>1215</v>
      </c>
      <c r="Q32" s="323">
        <f t="shared" si="6"/>
        <v>0</v>
      </c>
      <c r="R32" s="322">
        <f>'[9]Statements of Cash Flow'!$E$22</f>
        <v>-1871</v>
      </c>
      <c r="S32" s="322">
        <f>'[6]Statements of Cash Flow'!$C$22-R32</f>
        <v>780</v>
      </c>
      <c r="T32" s="322">
        <f>'[7]Statements of Cash Flow'!$C$22-SUM(R32:S32)</f>
        <v>2589</v>
      </c>
      <c r="U32" s="322">
        <f t="shared" si="7"/>
        <v>-6631</v>
      </c>
      <c r="V32" s="322">
        <f>'[8]Statements of Cash Flow'!$C$22</f>
        <v>-5133</v>
      </c>
      <c r="W32" s="322">
        <f>'[9]Statements of Cash Flow'!$C$22</f>
        <v>-21</v>
      </c>
      <c r="X32" s="322">
        <f>'[10]Statements of Cash Flow'!$C$22-W32</f>
        <v>210</v>
      </c>
    </row>
    <row r="33" spans="1:206" x14ac:dyDescent="0.25">
      <c r="A33" s="36" t="s">
        <v>25</v>
      </c>
      <c r="B33" s="270">
        <v>2185</v>
      </c>
      <c r="C33" s="270">
        <v>3110</v>
      </c>
      <c r="D33" s="270">
        <v>-4924</v>
      </c>
      <c r="E33" s="270">
        <v>1335</v>
      </c>
      <c r="F33" s="270">
        <v>1706</v>
      </c>
      <c r="G33" s="205">
        <v>-1726</v>
      </c>
      <c r="H33" s="205">
        <v>383</v>
      </c>
      <c r="I33" s="205">
        <v>-71</v>
      </c>
      <c r="J33" s="205">
        <f t="shared" si="4"/>
        <v>1054</v>
      </c>
      <c r="K33" s="287">
        <v>-360</v>
      </c>
      <c r="L33" s="287">
        <v>-1159</v>
      </c>
      <c r="M33" s="287">
        <f>'[2]Statements of Cash Flow'!$C$25-L33</f>
        <v>-955</v>
      </c>
      <c r="N33" s="287">
        <v>267</v>
      </c>
      <c r="O33" s="287">
        <f t="shared" si="5"/>
        <v>1981</v>
      </c>
      <c r="P33" s="287">
        <f>'[4]Statements of Cash Flow'!C25</f>
        <v>134</v>
      </c>
      <c r="Q33" s="323">
        <f t="shared" si="6"/>
        <v>0</v>
      </c>
      <c r="R33" s="322">
        <f>'[5]Statements of Cash Flow'!$C$25</f>
        <v>1400</v>
      </c>
      <c r="S33" s="322">
        <f>'[6]Statements of Cash Flow'!$C$25-R33</f>
        <v>543</v>
      </c>
      <c r="T33" s="322">
        <f>'[7]Statements of Cash Flow'!$C$25-SUM(R33:S33)</f>
        <v>-2433</v>
      </c>
      <c r="U33" s="322">
        <f t="shared" si="7"/>
        <v>733</v>
      </c>
      <c r="V33" s="322">
        <f>'[8]Statements of Cash Flow'!$C$25</f>
        <v>243</v>
      </c>
      <c r="W33" s="322">
        <f>'[9]Statements of Cash Flow'!$C$25</f>
        <v>1902</v>
      </c>
      <c r="X33" s="322">
        <f>'[10]Statements of Cash Flow'!$C$25-W33</f>
        <v>-4360</v>
      </c>
    </row>
    <row r="34" spans="1:206" x14ac:dyDescent="0.25">
      <c r="A34" s="36" t="s">
        <v>26</v>
      </c>
      <c r="B34" s="270">
        <v>1480</v>
      </c>
      <c r="C34" s="270">
        <v>-3847</v>
      </c>
      <c r="D34" s="270">
        <v>-5788</v>
      </c>
      <c r="E34" s="270">
        <v>1530</v>
      </c>
      <c r="F34" s="270">
        <v>-6625</v>
      </c>
      <c r="G34" s="205">
        <v>877</v>
      </c>
      <c r="H34" s="205">
        <v>-1076</v>
      </c>
      <c r="I34" s="205">
        <v>-5000</v>
      </c>
      <c r="J34" s="205">
        <f t="shared" si="4"/>
        <v>270</v>
      </c>
      <c r="K34" s="287">
        <v>-4929</v>
      </c>
      <c r="L34" s="287">
        <v>3262</v>
      </c>
      <c r="M34" s="287">
        <f>'[2]Statements of Cash Flow'!$C$26-L34</f>
        <v>2392</v>
      </c>
      <c r="N34" s="287">
        <v>-2407</v>
      </c>
      <c r="O34" s="287">
        <f t="shared" si="5"/>
        <v>3432</v>
      </c>
      <c r="P34" s="287">
        <f>'[4]Statements of Cash Flow'!C26</f>
        <v>6679</v>
      </c>
      <c r="Q34" s="323">
        <f t="shared" si="6"/>
        <v>0</v>
      </c>
      <c r="R34" s="322">
        <f>'[5]Statements of Cash Flow'!$C$26</f>
        <v>2579</v>
      </c>
      <c r="S34" s="322">
        <f>'[6]Statements of Cash Flow'!$C$26-R34</f>
        <v>487</v>
      </c>
      <c r="T34" s="322">
        <f>'[7]Statements of Cash Flow'!$C$26-SUM(R34:S34)</f>
        <v>-2771</v>
      </c>
      <c r="U34" s="322">
        <f t="shared" si="7"/>
        <v>17927</v>
      </c>
      <c r="V34" s="322">
        <f>'[8]Statements of Cash Flow'!$C$26</f>
        <v>18222</v>
      </c>
      <c r="W34" s="322">
        <f>'[9]Statements of Cash Flow'!$C$26</f>
        <v>-17986</v>
      </c>
      <c r="X34" s="322">
        <f>'[10]Statements of Cash Flow'!$C$26-W34</f>
        <v>-2846</v>
      </c>
    </row>
    <row r="35" spans="1:206" x14ac:dyDescent="0.25">
      <c r="A35" s="36" t="s">
        <v>39</v>
      </c>
      <c r="B35" s="270">
        <v>-20247</v>
      </c>
      <c r="C35" s="270">
        <v>2561</v>
      </c>
      <c r="D35" s="270">
        <v>17038</v>
      </c>
      <c r="E35" s="270">
        <v>13942</v>
      </c>
      <c r="F35" s="270">
        <v>13294</v>
      </c>
      <c r="G35" s="205">
        <v>-24338</v>
      </c>
      <c r="H35" s="205">
        <v>6380</v>
      </c>
      <c r="I35" s="205">
        <v>9842</v>
      </c>
      <c r="J35" s="205">
        <f t="shared" si="4"/>
        <v>8304</v>
      </c>
      <c r="K35" s="287">
        <v>188</v>
      </c>
      <c r="L35" s="287">
        <v>-16599</v>
      </c>
      <c r="M35" s="287">
        <f>('[2]Statements of Cash Flow'!$C$27+'[2]Statements of Cash Flow'!$C$28)-L35</f>
        <v>9232</v>
      </c>
      <c r="N35" s="287">
        <v>22947</v>
      </c>
      <c r="O35" s="287">
        <f t="shared" si="5"/>
        <v>15476</v>
      </c>
      <c r="P35" s="287">
        <f>'[4]Statements of Cash Flow'!C27+'[4]Statements of Cash Flow'!$C$28</f>
        <v>31056</v>
      </c>
      <c r="Q35" s="323">
        <f t="shared" si="6"/>
        <v>0</v>
      </c>
      <c r="R35" s="322">
        <f>'[5]Statements of Cash Flow'!$C$27+'[5]Statements of Cash Flow'!$C$28</f>
        <v>-36074</v>
      </c>
      <c r="S35" s="322">
        <f>'[6]Statements of Cash Flow'!$C$27+'[6]Statements of Cash Flow'!$C$28-R35</f>
        <v>8395</v>
      </c>
      <c r="T35" s="322">
        <f>'[7]Statements of Cash Flow'!$C$27+'[7]Statements of Cash Flow'!$C$28-SUM(R35:S35)</f>
        <v>15716</v>
      </c>
      <c r="U35" s="322">
        <f t="shared" si="7"/>
        <v>2403</v>
      </c>
      <c r="V35" s="322">
        <f>'[8]Statements of Cash Flow'!$C$27+'[8]Statements of Cash Flow'!$C$28</f>
        <v>-9560</v>
      </c>
      <c r="W35" s="322">
        <f>'[9]Statements of Cash Flow'!$C$27+'[9]Statements of Cash Flow'!$C$28</f>
        <v>-15155</v>
      </c>
      <c r="X35" s="322">
        <f>'[10]Statements of Cash Flow'!$C$27+'[10]Statements of Cash Flow'!$C$28-W35</f>
        <v>31278</v>
      </c>
    </row>
    <row r="36" spans="1:206" x14ac:dyDescent="0.25">
      <c r="A36" s="36" t="s">
        <v>177</v>
      </c>
      <c r="B36" s="270">
        <v>-1471</v>
      </c>
      <c r="C36" s="270">
        <v>354</v>
      </c>
      <c r="D36" s="270">
        <v>-1490</v>
      </c>
      <c r="E36" s="270">
        <v>13644</v>
      </c>
      <c r="F36" s="270">
        <v>11037</v>
      </c>
      <c r="G36" s="205">
        <v>-13906</v>
      </c>
      <c r="H36" s="205">
        <v>6301</v>
      </c>
      <c r="I36" s="205">
        <v>3377</v>
      </c>
      <c r="J36" s="205">
        <f t="shared" si="4"/>
        <v>-9919</v>
      </c>
      <c r="K36" s="287">
        <v>-14147</v>
      </c>
      <c r="L36" s="287">
        <v>-2099</v>
      </c>
      <c r="M36" s="287">
        <f>'[2]Statements of Cash Flow'!$C$23-L36</f>
        <v>3444</v>
      </c>
      <c r="N36" s="287">
        <v>4867</v>
      </c>
      <c r="O36" s="287">
        <f t="shared" si="5"/>
        <v>982</v>
      </c>
      <c r="P36" s="287">
        <f>'[4]Statements of Cash Flow'!$C$23</f>
        <v>7194</v>
      </c>
      <c r="Q36" s="323">
        <f t="shared" si="6"/>
        <v>0</v>
      </c>
      <c r="R36" s="322">
        <f>'[5]Statements of Cash Flow'!$C$23</f>
        <v>-1109</v>
      </c>
      <c r="S36" s="322">
        <f>'[6]Statements of Cash Flow'!$C$23-R36</f>
        <v>5555</v>
      </c>
      <c r="T36" s="322">
        <f>'[7]Statements of Cash Flow'!$C$23-SUM(R36:S36)</f>
        <v>2555</v>
      </c>
      <c r="U36" s="322">
        <f t="shared" si="7"/>
        <v>-6305</v>
      </c>
      <c r="V36" s="322">
        <f>'[8]Statements of Cash Flow'!$C$23</f>
        <v>696</v>
      </c>
      <c r="W36" s="322">
        <f>'[9]Statements of Cash Flow'!$C$23</f>
        <v>9057</v>
      </c>
      <c r="X36" s="322">
        <f>'[10]Statements of Cash Flow'!$C$23-W36</f>
        <v>-9018</v>
      </c>
    </row>
    <row r="37" spans="1:206" x14ac:dyDescent="0.25">
      <c r="A37" s="36" t="s">
        <v>31</v>
      </c>
      <c r="B37" s="270">
        <v>1569</v>
      </c>
      <c r="C37" s="270">
        <v>-1605</v>
      </c>
      <c r="D37" s="270">
        <v>1277</v>
      </c>
      <c r="E37" s="270">
        <v>-3465</v>
      </c>
      <c r="F37" s="270">
        <v>-2224</v>
      </c>
      <c r="G37" s="205">
        <v>-1789</v>
      </c>
      <c r="H37" s="205">
        <v>-2498</v>
      </c>
      <c r="I37" s="205">
        <v>-1697</v>
      </c>
      <c r="J37" s="205">
        <f t="shared" si="4"/>
        <v>-816</v>
      </c>
      <c r="K37" s="287">
        <v>-6800</v>
      </c>
      <c r="L37" s="287">
        <v>388</v>
      </c>
      <c r="M37" s="287">
        <f>'[2]Statements of Cash Flow'!$C$24-L37</f>
        <v>-262</v>
      </c>
      <c r="N37" s="287">
        <v>-1433</v>
      </c>
      <c r="O37" s="287">
        <f t="shared" si="5"/>
        <v>-897</v>
      </c>
      <c r="P37" s="287">
        <f>'[4]Statements of Cash Flow'!$C$24</f>
        <v>-2204</v>
      </c>
      <c r="Q37" s="323">
        <f t="shared" si="6"/>
        <v>0</v>
      </c>
      <c r="R37" s="322">
        <f>'[5]Statements of Cash Flow'!$C$24</f>
        <v>925</v>
      </c>
      <c r="S37" s="322">
        <f>'[6]Statements of Cash Flow'!$C$24-R37</f>
        <v>2121</v>
      </c>
      <c r="T37" s="322">
        <f>'[7]Statements of Cash Flow'!$C$24-SUM(R37:S37)</f>
        <v>50</v>
      </c>
      <c r="U37" s="322">
        <f t="shared" si="7"/>
        <v>3409</v>
      </c>
      <c r="V37" s="322">
        <f>'[8]Statements of Cash Flow'!$C$24</f>
        <v>6505</v>
      </c>
      <c r="W37" s="322">
        <f>'[9]Statements of Cash Flow'!$C$24</f>
        <v>1268</v>
      </c>
      <c r="X37" s="322">
        <f>'[10]Statements of Cash Flow'!$C$24-W37</f>
        <v>321</v>
      </c>
    </row>
    <row r="38" spans="1:206" x14ac:dyDescent="0.25">
      <c r="A38" s="36" t="s">
        <v>219</v>
      </c>
      <c r="B38" s="270"/>
      <c r="C38" s="270"/>
      <c r="D38" s="270"/>
      <c r="E38" s="270"/>
      <c r="F38" s="270">
        <v>0</v>
      </c>
      <c r="G38" s="287">
        <v>0</v>
      </c>
      <c r="H38" s="287">
        <v>0</v>
      </c>
      <c r="I38" s="287">
        <v>0</v>
      </c>
      <c r="J38" s="287">
        <v>0</v>
      </c>
      <c r="K38" s="287">
        <v>0</v>
      </c>
      <c r="L38" s="287">
        <v>0</v>
      </c>
      <c r="M38" s="287">
        <f>'[2]Statements of Cash Flow'!$C$29</f>
        <v>-13749</v>
      </c>
      <c r="N38" s="287">
        <v>-5679</v>
      </c>
      <c r="O38" s="287">
        <f t="shared" si="5"/>
        <v>-5385</v>
      </c>
      <c r="P38" s="287">
        <f>'[4]Statements of Cash Flow'!$C$29</f>
        <v>-24813</v>
      </c>
      <c r="Q38" s="323">
        <f t="shared" si="6"/>
        <v>0</v>
      </c>
      <c r="R38" s="322">
        <f>'[5]Statements of Cash Flow'!$C$29</f>
        <v>-6576</v>
      </c>
      <c r="S38" s="322">
        <f>'[6]Statements of Cash Flow'!$C$29-R38</f>
        <v>-6255</v>
      </c>
      <c r="T38" s="322">
        <f>'[7]Statements of Cash Flow'!$C$29-SUM(R38:S38)</f>
        <v>-6949</v>
      </c>
      <c r="U38" s="322">
        <f t="shared" si="7"/>
        <v>-6809</v>
      </c>
      <c r="V38" s="322">
        <f>'[8]Statements of Cash Flow'!$C$29</f>
        <v>-26589</v>
      </c>
      <c r="W38" s="322">
        <f>'[9]Statements of Cash Flow'!$C$29</f>
        <v>-6868</v>
      </c>
      <c r="X38" s="322">
        <f>'[10]Statements of Cash Flow'!$C$29-W38</f>
        <v>-6459</v>
      </c>
    </row>
    <row r="39" spans="1:206" s="8" customFormat="1" ht="13" x14ac:dyDescent="0.3">
      <c r="A39" s="54" t="s">
        <v>112</v>
      </c>
      <c r="B39" s="272">
        <f>SUM(B8:B38)</f>
        <v>6022.1680000000015</v>
      </c>
      <c r="C39" s="272">
        <f>SUM(C8:C38)</f>
        <v>39050.46550057143</v>
      </c>
      <c r="D39" s="272">
        <f>SUM(D8:D38)</f>
        <v>25354.029260000003</v>
      </c>
      <c r="E39" s="272">
        <f>SUM(E8:E38)</f>
        <v>42732.337239428569</v>
      </c>
      <c r="F39" s="272">
        <f>SUM(F8:F38)</f>
        <v>113159</v>
      </c>
      <c r="G39" s="191">
        <f t="shared" ref="G39:L39" si="8">SUM(G8:G38)</f>
        <v>-8005</v>
      </c>
      <c r="H39" s="191">
        <f t="shared" si="8"/>
        <v>21798</v>
      </c>
      <c r="I39" s="191">
        <f t="shared" si="8"/>
        <v>33058</v>
      </c>
      <c r="J39" s="191">
        <f t="shared" si="8"/>
        <v>45584.475935178678</v>
      </c>
      <c r="K39" s="191">
        <f t="shared" si="8"/>
        <v>92435.475935178692</v>
      </c>
      <c r="L39" s="191">
        <f t="shared" si="8"/>
        <v>8342.4759351786779</v>
      </c>
      <c r="M39" s="191">
        <f>SUM(M8:M38)</f>
        <v>39374.098391361404</v>
      </c>
      <c r="N39" s="191">
        <f>SUM(N8:N38)</f>
        <v>58237.828320000001</v>
      </c>
      <c r="O39" s="191">
        <f>SUM(O8:O38)</f>
        <v>62465.597353459918</v>
      </c>
      <c r="P39" s="191">
        <f>SUM(P8:P38)</f>
        <v>168420</v>
      </c>
      <c r="Q39" s="323">
        <f t="shared" si="6"/>
        <v>0</v>
      </c>
      <c r="R39" s="334">
        <f t="shared" ref="R39:X39" si="9">SUM(R8:R38)</f>
        <v>-13555</v>
      </c>
      <c r="S39" s="334">
        <f t="shared" si="9"/>
        <v>72462</v>
      </c>
      <c r="T39" s="334">
        <f t="shared" si="9"/>
        <v>67407</v>
      </c>
      <c r="U39" s="334">
        <f t="shared" si="9"/>
        <v>76659</v>
      </c>
      <c r="V39" s="334">
        <f t="shared" si="9"/>
        <v>202973</v>
      </c>
      <c r="W39" s="334">
        <f t="shared" si="9"/>
        <v>15205</v>
      </c>
      <c r="X39" s="334">
        <f t="shared" si="9"/>
        <v>38738</v>
      </c>
      <c r="Y39" s="1"/>
      <c r="Z39" s="1"/>
      <c r="AA39" s="385">
        <f>X39+X44</f>
        <v>31515</v>
      </c>
      <c r="AB39" s="1"/>
      <c r="AC39" s="1"/>
      <c r="AD39" s="1"/>
      <c r="AE39" s="1"/>
      <c r="AF39" s="1"/>
      <c r="AG39" s="1"/>
      <c r="AH39" s="1"/>
      <c r="AQ39" s="2"/>
      <c r="AR39" s="2"/>
      <c r="AS39" s="2"/>
      <c r="AT39" s="2"/>
      <c r="AU39" s="2"/>
      <c r="AV39" s="2"/>
      <c r="AW39" s="2"/>
      <c r="AX39" s="2"/>
      <c r="AY39" s="2"/>
      <c r="AZ39" s="2"/>
      <c r="BA39" s="2"/>
      <c r="BB39" s="2"/>
      <c r="BC39" s="2"/>
      <c r="BD39" s="2"/>
      <c r="BE39" s="2"/>
      <c r="BF39" s="2"/>
      <c r="BG39" s="2"/>
      <c r="BH39" s="2"/>
      <c r="BI39" s="2"/>
      <c r="BJ39" s="2"/>
      <c r="BK39" s="2"/>
    </row>
    <row r="40" spans="1:206" x14ac:dyDescent="0.25">
      <c r="A40" s="16"/>
      <c r="B40" s="271"/>
      <c r="C40" s="271"/>
      <c r="D40" s="271"/>
      <c r="E40" s="271"/>
      <c r="F40" s="271"/>
      <c r="K40" s="287"/>
      <c r="L40" s="287"/>
      <c r="M40" s="287"/>
      <c r="N40" s="287"/>
      <c r="O40" s="287"/>
      <c r="P40" s="287"/>
      <c r="Q40" s="56"/>
      <c r="R40" s="322"/>
      <c r="S40" s="322"/>
      <c r="T40" s="322"/>
      <c r="U40" s="322"/>
      <c r="V40" s="322"/>
      <c r="W40" s="322"/>
      <c r="X40" s="322"/>
      <c r="AA40" s="386">
        <f>AA39/'Income Statement'!W61</f>
        <v>0.91640011631288165</v>
      </c>
    </row>
    <row r="41" spans="1:206" ht="13" x14ac:dyDescent="0.3">
      <c r="A41" s="52" t="s">
        <v>113</v>
      </c>
      <c r="B41" s="274">
        <f t="shared" ref="B41:S41" si="10">SUM(B39:B39)</f>
        <v>6022.1680000000015</v>
      </c>
      <c r="C41" s="274">
        <f t="shared" si="10"/>
        <v>39050.46550057143</v>
      </c>
      <c r="D41" s="274">
        <f t="shared" si="10"/>
        <v>25354.029260000003</v>
      </c>
      <c r="E41" s="274">
        <f t="shared" si="10"/>
        <v>42732.337239428569</v>
      </c>
      <c r="F41" s="274">
        <f t="shared" si="10"/>
        <v>113159</v>
      </c>
      <c r="G41" s="193">
        <f t="shared" si="10"/>
        <v>-8005</v>
      </c>
      <c r="H41" s="193">
        <f t="shared" si="10"/>
        <v>21798</v>
      </c>
      <c r="I41" s="193">
        <f t="shared" si="10"/>
        <v>33058</v>
      </c>
      <c r="J41" s="193">
        <f t="shared" si="10"/>
        <v>45584.475935178678</v>
      </c>
      <c r="K41" s="193">
        <f t="shared" si="10"/>
        <v>92435.475935178692</v>
      </c>
      <c r="L41" s="193">
        <f t="shared" si="10"/>
        <v>8342.4759351786779</v>
      </c>
      <c r="M41" s="193">
        <f t="shared" si="10"/>
        <v>39374.098391361404</v>
      </c>
      <c r="N41" s="193">
        <f t="shared" si="10"/>
        <v>58237.828320000001</v>
      </c>
      <c r="O41" s="193">
        <f t="shared" si="10"/>
        <v>62465.597353459918</v>
      </c>
      <c r="P41" s="193">
        <f t="shared" si="10"/>
        <v>168420</v>
      </c>
      <c r="Q41" s="323"/>
      <c r="R41" s="193">
        <f>SUM(R39:R39)</f>
        <v>-13555</v>
      </c>
      <c r="S41" s="193">
        <f t="shared" si="10"/>
        <v>72462</v>
      </c>
      <c r="T41" s="193">
        <f>SUM(T39:T39)</f>
        <v>67407</v>
      </c>
      <c r="U41" s="193">
        <f>SUM(U39:U39)</f>
        <v>76659</v>
      </c>
      <c r="V41" s="193">
        <f>SUM(V39:V39)</f>
        <v>202973</v>
      </c>
      <c r="W41" s="193">
        <f>SUM(W39:W39)</f>
        <v>15205</v>
      </c>
      <c r="X41" s="193">
        <f>SUM(X39:X39)</f>
        <v>38738</v>
      </c>
      <c r="Y41" s="122"/>
      <c r="Z41" s="122"/>
      <c r="AA41" s="122"/>
      <c r="AB41" s="122"/>
      <c r="AC41" s="122"/>
      <c r="AD41" s="122"/>
      <c r="AE41" s="122"/>
      <c r="AF41" s="122"/>
      <c r="AG41" s="122"/>
      <c r="AH41" s="122"/>
      <c r="AI41" s="122"/>
      <c r="AJ41" s="122"/>
      <c r="AK41" s="122"/>
      <c r="AL41" s="122"/>
      <c r="AM41" s="122"/>
      <c r="AN41" s="122"/>
      <c r="AO41" s="122"/>
      <c r="AP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2"/>
      <c r="EC41" s="122"/>
      <c r="ED41" s="122"/>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c r="GR41" s="122"/>
      <c r="GS41" s="122"/>
      <c r="GT41" s="122"/>
      <c r="GU41" s="122"/>
      <c r="GV41" s="122"/>
      <c r="GW41" s="122"/>
      <c r="GX41" s="122"/>
    </row>
    <row r="42" spans="1:206" x14ac:dyDescent="0.25">
      <c r="A42" s="17" t="s">
        <v>21</v>
      </c>
      <c r="B42" s="268"/>
      <c r="C42" s="268"/>
      <c r="D42" s="268"/>
      <c r="E42" s="268"/>
      <c r="F42" s="268"/>
      <c r="K42" s="287"/>
      <c r="L42" s="287"/>
      <c r="M42" s="287"/>
      <c r="N42" s="287"/>
      <c r="O42" s="287"/>
      <c r="P42" s="287"/>
      <c r="Q42" s="56"/>
      <c r="R42" s="322"/>
      <c r="S42" s="322"/>
      <c r="T42" s="322"/>
      <c r="U42" s="322"/>
      <c r="V42" s="322"/>
      <c r="W42" s="322"/>
      <c r="X42" s="322"/>
    </row>
    <row r="43" spans="1:206" ht="13" x14ac:dyDescent="0.3">
      <c r="A43" s="13" t="s">
        <v>114</v>
      </c>
      <c r="B43" s="275"/>
      <c r="C43" s="275"/>
      <c r="D43" s="275"/>
      <c r="E43" s="275"/>
      <c r="F43" s="275"/>
      <c r="K43" s="287"/>
      <c r="L43" s="287"/>
      <c r="M43" s="287"/>
      <c r="N43" s="287"/>
      <c r="O43" s="287"/>
      <c r="P43" s="287"/>
      <c r="Q43" s="56"/>
      <c r="R43" s="322"/>
      <c r="S43" s="322"/>
      <c r="T43" s="322"/>
      <c r="U43" s="322"/>
      <c r="V43" s="322"/>
      <c r="W43" s="322"/>
      <c r="X43" s="322"/>
    </row>
    <row r="44" spans="1:206" x14ac:dyDescent="0.25">
      <c r="A44" s="15" t="s">
        <v>184</v>
      </c>
      <c r="B44" s="271">
        <v>-10114</v>
      </c>
      <c r="C44" s="271">
        <v>-10333</v>
      </c>
      <c r="D44" s="271">
        <v>-6312</v>
      </c>
      <c r="E44" s="271">
        <v>-8395</v>
      </c>
      <c r="F44" s="271">
        <v>-35154</v>
      </c>
      <c r="G44" s="249">
        <v>-12680</v>
      </c>
      <c r="H44" s="249">
        <v>-6616</v>
      </c>
      <c r="I44" s="249">
        <v>-10774</v>
      </c>
      <c r="J44" s="249">
        <f t="shared" ref="J44:J50" si="11">+K44-SUM(G44:I44)</f>
        <v>-10719</v>
      </c>
      <c r="K44" s="287">
        <f>'[8]Statements of Cash Flow'!$G$32</f>
        <v>-40789</v>
      </c>
      <c r="L44" s="287">
        <v>-10878</v>
      </c>
      <c r="M44" s="287">
        <f>'[2]Statements of Cash Flow'!$C$32-L44</f>
        <v>-11409</v>
      </c>
      <c r="N44" s="287">
        <f>-10021</f>
        <v>-10021</v>
      </c>
      <c r="O44" s="287">
        <f t="shared" ref="O44:O49" si="12">+P44-SUM(L44:N44)</f>
        <v>-8237</v>
      </c>
      <c r="P44" s="287">
        <f>'[8]Statements of Cash Flow'!$E$32</f>
        <v>-40545</v>
      </c>
      <c r="Q44" s="323">
        <f t="shared" ref="Q44:Q51" si="13">SUM(L44:O44)-P44</f>
        <v>0</v>
      </c>
      <c r="R44" s="322">
        <f>'[9]Statements of Cash Flow'!$E$32</f>
        <v>-12347</v>
      </c>
      <c r="S44" s="322">
        <f>'[6]Statements of Cash Flow'!$C$32-R44-R45-S45</f>
        <v>-10004</v>
      </c>
      <c r="T44" s="322">
        <f>'[7]Statements of Cash Flow'!$C$32-SUM(R44:S44)</f>
        <v>-12263</v>
      </c>
      <c r="U44" s="322">
        <f t="shared" ref="U44:U49" si="14">+V44-SUM(R44:T44)</f>
        <v>-7610</v>
      </c>
      <c r="V44" s="322">
        <f>'[8]Statements of Cash Flow'!$C$32</f>
        <v>-42224</v>
      </c>
      <c r="W44" s="322">
        <f>'[9]Statements of Cash Flow'!$C$32</f>
        <v>-12680</v>
      </c>
      <c r="X44" s="322">
        <f>'[10]Statements of Cash Flow'!$C$32-W44</f>
        <v>-7223</v>
      </c>
    </row>
    <row r="45" spans="1:206" x14ac:dyDescent="0.25">
      <c r="A45" s="15" t="s">
        <v>258</v>
      </c>
      <c r="B45" s="271"/>
      <c r="C45" s="271"/>
      <c r="D45" s="271"/>
      <c r="E45" s="271"/>
      <c r="F45" s="356">
        <v>0</v>
      </c>
      <c r="G45" s="249"/>
      <c r="H45" s="249"/>
      <c r="I45" s="249"/>
      <c r="J45" s="249">
        <f>K45</f>
        <v>352</v>
      </c>
      <c r="K45" s="287">
        <f>'[8]Statements of Cash Flow'!$G$33</f>
        <v>352</v>
      </c>
      <c r="L45" s="287">
        <v>0</v>
      </c>
      <c r="M45" s="287">
        <v>0</v>
      </c>
      <c r="N45" s="287">
        <v>0</v>
      </c>
      <c r="O45" s="287">
        <f>P45</f>
        <v>407</v>
      </c>
      <c r="P45" s="287">
        <f>'[8]Statements of Cash Flow'!$E$33</f>
        <v>407</v>
      </c>
      <c r="Q45" s="323"/>
      <c r="R45" s="322">
        <f>'[9]Statements of Cash Flow'!$E$33</f>
        <v>73</v>
      </c>
      <c r="S45" s="322">
        <f>'[10]Statements of Cash Flow'!$E$33-R45</f>
        <v>227</v>
      </c>
      <c r="T45" s="322">
        <f>'[7]Statements of Cash Flow'!$C$33-SUM(R45:S45)</f>
        <v>324</v>
      </c>
      <c r="U45" s="322">
        <f t="shared" si="14"/>
        <v>292</v>
      </c>
      <c r="V45" s="322">
        <f>'[8]Statements of Cash Flow'!$C$33</f>
        <v>916</v>
      </c>
      <c r="W45" s="322">
        <f>'[9]Statements of Cash Flow'!$C$33</f>
        <v>129</v>
      </c>
      <c r="X45" s="322">
        <f>'[10]Statements of Cash Flow'!$C$33-W45</f>
        <v>398</v>
      </c>
    </row>
    <row r="46" spans="1:206" x14ac:dyDescent="0.25">
      <c r="A46" s="15" t="s">
        <v>180</v>
      </c>
      <c r="B46" s="225">
        <v>0</v>
      </c>
      <c r="C46" s="225">
        <v>0</v>
      </c>
      <c r="D46" s="225">
        <v>0</v>
      </c>
      <c r="E46" s="225">
        <v>-3000</v>
      </c>
      <c r="F46" s="214">
        <v>-3000</v>
      </c>
      <c r="G46" s="204">
        <v>0</v>
      </c>
      <c r="H46" s="204">
        <v>0</v>
      </c>
      <c r="I46" s="204">
        <v>0</v>
      </c>
      <c r="J46" s="204">
        <f t="shared" si="11"/>
        <v>0</v>
      </c>
      <c r="K46" s="287">
        <v>0</v>
      </c>
      <c r="L46" s="287">
        <v>0</v>
      </c>
      <c r="M46" s="287">
        <v>0</v>
      </c>
      <c r="N46" s="287">
        <v>0</v>
      </c>
      <c r="O46" s="287">
        <f t="shared" si="12"/>
        <v>0</v>
      </c>
      <c r="P46" s="287">
        <v>0</v>
      </c>
      <c r="Q46" s="323">
        <f t="shared" si="13"/>
        <v>0</v>
      </c>
      <c r="R46" s="322">
        <f>'[5]Statements of Cash Flow'!$C$33</f>
        <v>-700</v>
      </c>
      <c r="S46" s="322">
        <f>'[6]Statements of Cash Flow'!$C$33-R46</f>
        <v>0</v>
      </c>
      <c r="T46" s="322">
        <f>'[7]Statements of Cash Flow'!$C$34-SUM(R46:S46)</f>
        <v>0</v>
      </c>
      <c r="U46" s="322">
        <f t="shared" si="14"/>
        <v>0</v>
      </c>
      <c r="V46" s="322">
        <f>'[8]Statements of Cash Flow'!$C$34</f>
        <v>-700</v>
      </c>
      <c r="W46" s="322">
        <f>'[9]Statements of Cash Flow'!$C$34</f>
        <v>0</v>
      </c>
      <c r="X46" s="322">
        <f>'[10]Statements of Cash Flow'!$C$34</f>
        <v>0</v>
      </c>
    </row>
    <row r="47" spans="1:206" x14ac:dyDescent="0.25">
      <c r="A47" s="15" t="s">
        <v>173</v>
      </c>
      <c r="B47" s="270">
        <v>0</v>
      </c>
      <c r="C47" s="270">
        <v>0</v>
      </c>
      <c r="D47" s="270">
        <v>-724</v>
      </c>
      <c r="E47" s="270">
        <v>-22576</v>
      </c>
      <c r="F47" s="270">
        <v>-23300</v>
      </c>
      <c r="G47" s="205">
        <v>-380</v>
      </c>
      <c r="H47" s="205">
        <v>-115</v>
      </c>
      <c r="I47" s="205">
        <v>-231423</v>
      </c>
      <c r="J47" s="205">
        <f t="shared" si="11"/>
        <v>89</v>
      </c>
      <c r="K47" s="287">
        <v>-231829</v>
      </c>
      <c r="L47" s="287">
        <v>0</v>
      </c>
      <c r="M47" s="287">
        <f>'[2]Statements of Cash Flow'!$C$34</f>
        <v>0</v>
      </c>
      <c r="N47" s="287">
        <v>0</v>
      </c>
      <c r="O47" s="287">
        <f t="shared" si="12"/>
        <v>0</v>
      </c>
      <c r="P47" s="287">
        <f>'[4]Statements of Cash Flow'!$C$35</f>
        <v>0</v>
      </c>
      <c r="Q47" s="323">
        <f t="shared" si="13"/>
        <v>0</v>
      </c>
      <c r="R47" s="322">
        <f>'[5]Statements of Cash Flow'!$C$35</f>
        <v>0</v>
      </c>
      <c r="S47" s="322">
        <f>'[6]Statements of Cash Flow'!$C$35-R47</f>
        <v>0</v>
      </c>
      <c r="T47" s="322">
        <f>'[7]Statements of Cash Flow'!$C$36-SUM(R47:S47)</f>
        <v>0</v>
      </c>
      <c r="U47" s="322">
        <f t="shared" si="14"/>
        <v>0</v>
      </c>
      <c r="V47" s="322">
        <f>'[8]Statements of Cash Flow'!$C$36</f>
        <v>0</v>
      </c>
      <c r="W47" s="322">
        <f>'[9]Statements of Cash Flow'!$C$36</f>
        <v>0</v>
      </c>
      <c r="X47" s="322">
        <f>'[10]Statements of Cash Flow'!$C$36</f>
        <v>0</v>
      </c>
    </row>
    <row r="48" spans="1:206" x14ac:dyDescent="0.25">
      <c r="A48" s="15" t="s">
        <v>217</v>
      </c>
      <c r="B48" s="270"/>
      <c r="C48" s="270"/>
      <c r="D48" s="270"/>
      <c r="E48" s="270"/>
      <c r="F48" s="270"/>
      <c r="G48" s="33">
        <v>0</v>
      </c>
      <c r="H48" s="33">
        <v>0</v>
      </c>
      <c r="I48" s="33">
        <v>0</v>
      </c>
      <c r="J48" s="33">
        <v>0</v>
      </c>
      <c r="K48" s="33">
        <v>0</v>
      </c>
      <c r="L48" s="33">
        <v>0</v>
      </c>
      <c r="M48" s="287">
        <f>'[2]Statements of Cash Flow'!$C$33-L48</f>
        <v>-241</v>
      </c>
      <c r="N48" s="287">
        <v>0</v>
      </c>
      <c r="O48" s="287">
        <f t="shared" si="12"/>
        <v>0</v>
      </c>
      <c r="P48" s="287">
        <f>'[4]Statements of Cash Flow'!$C$34</f>
        <v>-241</v>
      </c>
      <c r="Q48" s="323">
        <f t="shared" si="13"/>
        <v>0</v>
      </c>
      <c r="R48" s="322">
        <f>'[5]Statements of Cash Flow'!$C$34</f>
        <v>0</v>
      </c>
      <c r="S48" s="322">
        <f>'[6]Statements of Cash Flow'!$C$34-R48</f>
        <v>0</v>
      </c>
      <c r="T48" s="322">
        <f>'[7]Statements of Cash Flow'!$C$35-SUM(R48:S48)</f>
        <v>0</v>
      </c>
      <c r="U48" s="322">
        <f t="shared" si="14"/>
        <v>0</v>
      </c>
      <c r="V48" s="322">
        <f>'[8]Statements of Cash Flow'!$C$35</f>
        <v>0</v>
      </c>
      <c r="W48" s="322">
        <f>'[9]Statements of Cash Flow'!$C$35</f>
        <v>0</v>
      </c>
      <c r="X48" s="322">
        <f>'[10]Statements of Cash Flow'!$C$35</f>
        <v>0</v>
      </c>
    </row>
    <row r="49" spans="1:206" x14ac:dyDescent="0.25">
      <c r="A49" s="15" t="s">
        <v>119</v>
      </c>
      <c r="B49" s="270">
        <v>-129837</v>
      </c>
      <c r="C49" s="270">
        <v>-39585</v>
      </c>
      <c r="D49" s="270">
        <v>-28475</v>
      </c>
      <c r="E49" s="270">
        <v>-204824</v>
      </c>
      <c r="F49" s="270">
        <v>-402721</v>
      </c>
      <c r="G49" s="205">
        <v>-20310</v>
      </c>
      <c r="H49" s="205">
        <v>-20353</v>
      </c>
      <c r="I49" s="205">
        <v>-17294</v>
      </c>
      <c r="J49" s="205">
        <f t="shared" si="11"/>
        <v>-75477</v>
      </c>
      <c r="K49" s="287">
        <v>-133434</v>
      </c>
      <c r="L49" s="287">
        <v>-47683</v>
      </c>
      <c r="M49" s="287">
        <f>'[2]Statements of Cash Flow'!C35-L49</f>
        <v>-20505</v>
      </c>
      <c r="N49" s="287">
        <v>-49746</v>
      </c>
      <c r="O49" s="287">
        <f t="shared" si="12"/>
        <v>-70040</v>
      </c>
      <c r="P49" s="287">
        <f>'[4]Statements of Cash Flow'!C36</f>
        <v>-187974</v>
      </c>
      <c r="Q49" s="323">
        <f t="shared" si="13"/>
        <v>0</v>
      </c>
      <c r="R49" s="322">
        <f>'[5]Statements of Cash Flow'!$C$36</f>
        <v>-23830</v>
      </c>
      <c r="S49" s="322">
        <f>'[6]Statements of Cash Flow'!$C$36-R49</f>
        <v>-25197</v>
      </c>
      <c r="T49" s="322">
        <f>'[7]Statements of Cash Flow'!$C$37-SUM(R49:S49)</f>
        <v>-8938</v>
      </c>
      <c r="U49" s="322">
        <f t="shared" si="14"/>
        <v>-44497</v>
      </c>
      <c r="V49" s="322">
        <f>'[8]Statements of Cash Flow'!$C$37</f>
        <v>-102462</v>
      </c>
      <c r="W49" s="322">
        <f>'[9]Statements of Cash Flow'!$C$37</f>
        <v>-18835</v>
      </c>
      <c r="X49" s="322">
        <f>'[10]Statements of Cash Flow'!$C$37-W49</f>
        <v>-14152</v>
      </c>
    </row>
    <row r="50" spans="1:206" x14ac:dyDescent="0.25">
      <c r="A50" s="15" t="s">
        <v>120</v>
      </c>
      <c r="B50" s="270">
        <v>22879</v>
      </c>
      <c r="C50" s="270">
        <v>16596</v>
      </c>
      <c r="D50" s="270">
        <v>14763</v>
      </c>
      <c r="E50" s="270">
        <v>187201</v>
      </c>
      <c r="F50" s="270">
        <v>241439</v>
      </c>
      <c r="G50" s="205">
        <v>30358</v>
      </c>
      <c r="H50" s="205">
        <v>30453</v>
      </c>
      <c r="I50" s="205">
        <v>18725</v>
      </c>
      <c r="J50" s="205">
        <f t="shared" si="11"/>
        <v>48672</v>
      </c>
      <c r="K50" s="287">
        <v>128208</v>
      </c>
      <c r="L50" s="287">
        <v>21361</v>
      </c>
      <c r="M50" s="287">
        <f>'[2]Statements of Cash Flow'!C36-L50</f>
        <v>70308</v>
      </c>
      <c r="N50" s="287">
        <v>37474</v>
      </c>
      <c r="O50" s="287">
        <f>+P50-SUM(L50:N50)</f>
        <v>47825</v>
      </c>
      <c r="P50" s="287">
        <f>'[4]Statements of Cash Flow'!C37</f>
        <v>176968</v>
      </c>
      <c r="Q50" s="323">
        <f t="shared" si="13"/>
        <v>0</v>
      </c>
      <c r="R50" s="322">
        <f>'[5]Statements of Cash Flow'!$C$37</f>
        <v>72844</v>
      </c>
      <c r="S50" s="322">
        <f>'[6]Statements of Cash Flow'!$C$37-R50</f>
        <v>0</v>
      </c>
      <c r="T50" s="322">
        <f>'[7]Statements of Cash Flow'!$C$38-SUM(R50:S50)</f>
        <v>30874</v>
      </c>
      <c r="U50" s="322">
        <f>+V50-SUM(R50:T50)</f>
        <v>22436</v>
      </c>
      <c r="V50" s="322">
        <f>'[8]Statements of Cash Flow'!$C$38</f>
        <v>126154</v>
      </c>
      <c r="W50" s="322">
        <f>'[9]Statements of Cash Flow'!$C$38</f>
        <v>5357</v>
      </c>
      <c r="X50" s="322">
        <f>'[10]Statements of Cash Flow'!$C$38-W50</f>
        <v>58674</v>
      </c>
    </row>
    <row r="51" spans="1:206" s="8" customFormat="1" ht="13" x14ac:dyDescent="0.3">
      <c r="A51" s="54" t="s">
        <v>78</v>
      </c>
      <c r="B51" s="272">
        <f>SUM(B44:B50)</f>
        <v>-117072</v>
      </c>
      <c r="C51" s="272">
        <f>SUM(C44:C50)</f>
        <v>-33322</v>
      </c>
      <c r="D51" s="272">
        <f>SUM(D44:D50)</f>
        <v>-20748</v>
      </c>
      <c r="E51" s="272">
        <f>SUM(E44:E50)</f>
        <v>-51594</v>
      </c>
      <c r="F51" s="272">
        <f>SUM(F44:F50)</f>
        <v>-222736</v>
      </c>
      <c r="G51" s="191">
        <f t="shared" ref="G51:M51" si="15">SUM(G44:G50)</f>
        <v>-3012</v>
      </c>
      <c r="H51" s="191">
        <f t="shared" si="15"/>
        <v>3369</v>
      </c>
      <c r="I51" s="191">
        <f t="shared" si="15"/>
        <v>-240766</v>
      </c>
      <c r="J51" s="191">
        <f t="shared" si="15"/>
        <v>-37083</v>
      </c>
      <c r="K51" s="191">
        <f t="shared" si="15"/>
        <v>-277492</v>
      </c>
      <c r="L51" s="191">
        <f t="shared" si="15"/>
        <v>-37200</v>
      </c>
      <c r="M51" s="191">
        <f t="shared" si="15"/>
        <v>38153</v>
      </c>
      <c r="N51" s="191">
        <f>SUM(N44:N50)</f>
        <v>-22293</v>
      </c>
      <c r="O51" s="191">
        <f>SUM(O44:O50)</f>
        <v>-30045</v>
      </c>
      <c r="P51" s="191">
        <f>SUM(P44:P50)</f>
        <v>-51385</v>
      </c>
      <c r="Q51" s="323">
        <f t="shared" si="13"/>
        <v>0</v>
      </c>
      <c r="R51" s="334">
        <f t="shared" ref="R51:X51" si="16">SUM(R44:R50)</f>
        <v>36040</v>
      </c>
      <c r="S51" s="334">
        <f t="shared" si="16"/>
        <v>-34974</v>
      </c>
      <c r="T51" s="334">
        <f t="shared" si="16"/>
        <v>9997</v>
      </c>
      <c r="U51" s="334">
        <f t="shared" si="16"/>
        <v>-29379</v>
      </c>
      <c r="V51" s="334">
        <f t="shared" si="16"/>
        <v>-18316</v>
      </c>
      <c r="W51" s="334">
        <f t="shared" si="16"/>
        <v>-26029</v>
      </c>
      <c r="X51" s="334">
        <f t="shared" si="16"/>
        <v>37697</v>
      </c>
      <c r="Y51" s="1"/>
      <c r="Z51" s="1"/>
      <c r="AA51" s="1"/>
      <c r="AB51" s="1"/>
      <c r="AC51" s="1"/>
      <c r="AD51" s="1"/>
      <c r="AE51" s="1"/>
      <c r="AF51" s="1"/>
      <c r="AG51" s="1"/>
      <c r="AH51" s="1"/>
      <c r="AQ51" s="2"/>
      <c r="AR51" s="2"/>
      <c r="AS51" s="2"/>
      <c r="AT51" s="2"/>
      <c r="AU51" s="2"/>
      <c r="AV51" s="2"/>
      <c r="AW51" s="2"/>
      <c r="AX51" s="2"/>
      <c r="AY51" s="2"/>
      <c r="AZ51" s="2"/>
      <c r="BA51" s="2"/>
      <c r="BB51" s="2"/>
      <c r="BC51" s="2"/>
      <c r="BD51" s="2"/>
      <c r="BE51" s="2"/>
      <c r="BF51" s="2"/>
      <c r="BG51" s="2"/>
      <c r="BH51" s="2"/>
      <c r="BI51" s="2"/>
      <c r="BJ51" s="2"/>
      <c r="BK51" s="2"/>
    </row>
    <row r="52" spans="1:206" s="8" customFormat="1" ht="13" x14ac:dyDescent="0.3">
      <c r="A52" s="55" t="s">
        <v>79</v>
      </c>
      <c r="B52" s="273">
        <v>0</v>
      </c>
      <c r="C52" s="273">
        <v>0</v>
      </c>
      <c r="D52" s="273">
        <v>0</v>
      </c>
      <c r="E52" s="273">
        <v>0</v>
      </c>
      <c r="F52" s="273">
        <v>0</v>
      </c>
      <c r="G52" s="206">
        <v>0</v>
      </c>
      <c r="H52" s="206">
        <v>0</v>
      </c>
      <c r="I52" s="206">
        <v>0</v>
      </c>
      <c r="J52" s="206">
        <v>0</v>
      </c>
      <c r="K52" s="206">
        <v>0</v>
      </c>
      <c r="L52" s="206">
        <v>0</v>
      </c>
      <c r="M52" s="206">
        <v>0</v>
      </c>
      <c r="N52" s="206">
        <v>0</v>
      </c>
      <c r="O52" s="206">
        <v>0</v>
      </c>
      <c r="P52" s="206">
        <v>0</v>
      </c>
      <c r="Q52" s="1"/>
      <c r="R52" s="335">
        <v>0</v>
      </c>
      <c r="S52" s="335">
        <v>0</v>
      </c>
      <c r="T52" s="335">
        <v>0</v>
      </c>
      <c r="U52" s="335">
        <v>0</v>
      </c>
      <c r="V52" s="335">
        <v>0</v>
      </c>
      <c r="W52" s="335">
        <v>0</v>
      </c>
      <c r="X52" s="335">
        <v>0</v>
      </c>
      <c r="Y52" s="1"/>
      <c r="Z52" s="1"/>
      <c r="AA52" s="1"/>
      <c r="AB52" s="1"/>
      <c r="AC52" s="1"/>
      <c r="AD52" s="1"/>
      <c r="AE52" s="1"/>
      <c r="AF52" s="1"/>
      <c r="AG52" s="1"/>
      <c r="AH52" s="1"/>
      <c r="AQ52" s="2"/>
      <c r="AR52" s="2"/>
      <c r="AS52" s="2"/>
      <c r="AT52" s="2"/>
      <c r="AU52" s="2"/>
      <c r="AV52" s="2"/>
      <c r="AW52" s="2"/>
      <c r="AX52" s="2"/>
      <c r="AY52" s="2"/>
      <c r="AZ52" s="2"/>
      <c r="BA52" s="2"/>
      <c r="BB52" s="2"/>
      <c r="BC52" s="2"/>
      <c r="BD52" s="2"/>
      <c r="BE52" s="2"/>
      <c r="BF52" s="2"/>
      <c r="BG52" s="2"/>
      <c r="BH52" s="2"/>
      <c r="BI52" s="2"/>
      <c r="BJ52" s="2"/>
      <c r="BK52" s="2"/>
    </row>
    <row r="53" spans="1:206" x14ac:dyDescent="0.25">
      <c r="A53" s="16"/>
      <c r="B53" s="271"/>
      <c r="C53" s="271"/>
      <c r="D53" s="271"/>
      <c r="E53" s="271"/>
      <c r="F53" s="271"/>
      <c r="K53" s="189"/>
      <c r="L53" s="189"/>
      <c r="M53" s="189"/>
      <c r="N53" s="316"/>
      <c r="O53" s="316"/>
      <c r="P53" s="316"/>
      <c r="Q53" s="56"/>
      <c r="R53" s="336"/>
      <c r="S53" s="336"/>
      <c r="T53" s="336"/>
      <c r="U53" s="336"/>
      <c r="V53" s="336"/>
      <c r="W53" s="336"/>
      <c r="X53" s="336"/>
    </row>
    <row r="54" spans="1:206" ht="13" x14ac:dyDescent="0.3">
      <c r="A54" s="52" t="s">
        <v>207</v>
      </c>
      <c r="B54" s="274">
        <f t="shared" ref="B54:P54" si="17">SUM(B51:B52)</f>
        <v>-117072</v>
      </c>
      <c r="C54" s="274">
        <f t="shared" si="17"/>
        <v>-33322</v>
      </c>
      <c r="D54" s="274">
        <f t="shared" si="17"/>
        <v>-20748</v>
      </c>
      <c r="E54" s="274">
        <f t="shared" si="17"/>
        <v>-51594</v>
      </c>
      <c r="F54" s="274">
        <f t="shared" si="17"/>
        <v>-222736</v>
      </c>
      <c r="G54" s="193">
        <f t="shared" si="17"/>
        <v>-3012</v>
      </c>
      <c r="H54" s="193">
        <f t="shared" si="17"/>
        <v>3369</v>
      </c>
      <c r="I54" s="193">
        <f t="shared" si="17"/>
        <v>-240766</v>
      </c>
      <c r="J54" s="193">
        <f t="shared" si="17"/>
        <v>-37083</v>
      </c>
      <c r="K54" s="193">
        <f t="shared" si="17"/>
        <v>-277492</v>
      </c>
      <c r="L54" s="193">
        <f t="shared" si="17"/>
        <v>-37200</v>
      </c>
      <c r="M54" s="193">
        <f t="shared" si="17"/>
        <v>38153</v>
      </c>
      <c r="N54" s="193">
        <f t="shared" si="17"/>
        <v>-22293</v>
      </c>
      <c r="O54" s="193">
        <f t="shared" si="17"/>
        <v>-30045</v>
      </c>
      <c r="P54" s="193">
        <f t="shared" si="17"/>
        <v>-51385</v>
      </c>
      <c r="Q54" s="323">
        <f>SUM(L54:O54)-P54</f>
        <v>0</v>
      </c>
      <c r="R54" s="193">
        <f t="shared" ref="R54:X54" si="18">SUM(R51:R52)</f>
        <v>36040</v>
      </c>
      <c r="S54" s="193">
        <f t="shared" si="18"/>
        <v>-34974</v>
      </c>
      <c r="T54" s="193">
        <f t="shared" si="18"/>
        <v>9997</v>
      </c>
      <c r="U54" s="193">
        <f t="shared" si="18"/>
        <v>-29379</v>
      </c>
      <c r="V54" s="193">
        <f t="shared" si="18"/>
        <v>-18316</v>
      </c>
      <c r="W54" s="193">
        <f t="shared" si="18"/>
        <v>-26029</v>
      </c>
      <c r="X54" s="193">
        <f t="shared" si="18"/>
        <v>37697</v>
      </c>
      <c r="Y54" s="122"/>
      <c r="Z54" s="122"/>
      <c r="AA54" s="122"/>
      <c r="AB54" s="122"/>
      <c r="AC54" s="122"/>
      <c r="AD54" s="122"/>
      <c r="AE54" s="122"/>
      <c r="AF54" s="122"/>
      <c r="AG54" s="122"/>
      <c r="AH54" s="122"/>
      <c r="AI54" s="122"/>
      <c r="AJ54" s="122"/>
      <c r="AK54" s="122"/>
      <c r="AL54" s="122"/>
      <c r="AM54" s="122"/>
      <c r="AN54" s="122"/>
      <c r="AO54" s="122"/>
      <c r="AP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row>
    <row r="55" spans="1:206" x14ac:dyDescent="0.25">
      <c r="A55" s="17" t="s">
        <v>21</v>
      </c>
      <c r="B55" s="268"/>
      <c r="C55" s="268"/>
      <c r="D55" s="268"/>
      <c r="E55" s="268"/>
      <c r="F55" s="268"/>
      <c r="K55" s="287"/>
      <c r="L55" s="287"/>
      <c r="M55" s="287"/>
      <c r="N55" s="287"/>
      <c r="O55" s="287"/>
      <c r="P55" s="287"/>
      <c r="Q55" s="56"/>
      <c r="R55" s="322"/>
      <c r="S55" s="322"/>
      <c r="T55" s="322"/>
      <c r="U55" s="322"/>
      <c r="V55" s="322"/>
      <c r="W55" s="322"/>
      <c r="X55" s="322"/>
    </row>
    <row r="56" spans="1:206" ht="13" x14ac:dyDescent="0.3">
      <c r="A56" s="13" t="s">
        <v>115</v>
      </c>
      <c r="B56" s="268"/>
      <c r="C56" s="268"/>
      <c r="D56" s="268"/>
      <c r="E56" s="268"/>
      <c r="F56" s="268"/>
      <c r="K56" s="287"/>
      <c r="L56" s="287"/>
      <c r="M56" s="287"/>
      <c r="N56" s="287"/>
      <c r="O56" s="287"/>
      <c r="P56" s="287"/>
      <c r="Q56" s="56"/>
      <c r="R56" s="322"/>
      <c r="S56" s="322"/>
      <c r="T56" s="322"/>
      <c r="U56" s="322"/>
      <c r="V56" s="322"/>
      <c r="W56" s="322"/>
      <c r="X56" s="322"/>
    </row>
    <row r="57" spans="1:206" x14ac:dyDescent="0.25">
      <c r="A57" s="15" t="s">
        <v>40</v>
      </c>
      <c r="B57" s="277">
        <v>0</v>
      </c>
      <c r="C57" s="277">
        <v>0</v>
      </c>
      <c r="D57" s="277">
        <v>0</v>
      </c>
      <c r="E57" s="277">
        <v>0</v>
      </c>
      <c r="F57" s="277">
        <v>0</v>
      </c>
      <c r="G57" s="207">
        <v>0</v>
      </c>
      <c r="H57" s="207">
        <v>0</v>
      </c>
      <c r="I57" s="207">
        <v>0</v>
      </c>
      <c r="J57" s="207">
        <f t="shared" ref="J57:J71" si="19">+K57-SUM(G57:I57)</f>
        <v>0</v>
      </c>
      <c r="K57" s="287">
        <v>0</v>
      </c>
      <c r="L57" s="287">
        <v>0</v>
      </c>
      <c r="M57" s="287">
        <v>0</v>
      </c>
      <c r="N57" s="287">
        <v>0</v>
      </c>
      <c r="O57" s="287">
        <f t="shared" ref="O57:O71" si="20">+P57-SUM(L57:N57)</f>
        <v>0</v>
      </c>
      <c r="P57" s="287">
        <v>0</v>
      </c>
      <c r="Q57" s="323">
        <f t="shared" ref="Q57:Q72" si="21">SUM(L57:O57)-P57</f>
        <v>0</v>
      </c>
      <c r="R57" s="322">
        <v>0</v>
      </c>
      <c r="S57" s="322">
        <v>0</v>
      </c>
      <c r="T57" s="322">
        <v>0</v>
      </c>
      <c r="U57" s="322">
        <v>0</v>
      </c>
      <c r="V57" s="322">
        <v>0</v>
      </c>
      <c r="W57" s="322">
        <v>0</v>
      </c>
      <c r="X57" s="322">
        <v>0</v>
      </c>
      <c r="Y57" s="2"/>
      <c r="Z57" s="2"/>
      <c r="AA57" s="2"/>
      <c r="AB57" s="2"/>
      <c r="AC57" s="2"/>
      <c r="AD57" s="2"/>
      <c r="AE57" s="2"/>
      <c r="AF57" s="2"/>
      <c r="AG57" s="2"/>
      <c r="AH57" s="2"/>
    </row>
    <row r="58" spans="1:206" x14ac:dyDescent="0.25">
      <c r="A58" s="15" t="s">
        <v>185</v>
      </c>
      <c r="B58" s="270">
        <v>0</v>
      </c>
      <c r="C58" s="270">
        <v>0</v>
      </c>
      <c r="D58" s="270">
        <v>0</v>
      </c>
      <c r="E58" s="270">
        <v>60574</v>
      </c>
      <c r="F58" s="270">
        <v>60574</v>
      </c>
      <c r="G58" s="250">
        <v>12000</v>
      </c>
      <c r="H58" s="250">
        <v>0</v>
      </c>
      <c r="I58" s="250">
        <v>233000</v>
      </c>
      <c r="J58" s="250">
        <f t="shared" si="19"/>
        <v>1614</v>
      </c>
      <c r="K58" s="287">
        <v>246614</v>
      </c>
      <c r="L58" s="287">
        <v>46000</v>
      </c>
      <c r="M58" s="287">
        <f>'[2]Statements of Cash Flow'!$C$40-L58</f>
        <v>0</v>
      </c>
      <c r="N58" s="287">
        <v>0</v>
      </c>
      <c r="O58" s="287">
        <f t="shared" si="20"/>
        <v>0</v>
      </c>
      <c r="P58" s="287">
        <f>'[4]Statements of Cash Flow'!$C$41</f>
        <v>46000</v>
      </c>
      <c r="Q58" s="323">
        <f t="shared" si="21"/>
        <v>0</v>
      </c>
      <c r="R58" s="322">
        <f>'[5]Statements of Cash Flow'!$C$41</f>
        <v>110000</v>
      </c>
      <c r="S58" s="322">
        <f>'[6]Statements of Cash Flow'!$C$41-R58</f>
        <v>0</v>
      </c>
      <c r="T58" s="322">
        <f>'[7]Statements of Cash Flow'!$C$42-SUM(R58:S58)</f>
        <v>0</v>
      </c>
      <c r="U58" s="322">
        <f>+V58-SUM(R58:T58)</f>
        <v>0</v>
      </c>
      <c r="V58" s="322">
        <f>'[8]Statements of Cash Flow'!$C$42</f>
        <v>110000</v>
      </c>
      <c r="W58" s="322">
        <f>'[9]Statements of Cash Flow'!$C$42</f>
        <v>25000</v>
      </c>
      <c r="X58" s="322">
        <f>'[10]Statements of Cash Flow'!$C$42-W58</f>
        <v>0</v>
      </c>
      <c r="Y58" s="2"/>
      <c r="Z58" s="2"/>
      <c r="AA58" s="2"/>
      <c r="AB58" s="2"/>
      <c r="AC58" s="2"/>
      <c r="AD58" s="2"/>
      <c r="AE58" s="2"/>
      <c r="AF58" s="2"/>
      <c r="AG58" s="2"/>
      <c r="AH58" s="2"/>
    </row>
    <row r="59" spans="1:206" x14ac:dyDescent="0.25">
      <c r="A59" s="15" t="s">
        <v>186</v>
      </c>
      <c r="B59" s="270">
        <v>0</v>
      </c>
      <c r="C59" s="270">
        <v>0</v>
      </c>
      <c r="D59" s="270">
        <v>0</v>
      </c>
      <c r="E59" s="270">
        <v>-45192</v>
      </c>
      <c r="F59" s="270">
        <v>-45192</v>
      </c>
      <c r="G59" s="250">
        <v>-5036</v>
      </c>
      <c r="H59" s="250">
        <v>-29</v>
      </c>
      <c r="I59" s="250">
        <v>-18</v>
      </c>
      <c r="J59" s="250">
        <f t="shared" si="19"/>
        <v>-150126</v>
      </c>
      <c r="K59" s="287">
        <v>-155209</v>
      </c>
      <c r="L59" s="287">
        <v>-10572</v>
      </c>
      <c r="M59" s="287">
        <f>'[2]Statements of Cash Flow'!$C$41-L59</f>
        <v>-69018</v>
      </c>
      <c r="N59" s="287">
        <v>-8173</v>
      </c>
      <c r="O59" s="287">
        <f t="shared" si="20"/>
        <v>-10484</v>
      </c>
      <c r="P59" s="287">
        <f>'[4]Statements of Cash Flow'!$C$42</f>
        <v>-98247</v>
      </c>
      <c r="Q59" s="323">
        <f t="shared" si="21"/>
        <v>0</v>
      </c>
      <c r="R59" s="322">
        <f>'[5]Statements of Cash Flow'!$C$42</f>
        <v>-10201</v>
      </c>
      <c r="S59" s="322">
        <f>'[6]Statements of Cash Flow'!$C$42-R59</f>
        <v>-100009</v>
      </c>
      <c r="T59" s="322">
        <f>'[7]Statements of Cash Flow'!$C$43-SUM(R59:S59)</f>
        <v>-10183</v>
      </c>
      <c r="U59" s="322">
        <f>+V59-SUM(R59:T59)</f>
        <v>-474</v>
      </c>
      <c r="V59" s="322">
        <f>'[8]Statements of Cash Flow'!$C$43</f>
        <v>-120867</v>
      </c>
      <c r="W59" s="322">
        <f>'[9]Statements of Cash Flow'!$C$43</f>
        <v>-25000</v>
      </c>
      <c r="X59" s="322">
        <f>'[10]Statements of Cash Flow'!$C$43-W59</f>
        <v>-74000</v>
      </c>
      <c r="Y59" s="2"/>
      <c r="Z59" s="2"/>
      <c r="AA59" s="2"/>
      <c r="AB59" s="2"/>
      <c r="AC59" s="2"/>
      <c r="AD59" s="2"/>
      <c r="AE59" s="2"/>
      <c r="AF59" s="2"/>
      <c r="AG59" s="2"/>
      <c r="AH59" s="2"/>
    </row>
    <row r="60" spans="1:206" x14ac:dyDescent="0.25">
      <c r="A60" s="15" t="s">
        <v>202</v>
      </c>
      <c r="B60" s="270"/>
      <c r="C60" s="270"/>
      <c r="D60" s="270"/>
      <c r="E60" s="270"/>
      <c r="F60" s="270"/>
      <c r="G60" s="250"/>
      <c r="H60" s="250"/>
      <c r="I60" s="250"/>
      <c r="J60" s="250">
        <f t="shared" si="19"/>
        <v>149000</v>
      </c>
      <c r="K60" s="287">
        <v>149000</v>
      </c>
      <c r="L60" s="287">
        <v>0</v>
      </c>
      <c r="M60" s="287">
        <v>0</v>
      </c>
      <c r="N60" s="287">
        <v>0</v>
      </c>
      <c r="O60" s="287">
        <f t="shared" si="20"/>
        <v>0</v>
      </c>
      <c r="P60" s="287">
        <v>0</v>
      </c>
      <c r="Q60" s="323">
        <f t="shared" si="21"/>
        <v>0</v>
      </c>
      <c r="R60" s="322">
        <f>'[5]Statements of Cash Flow'!$C$43</f>
        <v>0</v>
      </c>
      <c r="S60" s="322">
        <f>'[6]Statements of Cash Flow'!$C$43-R60</f>
        <v>0</v>
      </c>
      <c r="T60" s="322">
        <f>'[7]Statements of Cash Flow'!$C$44-SUM(R60:S60)</f>
        <v>0</v>
      </c>
      <c r="U60" s="322">
        <f>+V60-SUM(R60:T60)</f>
        <v>0</v>
      </c>
      <c r="V60" s="322">
        <f>'[8]Statements of Cash Flow'!$C$44</f>
        <v>0</v>
      </c>
      <c r="W60" s="322">
        <f>'[9]Statements of Cash Flow'!$C$44</f>
        <v>0</v>
      </c>
      <c r="X60" s="322">
        <f>'[10]Statements of Cash Flow'!$C$44-W60</f>
        <v>0</v>
      </c>
      <c r="Y60" s="2"/>
      <c r="Z60" s="2"/>
      <c r="AA60" s="2"/>
      <c r="AB60" s="2"/>
      <c r="AC60" s="2"/>
      <c r="AD60" s="2"/>
      <c r="AE60" s="2"/>
      <c r="AF60" s="2"/>
      <c r="AG60" s="2"/>
      <c r="AH60" s="2"/>
    </row>
    <row r="61" spans="1:206" x14ac:dyDescent="0.25">
      <c r="A61" s="15" t="s">
        <v>138</v>
      </c>
      <c r="B61" s="270">
        <v>0</v>
      </c>
      <c r="C61" s="270">
        <v>0</v>
      </c>
      <c r="D61" s="270">
        <v>0</v>
      </c>
      <c r="E61" s="270">
        <v>-790</v>
      </c>
      <c r="F61" s="270">
        <v>-790</v>
      </c>
      <c r="G61" s="204">
        <v>0</v>
      </c>
      <c r="H61" s="204">
        <v>0</v>
      </c>
      <c r="I61" s="204">
        <v>0</v>
      </c>
      <c r="J61" s="204">
        <f t="shared" si="19"/>
        <v>-762</v>
      </c>
      <c r="K61" s="287">
        <v>-762</v>
      </c>
      <c r="L61" s="287">
        <v>-97</v>
      </c>
      <c r="M61" s="287">
        <f>'[2]Statements of Cash Flow'!$C$45-L61</f>
        <v>-20</v>
      </c>
      <c r="N61" s="287">
        <v>0</v>
      </c>
      <c r="O61" s="287">
        <f>+P61-SUM(L61:N61)</f>
        <v>0</v>
      </c>
      <c r="P61" s="287">
        <f>'[4]Statements of Cash Flow'!$C$47</f>
        <v>-117</v>
      </c>
      <c r="Q61" s="323">
        <f t="shared" si="21"/>
        <v>0</v>
      </c>
      <c r="R61" s="322">
        <f>'[5]Statements of Cash Flow'!$C$47</f>
        <v>0</v>
      </c>
      <c r="S61" s="322">
        <f>'[6]Statements of Cash Flow'!$C$47-R61</f>
        <v>0</v>
      </c>
      <c r="T61" s="322">
        <f>'[7]Statements of Cash Flow'!$C$48-SUM(R61:S61)</f>
        <v>0</v>
      </c>
      <c r="U61" s="322">
        <f>+V61-SUM(R61:T61)</f>
        <v>0</v>
      </c>
      <c r="V61" s="322">
        <f>'[8]Statements of Cash Flow'!$C$48</f>
        <v>0</v>
      </c>
      <c r="W61" s="322">
        <f>'[9]Statements of Cash Flow'!$C$48</f>
        <v>0</v>
      </c>
      <c r="X61" s="322">
        <f>'[10]Statements of Cash Flow'!$C$48-W61</f>
        <v>0</v>
      </c>
      <c r="Y61" s="2"/>
      <c r="Z61" s="2"/>
      <c r="AA61" s="2"/>
      <c r="AB61" s="2"/>
      <c r="AC61" s="2"/>
      <c r="AD61" s="2"/>
      <c r="AE61" s="2"/>
      <c r="AF61" s="2"/>
      <c r="AG61" s="2"/>
      <c r="AH61" s="2"/>
    </row>
    <row r="62" spans="1:206" x14ac:dyDescent="0.25">
      <c r="A62" s="15" t="s">
        <v>41</v>
      </c>
      <c r="B62" s="270">
        <v>-43</v>
      </c>
      <c r="C62" s="270">
        <v>-51</v>
      </c>
      <c r="D62" s="270">
        <v>-39</v>
      </c>
      <c r="E62" s="270">
        <v>-41</v>
      </c>
      <c r="F62" s="270">
        <v>-174</v>
      </c>
      <c r="G62" s="250">
        <v>-42</v>
      </c>
      <c r="H62" s="250">
        <v>-41</v>
      </c>
      <c r="I62" s="250">
        <v>-22</v>
      </c>
      <c r="J62" s="250">
        <f t="shared" si="19"/>
        <v>-47</v>
      </c>
      <c r="K62" s="287">
        <v>-152</v>
      </c>
      <c r="L62" s="287">
        <v>-137</v>
      </c>
      <c r="M62" s="287">
        <f>'[2]Statements of Cash Flow'!$C$39-L62</f>
        <v>-70</v>
      </c>
      <c r="N62" s="287">
        <v>-67</v>
      </c>
      <c r="O62" s="287">
        <f t="shared" si="20"/>
        <v>-62</v>
      </c>
      <c r="P62" s="287">
        <f>'[4]Statements of Cash Flow'!$C$40</f>
        <v>-336</v>
      </c>
      <c r="Q62" s="323">
        <f t="shared" si="21"/>
        <v>0</v>
      </c>
      <c r="R62" s="322">
        <f>'[5]Statements of Cash Flow'!$C$40</f>
        <v>-67</v>
      </c>
      <c r="S62" s="322">
        <f>'[6]Statements of Cash Flow'!$C$40-R62</f>
        <v>-57</v>
      </c>
      <c r="T62" s="322">
        <f>'[7]Statements of Cash Flow'!$C$41-SUM(R62:S62)</f>
        <v>-56</v>
      </c>
      <c r="U62" s="322">
        <f>+V62-SUM(R62:T62)</f>
        <v>-69</v>
      </c>
      <c r="V62" s="322">
        <f>'[8]Statements of Cash Flow'!$C$41</f>
        <v>-249</v>
      </c>
      <c r="W62" s="322">
        <f>'[9]Statements of Cash Flow'!$C$41</f>
        <v>-57</v>
      </c>
      <c r="X62" s="322">
        <f>'[10]Statements of Cash Flow'!$C$41-W62</f>
        <v>-50</v>
      </c>
      <c r="Y62" s="2"/>
      <c r="Z62" s="2"/>
      <c r="AA62" s="2"/>
      <c r="AB62" s="2"/>
      <c r="AC62" s="2"/>
      <c r="AD62" s="2"/>
      <c r="AE62" s="2"/>
      <c r="AF62" s="2"/>
      <c r="AG62" s="2"/>
      <c r="AH62" s="2"/>
    </row>
    <row r="63" spans="1:206" x14ac:dyDescent="0.25">
      <c r="A63" s="15" t="s">
        <v>42</v>
      </c>
      <c r="B63" s="270">
        <v>0</v>
      </c>
      <c r="C63" s="270">
        <v>0</v>
      </c>
      <c r="D63" s="270">
        <v>0</v>
      </c>
      <c r="E63" s="270">
        <v>0</v>
      </c>
      <c r="F63" s="270">
        <v>0</v>
      </c>
      <c r="G63" s="204">
        <v>0</v>
      </c>
      <c r="H63" s="204">
        <v>0</v>
      </c>
      <c r="I63" s="204">
        <v>0</v>
      </c>
      <c r="J63" s="204">
        <f t="shared" si="19"/>
        <v>0</v>
      </c>
      <c r="K63" s="204">
        <v>0</v>
      </c>
      <c r="L63" s="204">
        <v>0</v>
      </c>
      <c r="M63" s="204">
        <v>0</v>
      </c>
      <c r="N63" s="204">
        <v>0</v>
      </c>
      <c r="O63" s="204">
        <f t="shared" si="20"/>
        <v>0</v>
      </c>
      <c r="P63" s="204">
        <v>0</v>
      </c>
      <c r="Q63" s="323">
        <f t="shared" si="21"/>
        <v>0</v>
      </c>
      <c r="R63" s="204">
        <v>0</v>
      </c>
      <c r="S63" s="204">
        <v>0</v>
      </c>
      <c r="T63" s="204">
        <v>0</v>
      </c>
      <c r="U63" s="204">
        <v>0</v>
      </c>
      <c r="V63" s="204">
        <v>0</v>
      </c>
      <c r="W63" s="204">
        <v>0</v>
      </c>
      <c r="X63" s="204">
        <v>0</v>
      </c>
      <c r="Y63" s="2"/>
      <c r="Z63" s="2"/>
      <c r="AA63" s="2"/>
      <c r="AB63" s="2"/>
      <c r="AC63" s="2"/>
      <c r="AD63" s="2"/>
      <c r="AE63" s="2"/>
      <c r="AF63" s="2"/>
      <c r="AG63" s="2"/>
      <c r="AH63" s="2"/>
    </row>
    <row r="64" spans="1:206" x14ac:dyDescent="0.25">
      <c r="A64" s="15" t="s">
        <v>55</v>
      </c>
      <c r="B64" s="270">
        <v>0</v>
      </c>
      <c r="C64" s="270">
        <v>0</v>
      </c>
      <c r="D64" s="270">
        <v>0</v>
      </c>
      <c r="E64" s="270">
        <v>0</v>
      </c>
      <c r="F64" s="270">
        <v>0</v>
      </c>
      <c r="G64" s="204">
        <v>0</v>
      </c>
      <c r="H64" s="204">
        <v>0</v>
      </c>
      <c r="I64" s="204">
        <v>0</v>
      </c>
      <c r="J64" s="204">
        <f t="shared" si="19"/>
        <v>0</v>
      </c>
      <c r="K64" s="204">
        <v>0</v>
      </c>
      <c r="L64" s="204">
        <v>0</v>
      </c>
      <c r="M64" s="204">
        <v>0</v>
      </c>
      <c r="N64" s="204">
        <v>0</v>
      </c>
      <c r="O64" s="204">
        <f t="shared" si="20"/>
        <v>0</v>
      </c>
      <c r="P64" s="204">
        <v>0</v>
      </c>
      <c r="Q64" s="323">
        <f t="shared" si="21"/>
        <v>0</v>
      </c>
      <c r="R64" s="204">
        <v>0</v>
      </c>
      <c r="S64" s="204">
        <v>0</v>
      </c>
      <c r="T64" s="204">
        <v>0</v>
      </c>
      <c r="U64" s="204">
        <v>0</v>
      </c>
      <c r="V64" s="204">
        <v>0</v>
      </c>
      <c r="W64" s="204">
        <v>0</v>
      </c>
      <c r="X64" s="204">
        <v>0</v>
      </c>
      <c r="Y64" s="2"/>
      <c r="Z64" s="2"/>
      <c r="AA64" s="2"/>
      <c r="AB64" s="2"/>
      <c r="AC64" s="2"/>
      <c r="AD64" s="2"/>
      <c r="AE64" s="2"/>
      <c r="AF64" s="2"/>
      <c r="AG64" s="2"/>
      <c r="AH64" s="2"/>
    </row>
    <row r="65" spans="1:34" x14ac:dyDescent="0.25">
      <c r="A65" s="15" t="s">
        <v>54</v>
      </c>
      <c r="B65" s="270">
        <v>0</v>
      </c>
      <c r="C65" s="270">
        <v>0</v>
      </c>
      <c r="D65" s="270">
        <v>0</v>
      </c>
      <c r="E65" s="270">
        <v>0</v>
      </c>
      <c r="F65" s="270">
        <v>0</v>
      </c>
      <c r="G65" s="204">
        <v>0</v>
      </c>
      <c r="H65" s="204">
        <v>0</v>
      </c>
      <c r="I65" s="204">
        <v>0</v>
      </c>
      <c r="J65" s="204">
        <f t="shared" si="19"/>
        <v>0</v>
      </c>
      <c r="K65" s="204">
        <v>0</v>
      </c>
      <c r="L65" s="204">
        <v>0</v>
      </c>
      <c r="M65" s="204">
        <v>0</v>
      </c>
      <c r="N65" s="204">
        <v>0</v>
      </c>
      <c r="O65" s="204">
        <f t="shared" si="20"/>
        <v>0</v>
      </c>
      <c r="P65" s="204">
        <v>0</v>
      </c>
      <c r="Q65" s="323">
        <f t="shared" si="21"/>
        <v>0</v>
      </c>
      <c r="R65" s="204">
        <v>0</v>
      </c>
      <c r="S65" s="204">
        <v>0</v>
      </c>
      <c r="T65" s="204">
        <v>0</v>
      </c>
      <c r="U65" s="204">
        <v>0</v>
      </c>
      <c r="V65" s="204">
        <v>0</v>
      </c>
      <c r="W65" s="204">
        <v>0</v>
      </c>
      <c r="X65" s="204">
        <v>0</v>
      </c>
      <c r="Y65" s="2"/>
      <c r="Z65" s="2"/>
      <c r="AA65" s="2"/>
      <c r="AB65" s="2"/>
      <c r="AC65" s="2"/>
      <c r="AD65" s="2"/>
      <c r="AE65" s="2"/>
      <c r="AF65" s="2"/>
      <c r="AG65" s="2"/>
      <c r="AH65" s="2"/>
    </row>
    <row r="66" spans="1:34" x14ac:dyDescent="0.25">
      <c r="A66" s="15" t="s">
        <v>43</v>
      </c>
      <c r="B66" s="270">
        <v>191</v>
      </c>
      <c r="C66" s="270">
        <v>1587</v>
      </c>
      <c r="D66" s="270">
        <v>2497</v>
      </c>
      <c r="E66" s="270">
        <v>4286</v>
      </c>
      <c r="F66" s="270">
        <v>8561</v>
      </c>
      <c r="G66" s="250">
        <v>431</v>
      </c>
      <c r="H66" s="250">
        <v>0</v>
      </c>
      <c r="I66" s="250">
        <v>653</v>
      </c>
      <c r="J66" s="250">
        <f t="shared" si="19"/>
        <v>313</v>
      </c>
      <c r="K66" s="287">
        <v>1397</v>
      </c>
      <c r="L66" s="287">
        <v>22</v>
      </c>
      <c r="M66" s="287">
        <f>'[2]Statements of Cash Flow'!$C$47-L66</f>
        <v>316</v>
      </c>
      <c r="N66" s="287">
        <v>0</v>
      </c>
      <c r="O66" s="287">
        <f t="shared" si="20"/>
        <v>649</v>
      </c>
      <c r="P66" s="287">
        <f>'[4]Statements of Cash Flow'!$C$49</f>
        <v>987</v>
      </c>
      <c r="Q66" s="323">
        <f t="shared" si="21"/>
        <v>0</v>
      </c>
      <c r="R66" s="322">
        <f>'[5]Statements of Cash Flow'!$C$49</f>
        <v>921</v>
      </c>
      <c r="S66" s="322">
        <f>'[6]Statements of Cash Flow'!$C$49-R66</f>
        <v>39</v>
      </c>
      <c r="T66" s="322">
        <f>'[7]Statements of Cash Flow'!$C$50-SUM(R66:S66)</f>
        <v>85</v>
      </c>
      <c r="U66" s="322">
        <f>+V66-SUM(R66:T66)</f>
        <v>456</v>
      </c>
      <c r="V66" s="322">
        <f>'[8]Statements of Cash Flow'!$C$50</f>
        <v>1501</v>
      </c>
      <c r="W66" s="322">
        <f>'[9]Statements of Cash Flow'!$C$50</f>
        <v>75</v>
      </c>
      <c r="X66" s="322">
        <f>'[10]Statements of Cash Flow'!$C$50-W66</f>
        <v>99</v>
      </c>
      <c r="Y66" s="2"/>
      <c r="Z66" s="2"/>
      <c r="AA66" s="2"/>
      <c r="AB66" s="2"/>
      <c r="AC66" s="2"/>
      <c r="AD66" s="2"/>
      <c r="AE66" s="2"/>
      <c r="AF66" s="2"/>
      <c r="AG66" s="2"/>
      <c r="AH66" s="2"/>
    </row>
    <row r="67" spans="1:34" x14ac:dyDescent="0.25">
      <c r="A67" s="15" t="s">
        <v>56</v>
      </c>
      <c r="B67" s="270">
        <v>0</v>
      </c>
      <c r="C67" s="270">
        <v>0</v>
      </c>
      <c r="D67" s="270">
        <v>0</v>
      </c>
      <c r="E67" s="270">
        <v>0</v>
      </c>
      <c r="F67" s="270">
        <v>0</v>
      </c>
      <c r="G67" s="204">
        <v>0</v>
      </c>
      <c r="H67" s="204">
        <v>0</v>
      </c>
      <c r="I67" s="204">
        <v>0</v>
      </c>
      <c r="J67" s="204">
        <f t="shared" si="19"/>
        <v>0</v>
      </c>
      <c r="K67" s="204">
        <v>0</v>
      </c>
      <c r="L67" s="204">
        <v>0</v>
      </c>
      <c r="M67" s="204">
        <v>0</v>
      </c>
      <c r="N67" s="204">
        <v>0</v>
      </c>
      <c r="O67" s="204">
        <f t="shared" si="20"/>
        <v>0</v>
      </c>
      <c r="P67" s="204">
        <v>0</v>
      </c>
      <c r="Q67" s="323">
        <f t="shared" si="21"/>
        <v>0</v>
      </c>
      <c r="R67" s="204">
        <v>0</v>
      </c>
      <c r="S67" s="204">
        <v>0</v>
      </c>
      <c r="T67" s="204">
        <v>0</v>
      </c>
      <c r="U67" s="204">
        <v>0</v>
      </c>
      <c r="V67" s="204">
        <v>0</v>
      </c>
      <c r="W67" s="204">
        <v>0</v>
      </c>
      <c r="X67" s="204">
        <v>0</v>
      </c>
      <c r="Y67" s="2"/>
      <c r="Z67" s="2"/>
      <c r="AA67" s="2"/>
      <c r="AB67" s="2"/>
      <c r="AC67" s="2"/>
      <c r="AD67" s="2"/>
      <c r="AE67" s="2"/>
      <c r="AF67" s="2"/>
      <c r="AG67" s="2"/>
      <c r="AH67" s="2"/>
    </row>
    <row r="68" spans="1:34" ht="25" x14ac:dyDescent="0.25">
      <c r="A68" s="20" t="s">
        <v>139</v>
      </c>
      <c r="B68" s="270">
        <v>0</v>
      </c>
      <c r="C68" s="270">
        <v>0</v>
      </c>
      <c r="D68" s="270">
        <v>0</v>
      </c>
      <c r="E68" s="270">
        <v>0</v>
      </c>
      <c r="F68" s="270">
        <v>0</v>
      </c>
      <c r="G68" s="204">
        <v>0</v>
      </c>
      <c r="H68" s="204">
        <v>0</v>
      </c>
      <c r="I68" s="204">
        <v>0</v>
      </c>
      <c r="J68" s="204">
        <f t="shared" si="19"/>
        <v>0</v>
      </c>
      <c r="K68" s="204">
        <v>0</v>
      </c>
      <c r="L68" s="204">
        <v>0</v>
      </c>
      <c r="M68" s="204">
        <v>0</v>
      </c>
      <c r="N68" s="204">
        <v>0</v>
      </c>
      <c r="O68" s="204">
        <f t="shared" si="20"/>
        <v>0</v>
      </c>
      <c r="P68" s="204">
        <v>0</v>
      </c>
      <c r="Q68" s="323">
        <f t="shared" si="21"/>
        <v>0</v>
      </c>
      <c r="R68" s="204">
        <v>0</v>
      </c>
      <c r="S68" s="204">
        <v>0</v>
      </c>
      <c r="T68" s="204">
        <v>0</v>
      </c>
      <c r="U68" s="204">
        <v>0</v>
      </c>
      <c r="V68" s="204">
        <v>0</v>
      </c>
      <c r="W68" s="204">
        <v>0</v>
      </c>
      <c r="X68" s="204">
        <v>0</v>
      </c>
      <c r="Y68" s="2"/>
      <c r="Z68" s="2"/>
      <c r="AA68" s="2"/>
      <c r="AB68" s="2"/>
      <c r="AC68" s="2"/>
      <c r="AD68" s="2"/>
      <c r="AE68" s="2"/>
      <c r="AF68" s="2"/>
      <c r="AG68" s="2"/>
      <c r="AH68" s="2"/>
    </row>
    <row r="69" spans="1:34" x14ac:dyDescent="0.25">
      <c r="A69" s="15" t="s">
        <v>123</v>
      </c>
      <c r="B69" s="270">
        <v>0</v>
      </c>
      <c r="C69" s="270">
        <v>0</v>
      </c>
      <c r="D69" s="270">
        <v>0</v>
      </c>
      <c r="E69" s="270">
        <v>0</v>
      </c>
      <c r="F69" s="270">
        <v>0</v>
      </c>
      <c r="G69" s="204">
        <v>0</v>
      </c>
      <c r="H69" s="204">
        <v>0</v>
      </c>
      <c r="I69" s="204">
        <v>0</v>
      </c>
      <c r="J69" s="204">
        <f t="shared" si="19"/>
        <v>0</v>
      </c>
      <c r="K69" s="204">
        <v>0</v>
      </c>
      <c r="L69" s="204">
        <v>0</v>
      </c>
      <c r="M69" s="204">
        <v>0</v>
      </c>
      <c r="N69" s="204">
        <v>0</v>
      </c>
      <c r="O69" s="204">
        <f t="shared" si="20"/>
        <v>0</v>
      </c>
      <c r="P69" s="204">
        <v>0</v>
      </c>
      <c r="Q69" s="323">
        <f t="shared" si="21"/>
        <v>0</v>
      </c>
      <c r="R69" s="204">
        <v>0</v>
      </c>
      <c r="S69" s="204">
        <v>0</v>
      </c>
      <c r="T69" s="204">
        <v>0</v>
      </c>
      <c r="U69" s="204">
        <v>0</v>
      </c>
      <c r="V69" s="204">
        <v>0</v>
      </c>
      <c r="W69" s="204">
        <v>0</v>
      </c>
      <c r="X69" s="204">
        <v>0</v>
      </c>
      <c r="Y69" s="2"/>
      <c r="Z69" s="2"/>
      <c r="AA69" s="2"/>
      <c r="AB69" s="2"/>
      <c r="AC69" s="2"/>
      <c r="AD69" s="2"/>
      <c r="AE69" s="2"/>
      <c r="AF69" s="2"/>
      <c r="AG69" s="2"/>
      <c r="AH69" s="2"/>
    </row>
    <row r="70" spans="1:34" x14ac:dyDescent="0.25">
      <c r="A70" s="15" t="s">
        <v>155</v>
      </c>
      <c r="B70" s="270">
        <v>0</v>
      </c>
      <c r="C70" s="270">
        <v>0</v>
      </c>
      <c r="D70" s="270">
        <v>0</v>
      </c>
      <c r="E70" s="270">
        <v>0</v>
      </c>
      <c r="F70" s="270">
        <v>0</v>
      </c>
      <c r="G70" s="204">
        <v>0</v>
      </c>
      <c r="H70" s="204">
        <v>0</v>
      </c>
      <c r="I70" s="204">
        <v>0</v>
      </c>
      <c r="J70" s="204">
        <f t="shared" si="19"/>
        <v>0</v>
      </c>
      <c r="K70" s="204">
        <v>0</v>
      </c>
      <c r="L70" s="204">
        <v>0</v>
      </c>
      <c r="M70" s="204">
        <v>0</v>
      </c>
      <c r="N70" s="204">
        <v>0</v>
      </c>
      <c r="O70" s="204">
        <f t="shared" si="20"/>
        <v>0</v>
      </c>
      <c r="P70" s="204">
        <v>0</v>
      </c>
      <c r="Q70" s="323">
        <f t="shared" si="21"/>
        <v>0</v>
      </c>
      <c r="R70" s="204">
        <v>0</v>
      </c>
      <c r="S70" s="204">
        <v>0</v>
      </c>
      <c r="T70" s="204">
        <v>0</v>
      </c>
      <c r="U70" s="204">
        <v>0</v>
      </c>
      <c r="V70" s="204">
        <v>0</v>
      </c>
      <c r="W70" s="204">
        <v>0</v>
      </c>
      <c r="X70" s="204">
        <v>0</v>
      </c>
      <c r="Y70" s="2"/>
      <c r="Z70" s="2"/>
      <c r="AA70" s="2"/>
      <c r="AB70" s="2"/>
      <c r="AC70" s="2"/>
      <c r="AD70" s="2"/>
      <c r="AE70" s="2"/>
      <c r="AF70" s="2"/>
      <c r="AG70" s="2"/>
      <c r="AH70" s="2"/>
    </row>
    <row r="71" spans="1:34" x14ac:dyDescent="0.25">
      <c r="A71" s="15" t="s">
        <v>44</v>
      </c>
      <c r="B71" s="270">
        <v>-11913</v>
      </c>
      <c r="C71" s="270">
        <v>-11419</v>
      </c>
      <c r="D71" s="270">
        <v>-9004</v>
      </c>
      <c r="E71" s="270">
        <v>-11118</v>
      </c>
      <c r="F71" s="270">
        <v>-43454</v>
      </c>
      <c r="G71" s="250">
        <v>-13504</v>
      </c>
      <c r="H71" s="250">
        <v>-9632</v>
      </c>
      <c r="I71" s="250">
        <v>-9657</v>
      </c>
      <c r="J71" s="250">
        <f t="shared" si="19"/>
        <v>-10316</v>
      </c>
      <c r="K71" s="287">
        <v>-43109</v>
      </c>
      <c r="L71" s="287">
        <v>-15408</v>
      </c>
      <c r="M71" s="287">
        <f>'[2]Statements of Cash Flow'!$C$46-L71</f>
        <v>-12130</v>
      </c>
      <c r="N71" s="287">
        <v>-8346</v>
      </c>
      <c r="O71" s="287">
        <f t="shared" si="20"/>
        <v>-5480</v>
      </c>
      <c r="P71" s="287">
        <f>'[4]Statements of Cash Flow'!$C$48</f>
        <v>-41364</v>
      </c>
      <c r="Q71" s="323">
        <f t="shared" si="21"/>
        <v>0</v>
      </c>
      <c r="R71" s="322">
        <f>'[5]Statements of Cash Flow'!$C$48</f>
        <v>-13995</v>
      </c>
      <c r="S71" s="322">
        <f>'[6]Statements of Cash Flow'!$C$48-R71</f>
        <v>0</v>
      </c>
      <c r="T71" s="322">
        <f>'[7]Statements of Cash Flow'!$C$49-SUM(R71:S71)</f>
        <v>-24906</v>
      </c>
      <c r="U71" s="322">
        <f>+V71-SUM(R71:T71)</f>
        <v>-41048</v>
      </c>
      <c r="V71" s="322">
        <f>'[8]Statements of Cash Flow'!$C$49</f>
        <v>-79949</v>
      </c>
      <c r="W71" s="322">
        <f>'[9]Statements of Cash Flow'!$C$49</f>
        <v>-29015</v>
      </c>
      <c r="X71" s="322">
        <f>'[10]Statements of Cash Flow'!$C$49-W71</f>
        <v>-28409</v>
      </c>
      <c r="Y71" s="2"/>
      <c r="Z71" s="2"/>
      <c r="AA71" s="2"/>
      <c r="AB71" s="2"/>
      <c r="AC71" s="2"/>
      <c r="AD71" s="2"/>
      <c r="AE71" s="2"/>
      <c r="AF71" s="2"/>
      <c r="AG71" s="2"/>
      <c r="AH71" s="2"/>
    </row>
    <row r="72" spans="1:34" ht="13" x14ac:dyDescent="0.3">
      <c r="A72" s="54" t="s">
        <v>80</v>
      </c>
      <c r="B72" s="272">
        <f t="shared" ref="B72:P72" si="22">SUM(B57:B71)</f>
        <v>-11765</v>
      </c>
      <c r="C72" s="272">
        <f t="shared" si="22"/>
        <v>-9883</v>
      </c>
      <c r="D72" s="272">
        <f t="shared" si="22"/>
        <v>-6546</v>
      </c>
      <c r="E72" s="272">
        <f t="shared" si="22"/>
        <v>7719</v>
      </c>
      <c r="F72" s="272">
        <f t="shared" si="22"/>
        <v>-20475</v>
      </c>
      <c r="G72" s="191">
        <f t="shared" si="22"/>
        <v>-6151</v>
      </c>
      <c r="H72" s="191">
        <f t="shared" si="22"/>
        <v>-9702</v>
      </c>
      <c r="I72" s="191">
        <f t="shared" si="22"/>
        <v>223956</v>
      </c>
      <c r="J72" s="191">
        <f t="shared" si="22"/>
        <v>-10324</v>
      </c>
      <c r="K72" s="191">
        <f t="shared" si="22"/>
        <v>197779</v>
      </c>
      <c r="L72" s="191">
        <f t="shared" si="22"/>
        <v>19808</v>
      </c>
      <c r="M72" s="191">
        <f t="shared" si="22"/>
        <v>-80922</v>
      </c>
      <c r="N72" s="191">
        <f t="shared" si="22"/>
        <v>-16586</v>
      </c>
      <c r="O72" s="191">
        <f t="shared" si="22"/>
        <v>-15377</v>
      </c>
      <c r="P72" s="326">
        <f t="shared" si="22"/>
        <v>-93077</v>
      </c>
      <c r="Q72" s="323">
        <f t="shared" si="21"/>
        <v>0</v>
      </c>
      <c r="R72" s="337">
        <f t="shared" ref="R72:X72" si="23">SUM(R57:R71)</f>
        <v>86658</v>
      </c>
      <c r="S72" s="337">
        <f t="shared" si="23"/>
        <v>-100027</v>
      </c>
      <c r="T72" s="337">
        <f t="shared" si="23"/>
        <v>-35060</v>
      </c>
      <c r="U72" s="337">
        <f t="shared" si="23"/>
        <v>-41135</v>
      </c>
      <c r="V72" s="337">
        <f t="shared" si="23"/>
        <v>-89564</v>
      </c>
      <c r="W72" s="337">
        <f t="shared" si="23"/>
        <v>-28997</v>
      </c>
      <c r="X72" s="337">
        <f t="shared" si="23"/>
        <v>-102360</v>
      </c>
      <c r="Y72" s="2"/>
      <c r="Z72" s="2"/>
      <c r="AA72" s="2"/>
      <c r="AB72" s="2"/>
      <c r="AC72" s="2"/>
      <c r="AD72" s="2"/>
      <c r="AE72" s="2"/>
      <c r="AF72" s="2"/>
      <c r="AG72" s="2"/>
      <c r="AH72" s="2"/>
    </row>
    <row r="73" spans="1:34" ht="13" x14ac:dyDescent="0.3">
      <c r="A73" s="55" t="s">
        <v>81</v>
      </c>
      <c r="B73" s="276"/>
      <c r="C73" s="276"/>
      <c r="D73" s="276"/>
      <c r="E73" s="276"/>
      <c r="F73" s="276"/>
      <c r="G73" s="192"/>
      <c r="H73" s="192"/>
      <c r="I73" s="192"/>
      <c r="J73" s="192"/>
      <c r="K73" s="192"/>
      <c r="L73" s="192"/>
      <c r="M73" s="192"/>
      <c r="N73" s="192"/>
      <c r="O73" s="192"/>
      <c r="P73" s="192"/>
      <c r="Q73" s="2"/>
      <c r="R73" s="338"/>
      <c r="S73" s="338"/>
      <c r="T73" s="338"/>
      <c r="U73" s="338"/>
      <c r="V73" s="338"/>
      <c r="W73" s="338"/>
      <c r="X73" s="338"/>
      <c r="Y73" s="2"/>
      <c r="Z73" s="2"/>
      <c r="AA73" s="2"/>
      <c r="AB73" s="2"/>
      <c r="AC73" s="2"/>
      <c r="AD73" s="2"/>
      <c r="AE73" s="2"/>
      <c r="AF73" s="2"/>
      <c r="AG73" s="2"/>
      <c r="AH73" s="2"/>
    </row>
    <row r="74" spans="1:34" ht="13" x14ac:dyDescent="0.3">
      <c r="A74" s="17" t="s">
        <v>21</v>
      </c>
      <c r="B74" s="269"/>
      <c r="C74" s="269"/>
      <c r="D74" s="269"/>
      <c r="E74" s="269"/>
      <c r="F74" s="269"/>
      <c r="G74" s="194"/>
      <c r="H74" s="194"/>
      <c r="I74" s="194"/>
      <c r="J74" s="194"/>
      <c r="K74" s="194"/>
      <c r="L74" s="194"/>
      <c r="M74" s="194"/>
      <c r="N74" s="317"/>
      <c r="O74" s="317"/>
      <c r="P74" s="317"/>
      <c r="Q74" s="2"/>
      <c r="R74" s="339"/>
      <c r="S74" s="339"/>
      <c r="T74" s="339"/>
      <c r="U74" s="339"/>
      <c r="V74" s="339"/>
      <c r="W74" s="339"/>
      <c r="X74" s="339"/>
      <c r="Y74" s="2"/>
      <c r="Z74" s="2"/>
      <c r="AA74" s="2"/>
      <c r="AB74" s="2"/>
      <c r="AC74" s="2"/>
      <c r="AD74" s="2"/>
      <c r="AE74" s="2"/>
      <c r="AF74" s="2"/>
      <c r="AG74" s="2"/>
      <c r="AH74" s="2"/>
    </row>
    <row r="75" spans="1:34" ht="13" x14ac:dyDescent="0.3">
      <c r="A75" s="53" t="s">
        <v>76</v>
      </c>
      <c r="B75" s="274">
        <f t="shared" ref="B75:P75" si="24">SUM(B72:B73)</f>
        <v>-11765</v>
      </c>
      <c r="C75" s="274">
        <f t="shared" si="24"/>
        <v>-9883</v>
      </c>
      <c r="D75" s="274">
        <f t="shared" si="24"/>
        <v>-6546</v>
      </c>
      <c r="E75" s="274">
        <f t="shared" si="24"/>
        <v>7719</v>
      </c>
      <c r="F75" s="274">
        <f t="shared" si="24"/>
        <v>-20475</v>
      </c>
      <c r="G75" s="193">
        <f t="shared" si="24"/>
        <v>-6151</v>
      </c>
      <c r="H75" s="193">
        <f t="shared" si="24"/>
        <v>-9702</v>
      </c>
      <c r="I75" s="193">
        <f t="shared" si="24"/>
        <v>223956</v>
      </c>
      <c r="J75" s="193">
        <f t="shared" si="24"/>
        <v>-10324</v>
      </c>
      <c r="K75" s="193">
        <f t="shared" si="24"/>
        <v>197779</v>
      </c>
      <c r="L75" s="193">
        <f t="shared" si="24"/>
        <v>19808</v>
      </c>
      <c r="M75" s="193">
        <f t="shared" si="24"/>
        <v>-80922</v>
      </c>
      <c r="N75" s="193">
        <f t="shared" si="24"/>
        <v>-16586</v>
      </c>
      <c r="O75" s="193">
        <f t="shared" si="24"/>
        <v>-15377</v>
      </c>
      <c r="P75" s="193">
        <f t="shared" si="24"/>
        <v>-93077</v>
      </c>
      <c r="Q75" s="2"/>
      <c r="R75" s="193">
        <f t="shared" ref="R75:X75" si="25">SUM(R72:R73)</f>
        <v>86658</v>
      </c>
      <c r="S75" s="193">
        <f t="shared" si="25"/>
        <v>-100027</v>
      </c>
      <c r="T75" s="193">
        <f t="shared" si="25"/>
        <v>-35060</v>
      </c>
      <c r="U75" s="193">
        <f t="shared" si="25"/>
        <v>-41135</v>
      </c>
      <c r="V75" s="193">
        <f t="shared" si="25"/>
        <v>-89564</v>
      </c>
      <c r="W75" s="193">
        <f t="shared" si="25"/>
        <v>-28997</v>
      </c>
      <c r="X75" s="193">
        <f t="shared" si="25"/>
        <v>-102360</v>
      </c>
      <c r="Y75" s="2"/>
      <c r="Z75" s="2"/>
      <c r="AA75" s="2"/>
      <c r="AB75" s="2"/>
      <c r="AC75" s="2"/>
      <c r="AD75" s="2"/>
      <c r="AE75" s="2"/>
      <c r="AF75" s="2"/>
      <c r="AG75" s="2"/>
      <c r="AH75" s="2"/>
    </row>
    <row r="76" spans="1:34" x14ac:dyDescent="0.25">
      <c r="A76" s="16"/>
      <c r="B76" s="268"/>
      <c r="C76" s="268"/>
      <c r="D76" s="268"/>
      <c r="E76" s="268"/>
      <c r="F76" s="268"/>
      <c r="G76" s="194"/>
      <c r="H76" s="194"/>
      <c r="I76" s="194"/>
      <c r="J76" s="194"/>
      <c r="K76" s="287"/>
      <c r="L76" s="287"/>
      <c r="M76" s="287"/>
      <c r="N76" s="287"/>
      <c r="O76" s="287"/>
      <c r="P76" s="287"/>
      <c r="Q76" s="2"/>
      <c r="R76" s="322"/>
      <c r="S76" s="322"/>
      <c r="T76" s="322"/>
      <c r="U76" s="322"/>
      <c r="V76" s="322"/>
      <c r="W76" s="322"/>
      <c r="X76" s="322"/>
      <c r="Y76" s="2"/>
      <c r="Z76" s="2"/>
      <c r="AA76" s="2"/>
      <c r="AB76" s="2"/>
      <c r="AC76" s="2"/>
      <c r="AD76" s="2"/>
      <c r="AE76" s="2"/>
      <c r="AF76" s="2"/>
      <c r="AG76" s="2"/>
      <c r="AH76" s="2"/>
    </row>
    <row r="77" spans="1:34" x14ac:dyDescent="0.25">
      <c r="A77" s="16" t="s">
        <v>57</v>
      </c>
      <c r="B77" s="271">
        <v>469</v>
      </c>
      <c r="C77" s="271">
        <v>1110</v>
      </c>
      <c r="D77" s="271">
        <v>224</v>
      </c>
      <c r="E77" s="271">
        <v>2132</v>
      </c>
      <c r="F77" s="271">
        <v>3935</v>
      </c>
      <c r="G77" s="195">
        <v>-644</v>
      </c>
      <c r="H77" s="195">
        <v>-1938</v>
      </c>
      <c r="I77" s="195">
        <v>-426</v>
      </c>
      <c r="J77" s="204">
        <f>+K77-SUM(G77:I77)</f>
        <v>140</v>
      </c>
      <c r="K77" s="287">
        <v>-2868</v>
      </c>
      <c r="L77" s="287">
        <v>-455</v>
      </c>
      <c r="M77" s="287">
        <f>'[2]Statements of Cash Flow'!$C$49-L77</f>
        <v>215</v>
      </c>
      <c r="N77" s="287">
        <v>-1521</v>
      </c>
      <c r="O77" s="204">
        <f>+P77-SUM(L77:N77)</f>
        <v>716</v>
      </c>
      <c r="P77" s="287">
        <f>'[4]Statements of Cash Flow'!$C$51</f>
        <v>-1045</v>
      </c>
      <c r="Q77" s="323">
        <f>SUM(L77:O77)-P77</f>
        <v>0</v>
      </c>
      <c r="R77" s="322">
        <f>'[5]Statements of Cash Flow'!$C$51</f>
        <v>-2653</v>
      </c>
      <c r="S77" s="322">
        <f>'[6]Statements of Cash Flow'!$C$51-R77</f>
        <v>-220</v>
      </c>
      <c r="T77" s="322">
        <f>'[7]Statements of Cash Flow'!$C$52-SUM(R77:S77)</f>
        <v>2893</v>
      </c>
      <c r="U77" s="322">
        <f>+V77-SUM(R77:T77)</f>
        <v>3362</v>
      </c>
      <c r="V77" s="322">
        <f>'[8]Statements of Cash Flow'!$C$52</f>
        <v>3382</v>
      </c>
      <c r="W77" s="322">
        <f>'[9]Statements of Cash Flow'!$C$52</f>
        <v>-984</v>
      </c>
      <c r="X77" s="322">
        <f>'[10]Statements of Cash Flow'!$C$52-W77</f>
        <v>-1253</v>
      </c>
      <c r="Y77" s="2"/>
      <c r="Z77" s="2"/>
      <c r="AA77" s="2"/>
      <c r="AB77" s="2"/>
      <c r="AC77" s="2"/>
      <c r="AD77" s="2"/>
      <c r="AE77" s="2"/>
      <c r="AF77" s="2"/>
      <c r="AG77" s="2"/>
      <c r="AH77" s="2"/>
    </row>
    <row r="78" spans="1:34" x14ac:dyDescent="0.25">
      <c r="A78" s="17" t="s">
        <v>21</v>
      </c>
      <c r="B78" s="268"/>
      <c r="C78" s="268"/>
      <c r="D78" s="268"/>
      <c r="E78" s="268"/>
      <c r="F78" s="268"/>
      <c r="G78" s="194"/>
      <c r="H78" s="194"/>
      <c r="I78" s="194"/>
      <c r="J78" s="194"/>
      <c r="K78" s="287"/>
      <c r="L78" s="287"/>
      <c r="M78" s="287"/>
      <c r="N78" s="287"/>
      <c r="O78" s="287"/>
      <c r="P78" s="287"/>
      <c r="Q78" s="2"/>
      <c r="R78" s="322"/>
      <c r="S78" s="322"/>
      <c r="T78" s="322"/>
      <c r="U78" s="322"/>
      <c r="V78" s="322"/>
      <c r="W78" s="322"/>
      <c r="X78" s="322"/>
      <c r="Y78" s="2"/>
      <c r="Z78" s="2"/>
      <c r="AA78" s="2"/>
      <c r="AB78" s="2"/>
      <c r="AC78" s="2"/>
      <c r="AD78" s="2"/>
      <c r="AE78" s="2"/>
      <c r="AF78" s="2"/>
      <c r="AG78" s="2"/>
      <c r="AH78" s="2"/>
    </row>
    <row r="79" spans="1:34" ht="13" x14ac:dyDescent="0.3">
      <c r="A79" s="13" t="s">
        <v>116</v>
      </c>
      <c r="B79" s="269">
        <f>B75+B54+B41+B77</f>
        <v>-122345.83199999999</v>
      </c>
      <c r="C79" s="269">
        <f>C75+C54+C41+C77</f>
        <v>-3044.5344994285697</v>
      </c>
      <c r="D79" s="269">
        <f>D75+D54+D41+D77</f>
        <v>-1715.970739999997</v>
      </c>
      <c r="E79" s="269">
        <f>E75+E54+E41+E77</f>
        <v>989.33723942856886</v>
      </c>
      <c r="F79" s="269">
        <f>F75+F54+F41+F77</f>
        <v>-126117</v>
      </c>
      <c r="G79" s="196">
        <f t="shared" ref="G79:M79" si="26">G75+G54+G41+G77</f>
        <v>-17812</v>
      </c>
      <c r="H79" s="196">
        <f t="shared" si="26"/>
        <v>13527</v>
      </c>
      <c r="I79" s="196">
        <f t="shared" si="26"/>
        <v>15822</v>
      </c>
      <c r="J79" s="196">
        <f t="shared" si="26"/>
        <v>-1682.5240648213221</v>
      </c>
      <c r="K79" s="196">
        <f t="shared" si="26"/>
        <v>9854.4759351786925</v>
      </c>
      <c r="L79" s="196">
        <f t="shared" si="26"/>
        <v>-9504.5240648213221</v>
      </c>
      <c r="M79" s="196">
        <f t="shared" si="26"/>
        <v>-3179.9016086385964</v>
      </c>
      <c r="N79" s="196">
        <f>N75+N54+N41+N77</f>
        <v>17837.828320000001</v>
      </c>
      <c r="O79" s="196">
        <f>O75+O54+O41+O77</f>
        <v>17759.597353459918</v>
      </c>
      <c r="P79" s="196">
        <f>P75+P54+P41+P77</f>
        <v>22913</v>
      </c>
      <c r="Q79" s="2"/>
      <c r="R79" s="340">
        <f t="shared" ref="R79:X79" si="27">R75+R54+R41+R77</f>
        <v>106490</v>
      </c>
      <c r="S79" s="340">
        <f t="shared" si="27"/>
        <v>-62759</v>
      </c>
      <c r="T79" s="340">
        <f t="shared" si="27"/>
        <v>45237</v>
      </c>
      <c r="U79" s="340">
        <f t="shared" si="27"/>
        <v>9507</v>
      </c>
      <c r="V79" s="340">
        <f t="shared" si="27"/>
        <v>98475</v>
      </c>
      <c r="W79" s="340">
        <f t="shared" si="27"/>
        <v>-40805</v>
      </c>
      <c r="X79" s="340">
        <f t="shared" si="27"/>
        <v>-27178</v>
      </c>
      <c r="Y79" s="2"/>
      <c r="Z79" s="2"/>
      <c r="AA79" s="2"/>
      <c r="AB79" s="2"/>
      <c r="AC79" s="2"/>
      <c r="AD79" s="2"/>
      <c r="AE79" s="2"/>
      <c r="AF79" s="2"/>
      <c r="AG79" s="2"/>
      <c r="AH79" s="2"/>
    </row>
    <row r="80" spans="1:34" x14ac:dyDescent="0.25">
      <c r="A80" s="37" t="s">
        <v>117</v>
      </c>
      <c r="B80" s="270">
        <v>220394</v>
      </c>
      <c r="C80" s="270">
        <v>98048.168000000005</v>
      </c>
      <c r="D80" s="270">
        <v>95003.633500571435</v>
      </c>
      <c r="E80" s="270">
        <v>93287.662760571431</v>
      </c>
      <c r="F80" s="270">
        <v>220394</v>
      </c>
      <c r="G80" s="197">
        <f>F82</f>
        <v>94277</v>
      </c>
      <c r="H80" s="197">
        <f>G84</f>
        <v>76465</v>
      </c>
      <c r="I80" s="197">
        <f>H84</f>
        <v>89992</v>
      </c>
      <c r="J80" s="197">
        <f>I84</f>
        <v>105814</v>
      </c>
      <c r="K80" s="197">
        <f>F82</f>
        <v>94277</v>
      </c>
      <c r="L80" s="197">
        <f>J82</f>
        <v>104131.47593517868</v>
      </c>
      <c r="M80" s="197">
        <f>L82</f>
        <v>94626.951870357356</v>
      </c>
      <c r="N80" s="318">
        <f>M82</f>
        <v>91447.050261718759</v>
      </c>
      <c r="O80" s="318">
        <f>N82</f>
        <v>109284.87858171876</v>
      </c>
      <c r="P80" s="318">
        <f>Cashflow!$J$82</f>
        <v>104131.47593517868</v>
      </c>
      <c r="Q80" s="2"/>
      <c r="R80" s="341">
        <f>O82</f>
        <v>127044.47593517868</v>
      </c>
      <c r="S80" s="341">
        <f>R82</f>
        <v>233534.47593517869</v>
      </c>
      <c r="T80" s="341">
        <f>S82</f>
        <v>170775.47593517869</v>
      </c>
      <c r="U80" s="341">
        <f>T82</f>
        <v>216012.47593517869</v>
      </c>
      <c r="V80" s="341">
        <f>P82</f>
        <v>127044.47593517868</v>
      </c>
      <c r="W80" s="341">
        <f>U82</f>
        <v>225519.47593517869</v>
      </c>
      <c r="X80" s="341">
        <f>W82</f>
        <v>184714.47593517869</v>
      </c>
      <c r="Y80" s="2"/>
      <c r="Z80" s="2"/>
      <c r="AA80" s="2"/>
      <c r="AB80" s="2"/>
      <c r="AC80" s="2"/>
      <c r="AD80" s="2"/>
      <c r="AE80" s="2"/>
      <c r="AF80" s="2"/>
      <c r="AG80" s="2"/>
      <c r="AH80" s="2"/>
    </row>
    <row r="81" spans="1:34" x14ac:dyDescent="0.25">
      <c r="A81" s="37" t="s">
        <v>156</v>
      </c>
      <c r="B81" s="270"/>
      <c r="C81" s="270"/>
      <c r="D81" s="270"/>
      <c r="E81" s="270"/>
      <c r="F81" s="270"/>
      <c r="G81" s="194"/>
      <c r="H81" s="194"/>
      <c r="I81" s="194"/>
      <c r="J81" s="194"/>
      <c r="K81" s="194"/>
      <c r="L81" s="194"/>
      <c r="M81" s="194"/>
      <c r="N81" s="317"/>
      <c r="O81" s="317"/>
      <c r="P81" s="317"/>
      <c r="Q81" s="2"/>
      <c r="R81" s="339"/>
      <c r="S81" s="339"/>
      <c r="T81" s="339"/>
      <c r="U81" s="339"/>
      <c r="V81" s="339"/>
      <c r="W81" s="339"/>
      <c r="X81" s="339"/>
      <c r="Y81" s="2"/>
      <c r="Z81" s="2"/>
      <c r="AA81" s="2"/>
      <c r="AB81" s="2"/>
      <c r="AC81" s="2"/>
      <c r="AD81" s="2"/>
      <c r="AE81" s="2"/>
      <c r="AF81" s="2"/>
      <c r="AG81" s="2"/>
      <c r="AH81" s="2"/>
    </row>
    <row r="82" spans="1:34" x14ac:dyDescent="0.25">
      <c r="A82" s="37" t="s">
        <v>45</v>
      </c>
      <c r="B82" s="270">
        <v>98048.168000000005</v>
      </c>
      <c r="C82" s="270">
        <v>95003.633500571435</v>
      </c>
      <c r="D82" s="270">
        <v>93287.662760571431</v>
      </c>
      <c r="E82" s="270">
        <v>94277</v>
      </c>
      <c r="F82" s="270">
        <v>94277</v>
      </c>
      <c r="G82" s="198">
        <f t="shared" ref="G82:P82" si="28">SUM(G79:G81)</f>
        <v>76465</v>
      </c>
      <c r="H82" s="198">
        <f t="shared" si="28"/>
        <v>89992</v>
      </c>
      <c r="I82" s="198">
        <f t="shared" si="28"/>
        <v>105814</v>
      </c>
      <c r="J82" s="198">
        <f t="shared" si="28"/>
        <v>104131.47593517868</v>
      </c>
      <c r="K82" s="198">
        <f t="shared" si="28"/>
        <v>104131.47593517869</v>
      </c>
      <c r="L82" s="198">
        <f t="shared" si="28"/>
        <v>94626.951870357356</v>
      </c>
      <c r="M82" s="198">
        <f t="shared" si="28"/>
        <v>91447.050261718759</v>
      </c>
      <c r="N82" s="198">
        <f t="shared" si="28"/>
        <v>109284.87858171876</v>
      </c>
      <c r="O82" s="198">
        <f t="shared" si="28"/>
        <v>127044.47593517868</v>
      </c>
      <c r="P82" s="198">
        <f t="shared" si="28"/>
        <v>127044.47593517868</v>
      </c>
      <c r="Q82" s="2"/>
      <c r="R82" s="342">
        <f t="shared" ref="R82:X82" si="29">SUM(R79:R81)</f>
        <v>233534.47593517869</v>
      </c>
      <c r="S82" s="342">
        <f t="shared" si="29"/>
        <v>170775.47593517869</v>
      </c>
      <c r="T82" s="342">
        <f t="shared" si="29"/>
        <v>216012.47593517869</v>
      </c>
      <c r="U82" s="342">
        <f t="shared" si="29"/>
        <v>225519.47593517869</v>
      </c>
      <c r="V82" s="342">
        <f t="shared" si="29"/>
        <v>225519.47593517869</v>
      </c>
      <c r="W82" s="342">
        <f t="shared" si="29"/>
        <v>184714.47593517869</v>
      </c>
      <c r="X82" s="342">
        <f t="shared" si="29"/>
        <v>157536.47593517869</v>
      </c>
      <c r="Y82" s="2"/>
      <c r="Z82" s="2"/>
      <c r="AA82" s="2"/>
      <c r="AB82" s="2"/>
      <c r="AC82" s="2"/>
      <c r="AD82" s="2"/>
      <c r="AE82" s="2"/>
      <c r="AF82" s="2"/>
      <c r="AG82" s="2"/>
      <c r="AH82" s="2"/>
    </row>
    <row r="83" spans="1:34" x14ac:dyDescent="0.25">
      <c r="A83" s="16" t="s">
        <v>118</v>
      </c>
      <c r="B83" s="225"/>
      <c r="C83" s="225">
        <v>0</v>
      </c>
      <c r="D83" s="225">
        <v>0</v>
      </c>
      <c r="E83" s="225">
        <v>0</v>
      </c>
      <c r="F83" s="225">
        <v>0</v>
      </c>
      <c r="G83" s="208">
        <v>0</v>
      </c>
      <c r="H83" s="208">
        <v>0</v>
      </c>
      <c r="I83" s="208">
        <v>0</v>
      </c>
      <c r="J83" s="208">
        <v>0</v>
      </c>
      <c r="K83" s="208">
        <v>0</v>
      </c>
      <c r="L83" s="208">
        <v>0</v>
      </c>
      <c r="M83" s="208">
        <v>0</v>
      </c>
      <c r="N83" s="208">
        <v>0</v>
      </c>
      <c r="O83" s="208">
        <v>0</v>
      </c>
      <c r="P83" s="208">
        <v>0</v>
      </c>
      <c r="Q83" s="2"/>
      <c r="R83" s="343">
        <v>0</v>
      </c>
      <c r="S83" s="343">
        <v>0</v>
      </c>
      <c r="T83" s="343">
        <v>0</v>
      </c>
      <c r="U83" s="343">
        <v>0</v>
      </c>
      <c r="V83" s="343"/>
      <c r="W83" s="343">
        <v>0</v>
      </c>
      <c r="X83" s="343">
        <v>0</v>
      </c>
      <c r="Y83" s="2"/>
      <c r="Z83" s="2"/>
      <c r="AA83" s="2"/>
      <c r="AB83" s="2"/>
      <c r="AC83" s="2"/>
      <c r="AD83" s="2"/>
      <c r="AE83" s="2"/>
      <c r="AF83" s="2"/>
      <c r="AG83" s="2"/>
      <c r="AH83" s="2"/>
    </row>
    <row r="84" spans="1:34" ht="13" x14ac:dyDescent="0.3">
      <c r="A84" s="53" t="s">
        <v>77</v>
      </c>
      <c r="B84" s="274">
        <f t="shared" ref="B84:P84" si="30">SUM(B82:B83)</f>
        <v>98048.168000000005</v>
      </c>
      <c r="C84" s="274">
        <f t="shared" si="30"/>
        <v>95003.633500571435</v>
      </c>
      <c r="D84" s="274">
        <f t="shared" si="30"/>
        <v>93287.662760571431</v>
      </c>
      <c r="E84" s="274">
        <f t="shared" si="30"/>
        <v>94277</v>
      </c>
      <c r="F84" s="274">
        <f t="shared" si="30"/>
        <v>94277</v>
      </c>
      <c r="G84" s="193">
        <f t="shared" si="30"/>
        <v>76465</v>
      </c>
      <c r="H84" s="193">
        <f t="shared" si="30"/>
        <v>89992</v>
      </c>
      <c r="I84" s="193">
        <f t="shared" si="30"/>
        <v>105814</v>
      </c>
      <c r="J84" s="193">
        <f t="shared" si="30"/>
        <v>104131.47593517868</v>
      </c>
      <c r="K84" s="193">
        <f t="shared" si="30"/>
        <v>104131.47593517869</v>
      </c>
      <c r="L84" s="193">
        <f t="shared" si="30"/>
        <v>94626.951870357356</v>
      </c>
      <c r="M84" s="193">
        <f t="shared" si="30"/>
        <v>91447.050261718759</v>
      </c>
      <c r="N84" s="193">
        <f t="shared" si="30"/>
        <v>109284.87858171876</v>
      </c>
      <c r="O84" s="193">
        <f t="shared" si="30"/>
        <v>127044.47593517868</v>
      </c>
      <c r="P84" s="193">
        <f t="shared" si="30"/>
        <v>127044.47593517868</v>
      </c>
      <c r="Q84" s="2"/>
      <c r="R84" s="193">
        <f t="shared" ref="R84:X84" si="31">SUM(R82:R83)</f>
        <v>233534.47593517869</v>
      </c>
      <c r="S84" s="193">
        <f t="shared" si="31"/>
        <v>170775.47593517869</v>
      </c>
      <c r="T84" s="193">
        <f t="shared" si="31"/>
        <v>216012.47593517869</v>
      </c>
      <c r="U84" s="193">
        <f t="shared" si="31"/>
        <v>225519.47593517869</v>
      </c>
      <c r="V84" s="193">
        <f t="shared" si="31"/>
        <v>225519.47593517869</v>
      </c>
      <c r="W84" s="193">
        <f t="shared" si="31"/>
        <v>184714.47593517869</v>
      </c>
      <c r="X84" s="193">
        <f t="shared" si="31"/>
        <v>157536.47593517869</v>
      </c>
      <c r="Y84" s="2"/>
      <c r="Z84" s="2"/>
      <c r="AA84" s="2"/>
      <c r="AB84" s="2"/>
      <c r="AC84" s="2"/>
      <c r="AD84" s="2"/>
      <c r="AE84" s="2"/>
      <c r="AF84" s="2"/>
      <c r="AG84" s="2"/>
      <c r="AH84" s="2"/>
    </row>
    <row r="85" spans="1:34" x14ac:dyDescent="0.25">
      <c r="A85" s="16"/>
      <c r="B85" s="153"/>
      <c r="C85" s="103"/>
      <c r="D85" s="2"/>
      <c r="E85" s="2"/>
      <c r="F85" s="194"/>
      <c r="G85" s="194"/>
      <c r="H85" s="194"/>
      <c r="I85" s="194"/>
      <c r="J85" s="194"/>
      <c r="K85" s="194"/>
      <c r="L85" s="194"/>
      <c r="M85" s="194"/>
      <c r="N85" s="317"/>
      <c r="O85" s="317"/>
      <c r="P85" s="317"/>
      <c r="Q85" s="2"/>
      <c r="R85" s="339"/>
      <c r="S85" s="339"/>
      <c r="T85" s="339"/>
      <c r="U85" s="339"/>
      <c r="V85" s="339"/>
      <c r="W85" s="339"/>
      <c r="X85" s="339"/>
      <c r="Y85" s="2"/>
      <c r="Z85" s="2"/>
      <c r="AA85" s="2"/>
      <c r="AB85" s="2"/>
      <c r="AC85" s="2"/>
      <c r="AD85" s="2"/>
      <c r="AE85" s="2"/>
      <c r="AF85" s="2"/>
      <c r="AG85" s="2"/>
      <c r="AH85" s="2"/>
    </row>
    <row r="86" spans="1:34" x14ac:dyDescent="0.25">
      <c r="B86" s="153"/>
      <c r="C86" s="103"/>
      <c r="D86" s="2"/>
      <c r="E86" s="2"/>
      <c r="F86" s="194"/>
      <c r="G86" s="194"/>
      <c r="H86" s="194"/>
      <c r="I86" s="194"/>
      <c r="J86" s="194"/>
      <c r="K86" s="194"/>
      <c r="L86" s="194"/>
      <c r="M86" s="194"/>
      <c r="N86" s="317"/>
      <c r="O86" s="317"/>
      <c r="P86" s="317"/>
      <c r="Q86" s="2"/>
      <c r="R86" s="339"/>
      <c r="S86" s="339"/>
      <c r="T86" s="339"/>
      <c r="U86" s="339"/>
      <c r="V86" s="339"/>
      <c r="W86" s="339"/>
      <c r="X86" s="339"/>
      <c r="Y86" s="2"/>
      <c r="Z86" s="2"/>
      <c r="AA86" s="2"/>
      <c r="AB86" s="2"/>
      <c r="AC86" s="2"/>
      <c r="AD86" s="2"/>
      <c r="AE86" s="2"/>
      <c r="AF86" s="2"/>
      <c r="AG86" s="2"/>
      <c r="AH86" s="2"/>
    </row>
    <row r="87" spans="1:34" x14ac:dyDescent="0.25">
      <c r="A87" s="2" t="s">
        <v>252</v>
      </c>
      <c r="B87" s="153"/>
      <c r="C87" s="103"/>
      <c r="K87" s="189"/>
      <c r="L87" s="189"/>
      <c r="M87" s="189"/>
      <c r="N87" s="316"/>
      <c r="O87" s="316"/>
      <c r="P87" s="316"/>
      <c r="Q87" s="56"/>
      <c r="R87" s="336"/>
      <c r="S87" s="336"/>
      <c r="T87" s="336"/>
      <c r="U87" s="336"/>
      <c r="V87" s="336"/>
      <c r="W87" s="336"/>
      <c r="X87" s="336"/>
    </row>
    <row r="88" spans="1:34" x14ac:dyDescent="0.25">
      <c r="C88" s="103"/>
      <c r="D88" s="2"/>
      <c r="E88" s="2"/>
      <c r="F88" s="194"/>
      <c r="G88" s="250">
        <f>SUM('Balance Sheet'!G8,'Balance Sheet'!G10,'Balance Sheet'!G19)</f>
        <v>76465</v>
      </c>
      <c r="H88" s="250">
        <f>SUM('Balance Sheet'!H8,'Balance Sheet'!H10,'Balance Sheet'!H19)</f>
        <v>89992</v>
      </c>
      <c r="I88" s="250">
        <f>SUM('Balance Sheet'!I8,'Balance Sheet'!I10,'Balance Sheet'!I19)</f>
        <v>105814</v>
      </c>
      <c r="J88" s="250">
        <f>SUM('Balance Sheet'!J8,'Balance Sheet'!J10,'Balance Sheet'!J19)</f>
        <v>104131</v>
      </c>
      <c r="K88" s="250">
        <f>SUM('Balance Sheet'!J8,'Balance Sheet'!J10,'Balance Sheet'!J19)</f>
        <v>104131</v>
      </c>
      <c r="L88" s="250">
        <f>SUM('Balance Sheet'!K8,'Balance Sheet'!K10,'Balance Sheet'!K19)</f>
        <v>94627</v>
      </c>
      <c r="M88" s="250">
        <f>SUM('Balance Sheet'!L8,'Balance Sheet'!L10,'Balance Sheet'!L19)</f>
        <v>91447</v>
      </c>
      <c r="N88" s="319">
        <f>SUM('Balance Sheet'!M8,'Balance Sheet'!M10,'Balance Sheet'!M19)</f>
        <v>109285</v>
      </c>
      <c r="O88" s="319">
        <f>SUM('Balance Sheet'!N8,'Balance Sheet'!N10,'Balance Sheet'!N19)</f>
        <v>127044</v>
      </c>
      <c r="P88" s="319">
        <f>SUM('Balance Sheet'!N8,'Balance Sheet'!N10,'Balance Sheet'!N19)</f>
        <v>127044</v>
      </c>
      <c r="R88" s="204">
        <f>SUM('Balance Sheet'!O8,'Balance Sheet'!O10,'Balance Sheet'!O19)</f>
        <v>233534</v>
      </c>
      <c r="S88" s="204">
        <f>SUM('Balance Sheet'!P8,'Balance Sheet'!P10,'Balance Sheet'!P19)</f>
        <v>170775</v>
      </c>
      <c r="T88" s="204">
        <f>SUM('Balance Sheet'!Q8,'Balance Sheet'!Q10,'Balance Sheet'!Q19)</f>
        <v>216012</v>
      </c>
      <c r="U88" s="204">
        <f>SUM('Balance Sheet'!R8,'Balance Sheet'!R10,'Balance Sheet'!R19)</f>
        <v>225519</v>
      </c>
      <c r="V88" s="204">
        <f>SUM('Balance Sheet'!R8,'Balance Sheet'!R10,'Balance Sheet'!R19)</f>
        <v>225519</v>
      </c>
      <c r="W88" s="204">
        <f>SUM('Balance Sheet'!S8,'Balance Sheet'!S10,'Balance Sheet'!S19)</f>
        <v>184714</v>
      </c>
      <c r="X88" s="204">
        <f>SUM('Balance Sheet'!T8,'Balance Sheet'!T10,'Balance Sheet'!T19)</f>
        <v>157536</v>
      </c>
      <c r="Y88" s="2"/>
      <c r="Z88" s="2"/>
      <c r="AA88" s="2"/>
      <c r="AB88" s="2"/>
      <c r="AC88" s="2"/>
      <c r="AD88" s="2"/>
      <c r="AE88" s="2"/>
      <c r="AF88" s="2"/>
      <c r="AG88" s="2"/>
      <c r="AH88" s="2"/>
    </row>
    <row r="89" spans="1:34" x14ac:dyDescent="0.25">
      <c r="C89" s="103"/>
      <c r="G89" s="205">
        <f t="shared" ref="G89:P89" si="32">G84-G88</f>
        <v>0</v>
      </c>
      <c r="H89" s="205">
        <f t="shared" si="32"/>
        <v>0</v>
      </c>
      <c r="I89" s="205">
        <f t="shared" si="32"/>
        <v>0</v>
      </c>
      <c r="J89" s="205">
        <f t="shared" si="32"/>
        <v>0.47593517867790069</v>
      </c>
      <c r="K89" s="205">
        <f t="shared" si="32"/>
        <v>0.47593517869245261</v>
      </c>
      <c r="L89" s="205">
        <f t="shared" si="32"/>
        <v>-4.8129642644198611E-2</v>
      </c>
      <c r="M89" s="205">
        <f t="shared" si="32"/>
        <v>5.0261718759429641E-2</v>
      </c>
      <c r="N89" s="105">
        <f t="shared" si="32"/>
        <v>-0.12141828124003951</v>
      </c>
      <c r="O89" s="105">
        <f t="shared" si="32"/>
        <v>0.47593517867790069</v>
      </c>
      <c r="P89" s="105">
        <f t="shared" si="32"/>
        <v>0.47593517867790069</v>
      </c>
      <c r="R89" s="282">
        <f t="shared" ref="R89:X89" si="33">R84-R88</f>
        <v>0.47593517869245261</v>
      </c>
      <c r="S89" s="282">
        <f t="shared" si="33"/>
        <v>0.47593517869245261</v>
      </c>
      <c r="T89" s="282">
        <f t="shared" si="33"/>
        <v>0.47593517869245261</v>
      </c>
      <c r="U89" s="282">
        <f t="shared" si="33"/>
        <v>0.47593517869245261</v>
      </c>
      <c r="V89" s="282">
        <f t="shared" si="33"/>
        <v>0.47593517869245261</v>
      </c>
      <c r="W89" s="282">
        <f t="shared" si="33"/>
        <v>0.47593517869245261</v>
      </c>
      <c r="X89" s="282">
        <f t="shared" si="33"/>
        <v>0.47593517869245261</v>
      </c>
    </row>
    <row r="90" spans="1:34" x14ac:dyDescent="0.25">
      <c r="C90" s="103"/>
    </row>
    <row r="91" spans="1:34" x14ac:dyDescent="0.25">
      <c r="C91" s="103"/>
    </row>
    <row r="92" spans="1:34" x14ac:dyDescent="0.25">
      <c r="C92" s="103"/>
    </row>
    <row r="93" spans="1:34" x14ac:dyDescent="0.25">
      <c r="C93" s="103"/>
    </row>
    <row r="94" spans="1:34" x14ac:dyDescent="0.25">
      <c r="C94" s="103"/>
    </row>
    <row r="95" spans="1:34" x14ac:dyDescent="0.25">
      <c r="C95" s="103"/>
    </row>
    <row r="96" spans="1:34" x14ac:dyDescent="0.25">
      <c r="C96" s="103"/>
    </row>
    <row r="97" spans="3:3" x14ac:dyDescent="0.25">
      <c r="C97" s="103"/>
    </row>
    <row r="98" spans="3:3" x14ac:dyDescent="0.25">
      <c r="C98" s="103"/>
    </row>
    <row r="99" spans="3:3" x14ac:dyDescent="0.25">
      <c r="C99" s="103"/>
    </row>
    <row r="100" spans="3:3" x14ac:dyDescent="0.25">
      <c r="C100" s="103"/>
    </row>
  </sheetData>
  <phoneticPr fontId="17" type="noConversion"/>
  <pageMargins left="0.38" right="0.36" top="0.39" bottom="0.46" header="0.3" footer="0.3"/>
  <pageSetup paperSize="5" scale="55" orientation="landscape" r:id="rId1"/>
  <ignoredErrors>
    <ignoredError sqref="J23 J13 J77 O30 O46 O57:O60 O62:O7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110"/>
  <sheetViews>
    <sheetView showGridLines="0" view="pageBreakPreview" zoomScale="60" zoomScaleNormal="50" workbookViewId="0">
      <pane xSplit="2" ySplit="4" topLeftCell="Y5" activePane="bottomRight" state="frozen"/>
      <selection pane="topRight" activeCell="C1" sqref="C1"/>
      <selection pane="bottomLeft" activeCell="A5" sqref="A5"/>
      <selection pane="bottomRight" activeCell="AK84" sqref="AK84"/>
    </sheetView>
  </sheetViews>
  <sheetFormatPr defaultColWidth="9.1796875" defaultRowHeight="21" outlineLevelCol="1" x14ac:dyDescent="0.5"/>
  <cols>
    <col min="1" max="1" width="2.453125" style="160" customWidth="1"/>
    <col min="2" max="2" width="62.453125" style="163" customWidth="1"/>
    <col min="3" max="5" width="18.26953125" style="163" hidden="1" customWidth="1" outlineLevel="1"/>
    <col min="6" max="10" width="17.26953125" style="163" hidden="1" customWidth="1" outlineLevel="1"/>
    <col min="11" max="11" width="18.453125" style="263" hidden="1" customWidth="1" outlineLevel="1"/>
    <col min="12" max="15" width="16.81640625" style="263" hidden="1" customWidth="1" outlineLevel="1"/>
    <col min="16" max="16" width="18.54296875" style="263" hidden="1" customWidth="1" outlineLevel="1"/>
    <col min="17" max="17" width="18.453125" style="263" hidden="1" customWidth="1" outlineLevel="1"/>
    <col min="18" max="18" width="18.453125" style="263" customWidth="1" collapsed="1"/>
    <col min="19" max="22" width="18.453125" style="263" customWidth="1"/>
    <col min="23" max="23" width="16.26953125" style="263" customWidth="1"/>
    <col min="24" max="26" width="17.54296875" style="163" customWidth="1"/>
    <col min="27" max="27" width="20.81640625" style="163" customWidth="1"/>
    <col min="28" max="34" width="17.54296875" style="163" customWidth="1"/>
    <col min="35" max="35" width="9.1796875" style="163"/>
    <col min="36" max="36" width="14.54296875" style="163" customWidth="1"/>
    <col min="37" max="37" width="10.81640625" style="163" bestFit="1" customWidth="1"/>
    <col min="38" max="16384" width="9.1796875" style="163"/>
  </cols>
  <sheetData>
    <row r="1" spans="1:34" ht="21.5" thickBot="1" x14ac:dyDescent="0.55000000000000004">
      <c r="A1" s="160" t="s">
        <v>174</v>
      </c>
      <c r="B1" s="161"/>
      <c r="C1" s="162"/>
    </row>
    <row r="2" spans="1:34" ht="21.5" thickBot="1" x14ac:dyDescent="0.55000000000000004">
      <c r="B2" s="161"/>
      <c r="C2" s="390">
        <v>2017</v>
      </c>
      <c r="D2" s="391"/>
      <c r="E2" s="391"/>
      <c r="F2" s="391"/>
      <c r="G2" s="392"/>
      <c r="R2" s="390">
        <v>2018</v>
      </c>
      <c r="S2" s="391"/>
      <c r="T2" s="391"/>
      <c r="U2" s="391"/>
      <c r="V2" s="392"/>
      <c r="W2" s="390">
        <v>2019</v>
      </c>
      <c r="X2" s="391"/>
      <c r="Y2" s="391"/>
      <c r="Z2" s="391"/>
      <c r="AA2" s="392"/>
      <c r="AB2" s="390">
        <v>2020</v>
      </c>
      <c r="AC2" s="391"/>
      <c r="AD2" s="391"/>
      <c r="AE2" s="391"/>
      <c r="AF2" s="392"/>
      <c r="AG2" s="388">
        <v>2021</v>
      </c>
      <c r="AH2" s="389"/>
    </row>
    <row r="3" spans="1:34" s="302" customFormat="1" ht="24.5" thickBot="1" x14ac:dyDescent="0.4">
      <c r="A3" s="298"/>
      <c r="B3" s="299"/>
      <c r="C3" s="300" t="s">
        <v>236</v>
      </c>
      <c r="D3" s="300" t="s">
        <v>236</v>
      </c>
      <c r="E3" s="300" t="s">
        <v>236</v>
      </c>
      <c r="F3" s="300" t="s">
        <v>237</v>
      </c>
      <c r="G3" s="301" t="s">
        <v>237</v>
      </c>
      <c r="H3" s="396">
        <v>2018</v>
      </c>
      <c r="I3" s="397"/>
      <c r="J3" s="397"/>
      <c r="K3" s="397"/>
      <c r="L3" s="398"/>
      <c r="M3" s="393">
        <v>2019</v>
      </c>
      <c r="N3" s="394"/>
      <c r="O3" s="394"/>
      <c r="P3" s="394"/>
      <c r="Q3" s="395"/>
      <c r="R3" s="300" t="s">
        <v>231</v>
      </c>
      <c r="S3" s="300" t="s">
        <v>231</v>
      </c>
      <c r="T3" s="300" t="s">
        <v>231</v>
      </c>
      <c r="U3" s="300" t="s">
        <v>231</v>
      </c>
      <c r="V3" s="301" t="s">
        <v>231</v>
      </c>
      <c r="W3" s="300" t="s">
        <v>231</v>
      </c>
      <c r="X3" s="300" t="s">
        <v>231</v>
      </c>
      <c r="Y3" s="300" t="s">
        <v>231</v>
      </c>
      <c r="Z3" s="300" t="s">
        <v>231</v>
      </c>
      <c r="AA3" s="301" t="s">
        <v>231</v>
      </c>
      <c r="AB3" s="329" t="s">
        <v>238</v>
      </c>
      <c r="AC3" s="329" t="s">
        <v>238</v>
      </c>
      <c r="AD3" s="329" t="s">
        <v>238</v>
      </c>
      <c r="AE3" s="329" t="s">
        <v>238</v>
      </c>
      <c r="AF3" s="329" t="s">
        <v>238</v>
      </c>
      <c r="AG3" s="329">
        <v>2021</v>
      </c>
      <c r="AH3" s="329">
        <v>2021</v>
      </c>
    </row>
    <row r="4" spans="1:34" x14ac:dyDescent="0.5">
      <c r="A4" s="164"/>
      <c r="B4" s="165"/>
      <c r="C4" s="237" t="s">
        <v>9</v>
      </c>
      <c r="D4" s="237" t="s">
        <v>10</v>
      </c>
      <c r="E4" s="237" t="s">
        <v>11</v>
      </c>
      <c r="F4" s="237" t="s">
        <v>12</v>
      </c>
      <c r="G4" s="237" t="s">
        <v>192</v>
      </c>
      <c r="H4" s="166" t="s">
        <v>9</v>
      </c>
      <c r="I4" s="166" t="s">
        <v>10</v>
      </c>
      <c r="J4" s="166" t="s">
        <v>11</v>
      </c>
      <c r="K4" s="166" t="s">
        <v>12</v>
      </c>
      <c r="L4" s="166" t="s">
        <v>13</v>
      </c>
      <c r="M4" s="166" t="s">
        <v>9</v>
      </c>
      <c r="N4" s="166" t="s">
        <v>10</v>
      </c>
      <c r="O4" s="166" t="s">
        <v>11</v>
      </c>
      <c r="P4" s="166" t="s">
        <v>12</v>
      </c>
      <c r="Q4" s="166" t="s">
        <v>13</v>
      </c>
      <c r="R4" s="237" t="s">
        <v>9</v>
      </c>
      <c r="S4" s="237" t="s">
        <v>10</v>
      </c>
      <c r="T4" s="237" t="s">
        <v>11</v>
      </c>
      <c r="U4" s="237" t="s">
        <v>12</v>
      </c>
      <c r="V4" s="237" t="s">
        <v>230</v>
      </c>
      <c r="W4" s="237" t="s">
        <v>9</v>
      </c>
      <c r="X4" s="237" t="s">
        <v>10</v>
      </c>
      <c r="Y4" s="237" t="s">
        <v>11</v>
      </c>
      <c r="Z4" s="237" t="s">
        <v>12</v>
      </c>
      <c r="AA4" s="237" t="s">
        <v>228</v>
      </c>
      <c r="AB4" s="166" t="s">
        <v>9</v>
      </c>
      <c r="AC4" s="166" t="s">
        <v>10</v>
      </c>
      <c r="AD4" s="166" t="s">
        <v>11</v>
      </c>
      <c r="AE4" s="166" t="s">
        <v>12</v>
      </c>
      <c r="AF4" s="166" t="s">
        <v>263</v>
      </c>
      <c r="AG4" s="166" t="s">
        <v>9</v>
      </c>
      <c r="AH4" s="166" t="s">
        <v>10</v>
      </c>
    </row>
    <row r="5" spans="1:34" x14ac:dyDescent="0.5">
      <c r="A5" s="167" t="s">
        <v>1</v>
      </c>
      <c r="B5" s="165"/>
      <c r="C5" s="238"/>
      <c r="D5" s="244"/>
      <c r="E5" s="244"/>
      <c r="F5" s="244"/>
      <c r="G5" s="244"/>
      <c r="R5" s="238"/>
      <c r="S5" s="244"/>
      <c r="T5" s="244"/>
      <c r="U5" s="244"/>
      <c r="V5" s="244"/>
      <c r="W5" s="238"/>
      <c r="X5" s="244"/>
      <c r="Y5" s="244"/>
      <c r="Z5" s="244"/>
      <c r="AA5" s="244"/>
      <c r="AB5" s="263"/>
      <c r="AC5" s="263"/>
      <c r="AD5" s="263"/>
      <c r="AE5" s="263"/>
      <c r="AF5" s="263"/>
      <c r="AG5" s="263"/>
      <c r="AH5" s="263"/>
    </row>
    <row r="6" spans="1:34" ht="21" hidden="1" customHeight="1" x14ac:dyDescent="0.5">
      <c r="A6" s="169"/>
      <c r="B6" s="170" t="s">
        <v>157</v>
      </c>
      <c r="C6" s="239"/>
      <c r="D6" s="239"/>
      <c r="E6" s="243"/>
      <c r="F6" s="243"/>
      <c r="G6" s="243"/>
      <c r="H6" s="178"/>
      <c r="I6" s="178"/>
      <c r="J6" s="178"/>
      <c r="R6" s="239"/>
      <c r="S6" s="239"/>
      <c r="T6" s="243"/>
      <c r="U6" s="243"/>
      <c r="V6" s="243"/>
      <c r="W6" s="239"/>
      <c r="X6" s="239"/>
      <c r="Y6" s="243"/>
      <c r="Z6" s="243"/>
      <c r="AA6" s="243"/>
      <c r="AB6" s="263"/>
      <c r="AC6" s="263"/>
      <c r="AD6" s="263"/>
      <c r="AE6" s="263"/>
      <c r="AF6" s="263"/>
      <c r="AG6" s="263"/>
      <c r="AH6" s="263"/>
    </row>
    <row r="7" spans="1:34" ht="21" hidden="1" customHeight="1" x14ac:dyDescent="0.5">
      <c r="A7" s="164"/>
      <c r="B7" s="172" t="s">
        <v>148</v>
      </c>
      <c r="C7" s="240"/>
      <c r="D7" s="244"/>
      <c r="E7" s="244"/>
      <c r="F7" s="244"/>
      <c r="G7" s="244"/>
      <c r="R7" s="240"/>
      <c r="S7" s="244"/>
      <c r="T7" s="244"/>
      <c r="U7" s="244"/>
      <c r="V7" s="244"/>
      <c r="W7" s="240"/>
      <c r="X7" s="244"/>
      <c r="Y7" s="244"/>
      <c r="Z7" s="244"/>
      <c r="AA7" s="244"/>
      <c r="AB7" s="263"/>
      <c r="AC7" s="263"/>
      <c r="AD7" s="263"/>
      <c r="AE7" s="263"/>
      <c r="AF7" s="263"/>
      <c r="AG7" s="263"/>
      <c r="AH7" s="263"/>
    </row>
    <row r="8" spans="1:34" ht="21" hidden="1" customHeight="1" x14ac:dyDescent="0.5">
      <c r="A8" s="164"/>
      <c r="B8" s="172" t="s">
        <v>159</v>
      </c>
      <c r="C8" s="241"/>
      <c r="D8" s="245"/>
      <c r="E8" s="244"/>
      <c r="F8" s="244"/>
      <c r="G8" s="244"/>
      <c r="R8" s="241"/>
      <c r="S8" s="245"/>
      <c r="T8" s="244"/>
      <c r="U8" s="244"/>
      <c r="V8" s="244"/>
      <c r="W8" s="241"/>
      <c r="X8" s="245"/>
      <c r="Y8" s="244"/>
      <c r="Z8" s="244"/>
      <c r="AA8" s="244"/>
      <c r="AB8" s="263"/>
      <c r="AC8" s="263"/>
      <c r="AD8" s="263"/>
      <c r="AE8" s="263"/>
      <c r="AF8" s="263"/>
      <c r="AG8" s="263"/>
      <c r="AH8" s="263"/>
    </row>
    <row r="9" spans="1:34" ht="21" hidden="1" customHeight="1" x14ac:dyDescent="0.5">
      <c r="A9" s="164"/>
      <c r="B9" s="172" t="s">
        <v>58</v>
      </c>
      <c r="C9" s="242"/>
      <c r="D9" s="244"/>
      <c r="E9" s="244"/>
      <c r="F9" s="244"/>
      <c r="G9" s="244"/>
      <c r="R9" s="242"/>
      <c r="S9" s="244"/>
      <c r="T9" s="244"/>
      <c r="U9" s="244"/>
      <c r="V9" s="244"/>
      <c r="W9" s="242"/>
      <c r="X9" s="244"/>
      <c r="Y9" s="244"/>
      <c r="Z9" s="244"/>
      <c r="AA9" s="244"/>
      <c r="AB9" s="263"/>
      <c r="AC9" s="263"/>
      <c r="AD9" s="263"/>
      <c r="AE9" s="263"/>
      <c r="AF9" s="263"/>
      <c r="AG9" s="263"/>
      <c r="AH9" s="263"/>
    </row>
    <row r="10" spans="1:34" ht="21" hidden="1" customHeight="1" x14ac:dyDescent="0.5">
      <c r="A10" s="164"/>
      <c r="B10" s="172" t="s">
        <v>60</v>
      </c>
      <c r="C10" s="241"/>
      <c r="D10" s="244"/>
      <c r="E10" s="244"/>
      <c r="F10" s="244"/>
      <c r="G10" s="244"/>
      <c r="R10" s="241"/>
      <c r="S10" s="244"/>
      <c r="T10" s="244"/>
      <c r="U10" s="244"/>
      <c r="V10" s="244"/>
      <c r="W10" s="241"/>
      <c r="X10" s="244"/>
      <c r="Y10" s="244"/>
      <c r="Z10" s="244"/>
      <c r="AA10" s="244"/>
      <c r="AB10" s="263"/>
      <c r="AC10" s="263"/>
      <c r="AD10" s="263"/>
      <c r="AE10" s="263"/>
      <c r="AF10" s="263"/>
      <c r="AG10" s="263"/>
      <c r="AH10" s="263"/>
    </row>
    <row r="11" spans="1:34" ht="21" hidden="1" customHeight="1" x14ac:dyDescent="0.5">
      <c r="A11" s="164"/>
      <c r="B11" s="165"/>
      <c r="C11" s="238"/>
      <c r="D11" s="244"/>
      <c r="E11" s="244"/>
      <c r="F11" s="244"/>
      <c r="G11" s="244"/>
      <c r="R11" s="238"/>
      <c r="S11" s="244"/>
      <c r="T11" s="244"/>
      <c r="U11" s="244"/>
      <c r="V11" s="244"/>
      <c r="W11" s="238"/>
      <c r="X11" s="244"/>
      <c r="Y11" s="244"/>
      <c r="Z11" s="244"/>
      <c r="AA11" s="244"/>
      <c r="AB11" s="263"/>
      <c r="AC11" s="263"/>
      <c r="AD11" s="263"/>
      <c r="AE11" s="263"/>
      <c r="AF11" s="263"/>
      <c r="AG11" s="263"/>
      <c r="AH11" s="263"/>
    </row>
    <row r="12" spans="1:34" ht="21" hidden="1" customHeight="1" x14ac:dyDescent="0.5">
      <c r="A12" s="169"/>
      <c r="B12" s="170" t="s">
        <v>158</v>
      </c>
      <c r="C12" s="239"/>
      <c r="D12" s="239"/>
      <c r="E12" s="243"/>
      <c r="F12" s="243"/>
      <c r="G12" s="243"/>
      <c r="H12" s="178"/>
      <c r="I12" s="178"/>
      <c r="J12" s="178"/>
      <c r="R12" s="239"/>
      <c r="S12" s="239"/>
      <c r="T12" s="243"/>
      <c r="U12" s="243"/>
      <c r="V12" s="243"/>
      <c r="W12" s="239"/>
      <c r="X12" s="239"/>
      <c r="Y12" s="243"/>
      <c r="Z12" s="243"/>
      <c r="AA12" s="243"/>
      <c r="AB12" s="263"/>
      <c r="AC12" s="263"/>
      <c r="AD12" s="263"/>
      <c r="AE12" s="263"/>
      <c r="AF12" s="263"/>
      <c r="AG12" s="263"/>
      <c r="AH12" s="263"/>
    </row>
    <row r="13" spans="1:34" ht="21" hidden="1" customHeight="1" x14ac:dyDescent="0.5">
      <c r="A13" s="164"/>
      <c r="B13" s="172" t="s">
        <v>148</v>
      </c>
      <c r="C13" s="240"/>
      <c r="D13" s="244"/>
      <c r="E13" s="244"/>
      <c r="F13" s="244"/>
      <c r="G13" s="244"/>
      <c r="R13" s="240"/>
      <c r="S13" s="244"/>
      <c r="T13" s="244"/>
      <c r="U13" s="244"/>
      <c r="V13" s="244"/>
      <c r="W13" s="240"/>
      <c r="X13" s="244"/>
      <c r="Y13" s="244"/>
      <c r="Z13" s="244"/>
      <c r="AA13" s="244"/>
      <c r="AB13" s="263"/>
      <c r="AC13" s="263"/>
      <c r="AD13" s="263"/>
      <c r="AE13" s="263"/>
      <c r="AF13" s="263"/>
      <c r="AG13" s="263"/>
      <c r="AH13" s="263"/>
    </row>
    <row r="14" spans="1:34" ht="21" hidden="1" customHeight="1" x14ac:dyDescent="0.5">
      <c r="A14" s="164"/>
      <c r="B14" s="172" t="s">
        <v>58</v>
      </c>
      <c r="C14" s="242"/>
      <c r="D14" s="244"/>
      <c r="E14" s="244"/>
      <c r="F14" s="244"/>
      <c r="G14" s="244"/>
      <c r="R14" s="242"/>
      <c r="S14" s="244"/>
      <c r="T14" s="244"/>
      <c r="U14" s="244"/>
      <c r="V14" s="244"/>
      <c r="W14" s="242"/>
      <c r="X14" s="244"/>
      <c r="Y14" s="244"/>
      <c r="Z14" s="244"/>
      <c r="AA14" s="244"/>
      <c r="AB14" s="263"/>
      <c r="AC14" s="263"/>
      <c r="AD14" s="263"/>
      <c r="AE14" s="263"/>
      <c r="AF14" s="263"/>
      <c r="AG14" s="263"/>
      <c r="AH14" s="263"/>
    </row>
    <row r="15" spans="1:34" ht="21" hidden="1" customHeight="1" x14ac:dyDescent="0.5">
      <c r="A15" s="164"/>
      <c r="B15" s="172" t="s">
        <v>60</v>
      </c>
      <c r="C15" s="241"/>
      <c r="D15" s="244"/>
      <c r="E15" s="244"/>
      <c r="F15" s="244"/>
      <c r="G15" s="244"/>
      <c r="R15" s="241"/>
      <c r="S15" s="244"/>
      <c r="T15" s="244"/>
      <c r="U15" s="244"/>
      <c r="V15" s="244"/>
      <c r="W15" s="241"/>
      <c r="X15" s="244"/>
      <c r="Y15" s="244"/>
      <c r="Z15" s="244"/>
      <c r="AA15" s="244"/>
      <c r="AB15" s="263"/>
      <c r="AC15" s="263"/>
      <c r="AD15" s="263"/>
      <c r="AE15" s="263"/>
      <c r="AF15" s="263"/>
      <c r="AG15" s="263"/>
      <c r="AH15" s="263"/>
    </row>
    <row r="16" spans="1:34" x14ac:dyDescent="0.5">
      <c r="A16" s="167"/>
      <c r="B16" s="165"/>
      <c r="C16" s="238"/>
      <c r="D16" s="244"/>
      <c r="E16" s="244"/>
      <c r="F16" s="244"/>
      <c r="G16" s="244"/>
      <c r="R16" s="238"/>
      <c r="S16" s="244"/>
      <c r="T16" s="244"/>
      <c r="U16" s="244"/>
      <c r="V16" s="244"/>
      <c r="W16" s="238"/>
      <c r="X16" s="244"/>
      <c r="Y16" s="244"/>
      <c r="Z16" s="244"/>
      <c r="AA16" s="244"/>
      <c r="AB16" s="263"/>
      <c r="AC16" s="263"/>
      <c r="AD16" s="263"/>
      <c r="AE16" s="263"/>
      <c r="AF16" s="263"/>
      <c r="AG16" s="263"/>
      <c r="AH16" s="263"/>
    </row>
    <row r="17" spans="1:37" x14ac:dyDescent="0.5">
      <c r="A17" s="169"/>
      <c r="B17" s="170" t="s">
        <v>234</v>
      </c>
      <c r="C17" s="171">
        <f t="shared" ref="C17:L17" si="0">C23+C30+C42+C48+C54</f>
        <v>134026</v>
      </c>
      <c r="D17" s="171">
        <f t="shared" si="0"/>
        <v>137498</v>
      </c>
      <c r="E17" s="171">
        <f t="shared" si="0"/>
        <v>138601</v>
      </c>
      <c r="F17" s="171">
        <f t="shared" si="0"/>
        <v>142242</v>
      </c>
      <c r="G17" s="171">
        <f t="shared" si="0"/>
        <v>552367</v>
      </c>
      <c r="H17" s="171">
        <f t="shared" si="0"/>
        <v>149871</v>
      </c>
      <c r="I17" s="171">
        <f t="shared" si="0"/>
        <v>150494</v>
      </c>
      <c r="J17" s="171">
        <f t="shared" si="0"/>
        <v>148417</v>
      </c>
      <c r="K17" s="171">
        <f t="shared" si="0"/>
        <v>149040</v>
      </c>
      <c r="L17" s="171">
        <f t="shared" si="0"/>
        <v>597822</v>
      </c>
      <c r="M17" s="171">
        <f>M23+M30+M42+M48+M54+M36</f>
        <v>152612</v>
      </c>
      <c r="N17" s="171">
        <f>N23+N30+N42+N48+N54+N36</f>
        <v>155638</v>
      </c>
      <c r="O17" s="171">
        <f>O23+O30+O42+O48+O54+O36</f>
        <v>162639</v>
      </c>
      <c r="P17" s="171">
        <f>P23+P30+P42+P48+P54+P36</f>
        <v>163128</v>
      </c>
      <c r="Q17" s="171">
        <f>Q23+Q30+Q42+Q48+Q54+Q36</f>
        <v>634017</v>
      </c>
      <c r="R17" s="239">
        <f t="shared" ref="R17:W17" si="1">R23+R30+R36</f>
        <v>149870.96685598622</v>
      </c>
      <c r="S17" s="239">
        <f t="shared" si="1"/>
        <v>150494.46117321268</v>
      </c>
      <c r="T17" s="239">
        <f t="shared" si="1"/>
        <v>148416.88236976153</v>
      </c>
      <c r="U17" s="239">
        <f t="shared" si="1"/>
        <v>149040.3301324464</v>
      </c>
      <c r="V17" s="239">
        <f t="shared" si="1"/>
        <v>597821.64053140674</v>
      </c>
      <c r="W17" s="239">
        <f t="shared" si="1"/>
        <v>152612</v>
      </c>
      <c r="X17" s="239">
        <f t="shared" ref="X17:AF17" si="2">X23+X30+X36</f>
        <v>155638</v>
      </c>
      <c r="Y17" s="239">
        <f t="shared" si="2"/>
        <v>162639</v>
      </c>
      <c r="Z17" s="239">
        <f t="shared" si="2"/>
        <v>163128</v>
      </c>
      <c r="AA17" s="239">
        <f t="shared" si="2"/>
        <v>634017</v>
      </c>
      <c r="AB17" s="321">
        <f t="shared" si="2"/>
        <v>153559</v>
      </c>
      <c r="AC17" s="321">
        <f t="shared" si="2"/>
        <v>140794</v>
      </c>
      <c r="AD17" s="321">
        <f t="shared" si="2"/>
        <v>150519.13785266777</v>
      </c>
      <c r="AE17" s="321">
        <f t="shared" si="2"/>
        <v>150882.86214733223</v>
      </c>
      <c r="AF17" s="321">
        <f t="shared" si="2"/>
        <v>595755</v>
      </c>
      <c r="AG17" s="321">
        <f t="shared" ref="AG17:AH17" si="3">AG23+AG30+AG36</f>
        <v>159093</v>
      </c>
      <c r="AH17" s="321">
        <f t="shared" si="3"/>
        <v>163659</v>
      </c>
    </row>
    <row r="18" spans="1:37" x14ac:dyDescent="0.5">
      <c r="A18" s="164"/>
      <c r="B18" s="172" t="s">
        <v>148</v>
      </c>
      <c r="C18" s="240">
        <v>4.6505817131256455E-2</v>
      </c>
      <c r="D18" s="240">
        <v>5.065370714225681E-2</v>
      </c>
      <c r="E18" s="240">
        <v>6.975756967652802E-2</v>
      </c>
      <c r="F18" s="240">
        <v>7.9619284716740513E-2</v>
      </c>
      <c r="G18" s="240">
        <v>6.1725618640125823E-2</v>
      </c>
      <c r="H18" s="173">
        <f t="shared" ref="H18:Q18" si="4">H17/C17-1</f>
        <v>0.11822332980168038</v>
      </c>
      <c r="I18" s="173">
        <f t="shared" si="4"/>
        <v>9.4517738439831911E-2</v>
      </c>
      <c r="J18" s="173">
        <f t="shared" si="4"/>
        <v>7.0821999841270911E-2</v>
      </c>
      <c r="K18" s="173">
        <f t="shared" si="4"/>
        <v>4.779179145400092E-2</v>
      </c>
      <c r="L18" s="173">
        <f t="shared" si="4"/>
        <v>8.2291302702732105E-2</v>
      </c>
      <c r="M18" s="173">
        <f t="shared" si="4"/>
        <v>1.82890619265903E-2</v>
      </c>
      <c r="N18" s="173">
        <f t="shared" si="4"/>
        <v>3.4180764681648546E-2</v>
      </c>
      <c r="O18" s="173">
        <f t="shared" si="4"/>
        <v>9.5824602302970741E-2</v>
      </c>
      <c r="P18" s="173">
        <f t="shared" si="4"/>
        <v>9.4524959742350978E-2</v>
      </c>
      <c r="Q18" s="173">
        <f t="shared" si="4"/>
        <v>6.0544777542479222E-2</v>
      </c>
      <c r="R18" s="240">
        <f>[35]Summary!X$19</f>
        <v>0.11822412187019271</v>
      </c>
      <c r="S18" s="240">
        <f>[35]Summary!Y$19</f>
        <v>9.4516632636036713E-2</v>
      </c>
      <c r="T18" s="240">
        <f>[35]Summary!Z$19</f>
        <v>7.0822240426617E-2</v>
      </c>
      <c r="U18" s="240">
        <f>[35]Summary!AA$19</f>
        <v>4.7790611168654351E-2</v>
      </c>
      <c r="V18" s="240">
        <f>[35]Summary!AB$19</f>
        <v>8.2287332816930681E-2</v>
      </c>
      <c r="W18" s="240">
        <f>[35]Summary!X$9</f>
        <v>1.8289287121552311E-2</v>
      </c>
      <c r="X18" s="240">
        <f>[35]Summary!Y$9</f>
        <v>3.4177595551954099E-2</v>
      </c>
      <c r="Y18" s="240">
        <f>[35]Summary!Z$9</f>
        <v>9.5825470816762515E-2</v>
      </c>
      <c r="Z18" s="240">
        <f>[35]Summary!AA$9</f>
        <v>9.4522535309969014E-2</v>
      </c>
      <c r="AA18" s="240">
        <f>[35]Summary!AB$9</f>
        <v>6.0547189264690049E-2</v>
      </c>
      <c r="AB18" s="173">
        <f t="shared" ref="AB18:AH18" si="5">AB17/W17-1</f>
        <v>6.2052787461013281E-3</v>
      </c>
      <c r="AC18" s="173">
        <f t="shared" si="5"/>
        <v>-9.5375165448026822E-2</v>
      </c>
      <c r="AD18" s="173">
        <f t="shared" si="5"/>
        <v>-7.4520023778627653E-2</v>
      </c>
      <c r="AE18" s="173">
        <f t="shared" si="5"/>
        <v>-7.5064598675075866E-2</v>
      </c>
      <c r="AF18" s="173">
        <f t="shared" si="5"/>
        <v>-6.0348539550201363E-2</v>
      </c>
      <c r="AG18" s="173">
        <f t="shared" si="5"/>
        <v>3.6038265422410953E-2</v>
      </c>
      <c r="AH18" s="173">
        <f t="shared" si="5"/>
        <v>0.16240038638010135</v>
      </c>
    </row>
    <row r="19" spans="1:37" x14ac:dyDescent="0.5">
      <c r="A19" s="164"/>
      <c r="B19" s="172" t="s">
        <v>159</v>
      </c>
      <c r="C19" s="241">
        <v>4.9000000000000002E-2</v>
      </c>
      <c r="D19" s="245">
        <v>4.8525496185022776E-2</v>
      </c>
      <c r="E19" s="240">
        <v>6.4270961809923532E-2</v>
      </c>
      <c r="F19" s="240">
        <v>6.8680050795172143E-2</v>
      </c>
      <c r="G19" s="240">
        <v>5.7701269035152603E-2</v>
      </c>
      <c r="H19" s="173">
        <v>0.104152477303735</v>
      </c>
      <c r="I19" s="173">
        <v>9.7943653485765836E-2</v>
      </c>
      <c r="J19" s="174">
        <v>8.7427961273436328E-2</v>
      </c>
      <c r="K19" s="174">
        <v>6.7816377226745272E-2</v>
      </c>
      <c r="L19" s="173">
        <v>8.905334615962901E-2</v>
      </c>
      <c r="M19" s="173">
        <v>3.9E-2</v>
      </c>
      <c r="N19" s="181">
        <v>4.3999999999999997E-2</v>
      </c>
      <c r="O19" s="181">
        <v>0.10100000000000001</v>
      </c>
      <c r="P19" s="181">
        <v>9.5000000000000001E-2</v>
      </c>
      <c r="Q19" s="173">
        <v>7.0000000000000007E-2</v>
      </c>
      <c r="R19" s="349">
        <f t="shared" ref="R19:AA19" si="6">H19</f>
        <v>0.104152477303735</v>
      </c>
      <c r="S19" s="349">
        <f t="shared" si="6"/>
        <v>9.7943653485765836E-2</v>
      </c>
      <c r="T19" s="349">
        <f t="shared" si="6"/>
        <v>8.7427961273436328E-2</v>
      </c>
      <c r="U19" s="349">
        <f t="shared" si="6"/>
        <v>6.7816377226745272E-2</v>
      </c>
      <c r="V19" s="349">
        <f t="shared" si="6"/>
        <v>8.905334615962901E-2</v>
      </c>
      <c r="W19" s="349">
        <f t="shared" si="6"/>
        <v>3.9E-2</v>
      </c>
      <c r="X19" s="349">
        <f t="shared" si="6"/>
        <v>4.3999999999999997E-2</v>
      </c>
      <c r="Y19" s="349">
        <f t="shared" si="6"/>
        <v>0.10100000000000001</v>
      </c>
      <c r="Z19" s="349">
        <f t="shared" si="6"/>
        <v>9.5000000000000001E-2</v>
      </c>
      <c r="AA19" s="349">
        <f t="shared" si="6"/>
        <v>7.0000000000000007E-2</v>
      </c>
      <c r="AB19" s="181">
        <f>'[36]Slide 6b'!$N$6</f>
        <v>1.5189806188657951E-2</v>
      </c>
      <c r="AC19" s="181">
        <f>'[37]Slide 7b'!$N$6</f>
        <v>-8.5113869530994424E-2</v>
      </c>
      <c r="AD19" s="181">
        <f>'[38]7b'!$N$6</f>
        <v>-7.3818017746927533E-2</v>
      </c>
      <c r="AE19" s="181">
        <f>'[39]Slide 6 Q Ops Seg. Rev&amp;GM wi HI'!$N$6</f>
        <v>-7.4335344491529121E-2</v>
      </c>
      <c r="AF19" s="181">
        <f>'[39]Slide 16 FY Op seg Rev&amp;GM wi HI'!$H$7</f>
        <v>-5.5299191968245509E-2</v>
      </c>
      <c r="AG19" s="181">
        <f>'[40]Segment View'!$O$9</f>
        <v>2.7551097699270555E-2</v>
      </c>
      <c r="AH19" s="181">
        <f>'[41]Segment View'!$O$9</f>
        <v>0.14889159851110234</v>
      </c>
    </row>
    <row r="20" spans="1:37" x14ac:dyDescent="0.5">
      <c r="A20" s="164"/>
      <c r="B20" s="172" t="s">
        <v>58</v>
      </c>
      <c r="C20" s="242">
        <f t="shared" ref="C20:L20" si="7">ROUND(C26+C33+C45+C51+C57,0)</f>
        <v>46710</v>
      </c>
      <c r="D20" s="242">
        <f t="shared" si="7"/>
        <v>47415</v>
      </c>
      <c r="E20" s="242">
        <f t="shared" si="7"/>
        <v>51154</v>
      </c>
      <c r="F20" s="242">
        <f t="shared" si="7"/>
        <v>48906</v>
      </c>
      <c r="G20" s="242">
        <f t="shared" si="7"/>
        <v>194185</v>
      </c>
      <c r="H20" s="175">
        <f t="shared" si="7"/>
        <v>49845</v>
      </c>
      <c r="I20" s="175">
        <f t="shared" si="7"/>
        <v>49501</v>
      </c>
      <c r="J20" s="175">
        <f t="shared" si="7"/>
        <v>49898</v>
      </c>
      <c r="K20" s="175">
        <f t="shared" si="7"/>
        <v>48327</v>
      </c>
      <c r="L20" s="175">
        <f t="shared" si="7"/>
        <v>197571</v>
      </c>
      <c r="M20" s="175">
        <f>ROUND(M26+M33+M45+M51+M57+M39,0)</f>
        <v>52274</v>
      </c>
      <c r="N20" s="175">
        <f>ROUND(N26+N33+N45+N51+N57+N39,0)</f>
        <v>50623</v>
      </c>
      <c r="O20" s="175">
        <f>ROUND(O26+O33+O45+O51+O57+O39,0)</f>
        <v>52930</v>
      </c>
      <c r="P20" s="175">
        <f>ROUND(P26+P33+P45+P51+P57+P39,0)</f>
        <v>53945</v>
      </c>
      <c r="Q20" s="175">
        <f>ROUND(Q26+Q33+Q45+Q51+Q57+Q39,0)</f>
        <v>209772</v>
      </c>
      <c r="R20" s="242">
        <f>ROUND(R26+R33+R39,0)</f>
        <v>49845</v>
      </c>
      <c r="S20" s="242">
        <f>ROUND(S26+S33+S39,0)-1</f>
        <v>49501</v>
      </c>
      <c r="T20" s="242">
        <f>ROUND(T26+T33+T39,0)</f>
        <v>49898</v>
      </c>
      <c r="U20" s="242">
        <f>ROUND(U26+U33+U39,0)</f>
        <v>48327</v>
      </c>
      <c r="V20" s="242">
        <f>ROUND(V26+V33+V39,0)</f>
        <v>197571</v>
      </c>
      <c r="W20" s="242">
        <f>ROUND(W26+W33+W39,0)</f>
        <v>52274</v>
      </c>
      <c r="X20" s="242">
        <f t="shared" ref="X20:AF20" si="8">ROUND(X26+X33+X39,0)</f>
        <v>50623</v>
      </c>
      <c r="Y20" s="242">
        <f t="shared" si="8"/>
        <v>52930</v>
      </c>
      <c r="Z20" s="242">
        <f t="shared" si="8"/>
        <v>53945</v>
      </c>
      <c r="AA20" s="242">
        <f t="shared" si="8"/>
        <v>209772</v>
      </c>
      <c r="AB20" s="175">
        <f t="shared" si="8"/>
        <v>49519</v>
      </c>
      <c r="AC20" s="175">
        <f t="shared" si="8"/>
        <v>39625</v>
      </c>
      <c r="AD20" s="175">
        <f t="shared" si="8"/>
        <v>54903</v>
      </c>
      <c r="AE20" s="175">
        <f t="shared" si="8"/>
        <v>57222</v>
      </c>
      <c r="AF20" s="175">
        <f t="shared" si="8"/>
        <v>201269</v>
      </c>
      <c r="AG20" s="175">
        <f t="shared" ref="AG20:AH20" si="9">ROUND(AG26+AG33+AG39,0)</f>
        <v>64765</v>
      </c>
      <c r="AH20" s="175">
        <f t="shared" si="9"/>
        <v>64269</v>
      </c>
    </row>
    <row r="21" spans="1:37" x14ac:dyDescent="0.5">
      <c r="A21" s="164"/>
      <c r="B21" s="172" t="s">
        <v>60</v>
      </c>
      <c r="C21" s="241">
        <f t="shared" ref="C21:H21" si="10">C20/C17</f>
        <v>0.34851446734215752</v>
      </c>
      <c r="D21" s="241">
        <f t="shared" si="10"/>
        <v>0.34484137951097471</v>
      </c>
      <c r="E21" s="241">
        <f t="shared" si="10"/>
        <v>0.36907381620623225</v>
      </c>
      <c r="F21" s="241">
        <f>F20/F17</f>
        <v>0.34382249968363776</v>
      </c>
      <c r="G21" s="241">
        <f>G20/G17</f>
        <v>0.35155069003036027</v>
      </c>
      <c r="H21" s="174">
        <f t="shared" si="10"/>
        <v>0.33258602398062331</v>
      </c>
      <c r="I21" s="174">
        <f t="shared" ref="I21:O21" si="11">I20/I17</f>
        <v>0.32892341222905896</v>
      </c>
      <c r="J21" s="174">
        <f t="shared" si="11"/>
        <v>0.33620137854827953</v>
      </c>
      <c r="K21" s="174">
        <f t="shared" si="11"/>
        <v>0.32425523349436391</v>
      </c>
      <c r="L21" s="174">
        <f t="shared" si="11"/>
        <v>0.33048465931330728</v>
      </c>
      <c r="M21" s="174">
        <f t="shared" si="11"/>
        <v>0.34252876575891805</v>
      </c>
      <c r="N21" s="174">
        <f t="shared" si="11"/>
        <v>0.32526118300158058</v>
      </c>
      <c r="O21" s="174">
        <f t="shared" si="11"/>
        <v>0.3254446965365011</v>
      </c>
      <c r="P21" s="174">
        <f t="shared" ref="P21:AA21" si="12">P20/P17</f>
        <v>0.33069123632975334</v>
      </c>
      <c r="Q21" s="174">
        <f t="shared" si="12"/>
        <v>0.3308617907721717</v>
      </c>
      <c r="R21" s="241">
        <f t="shared" si="12"/>
        <v>0.33258609753213231</v>
      </c>
      <c r="S21" s="241">
        <f t="shared" si="12"/>
        <v>0.32892240428055669</v>
      </c>
      <c r="T21" s="241">
        <f t="shared" si="12"/>
        <v>0.33620164501020555</v>
      </c>
      <c r="U21" s="241">
        <f t="shared" si="12"/>
        <v>0.32425451525136623</v>
      </c>
      <c r="V21" s="241">
        <f t="shared" si="12"/>
        <v>0.33048485803287103</v>
      </c>
      <c r="W21" s="241">
        <f t="shared" si="12"/>
        <v>0.34252876575891805</v>
      </c>
      <c r="X21" s="241">
        <f t="shared" si="12"/>
        <v>0.32526118300158058</v>
      </c>
      <c r="Y21" s="241">
        <f t="shared" si="12"/>
        <v>0.3254446965365011</v>
      </c>
      <c r="Z21" s="241">
        <f t="shared" si="12"/>
        <v>0.33069123632975334</v>
      </c>
      <c r="AA21" s="241">
        <f t="shared" si="12"/>
        <v>0.3308617907721717</v>
      </c>
      <c r="AB21" s="174">
        <f t="shared" ref="AB21:AH21" si="13">AB20/AB17</f>
        <v>0.32247540033472477</v>
      </c>
      <c r="AC21" s="174">
        <f t="shared" si="13"/>
        <v>0.28143954998082304</v>
      </c>
      <c r="AD21" s="174">
        <f t="shared" si="13"/>
        <v>0.36475760347325764</v>
      </c>
      <c r="AE21" s="174">
        <f t="shared" si="13"/>
        <v>0.37924784290030611</v>
      </c>
      <c r="AF21" s="174">
        <f t="shared" si="13"/>
        <v>0.33783854101098604</v>
      </c>
      <c r="AG21" s="174">
        <f t="shared" si="13"/>
        <v>0.4070889354025633</v>
      </c>
      <c r="AH21" s="174">
        <f t="shared" si="13"/>
        <v>0.39270067640643047</v>
      </c>
    </row>
    <row r="22" spans="1:37" x14ac:dyDescent="0.5">
      <c r="A22" s="164"/>
      <c r="B22" s="172"/>
      <c r="C22" s="241"/>
      <c r="D22" s="244"/>
      <c r="E22" s="244"/>
      <c r="F22" s="244"/>
      <c r="G22" s="244"/>
      <c r="K22" s="163"/>
      <c r="L22" s="163"/>
      <c r="M22" s="163"/>
      <c r="N22" s="163"/>
      <c r="O22" s="163"/>
      <c r="P22" s="163"/>
      <c r="Q22" s="163"/>
      <c r="R22" s="241"/>
      <c r="S22" s="244"/>
      <c r="T22" s="244"/>
      <c r="U22" s="244"/>
      <c r="V22" s="244"/>
      <c r="W22" s="241"/>
      <c r="X22" s="244"/>
      <c r="Y22" s="244"/>
      <c r="Z22" s="244"/>
      <c r="AA22" s="244"/>
    </row>
    <row r="23" spans="1:37" x14ac:dyDescent="0.5">
      <c r="A23" s="177"/>
      <c r="B23" s="177" t="s">
        <v>152</v>
      </c>
      <c r="C23" s="243">
        <v>55921</v>
      </c>
      <c r="D23" s="246">
        <v>58255</v>
      </c>
      <c r="E23" s="246">
        <v>59608</v>
      </c>
      <c r="F23" s="246">
        <f>+G23-SUM(C23,D23,E23)</f>
        <v>61010</v>
      </c>
      <c r="G23" s="247">
        <v>234794</v>
      </c>
      <c r="H23" s="179">
        <v>63903</v>
      </c>
      <c r="I23" s="179">
        <v>64812</v>
      </c>
      <c r="J23" s="179">
        <v>64303</v>
      </c>
      <c r="K23" s="179">
        <f>+L23-SUM(H23:J23)</f>
        <v>65126</v>
      </c>
      <c r="L23" s="179">
        <v>258144</v>
      </c>
      <c r="M23" s="179">
        <v>69038</v>
      </c>
      <c r="N23" s="179">
        <v>72236</v>
      </c>
      <c r="O23" s="179">
        <f>'[3]Segment Information'!$B$31</f>
        <v>77714</v>
      </c>
      <c r="P23" s="179">
        <f>+Q23-SUM(M23:O23)</f>
        <v>75171</v>
      </c>
      <c r="Q23" s="179">
        <f>'[4]Segment Information 10K'!$B$30</f>
        <v>294159</v>
      </c>
      <c r="R23" s="239">
        <f>[35]Summary!$B$13</f>
        <v>76148.167060416323</v>
      </c>
      <c r="S23" s="247">
        <f>[35]Summary!$F$13</f>
        <v>78614.312935322407</v>
      </c>
      <c r="T23" s="247">
        <f>[35]Summary!$J$13</f>
        <v>77757.039113754727</v>
      </c>
      <c r="U23" s="247">
        <f>[35]Summary!$N$13</f>
        <v>78632.585690686348</v>
      </c>
      <c r="V23" s="247">
        <f>[35]Summary!$R$13</f>
        <v>311152.10480017978</v>
      </c>
      <c r="W23" s="239">
        <f>ROUND([35]Summary!$B$4,0)</f>
        <v>81286</v>
      </c>
      <c r="X23" s="247">
        <f>[35]Summary!$F$4</f>
        <v>85581</v>
      </c>
      <c r="Y23" s="247">
        <f>ROUND([35]Summary!$J$4,0)</f>
        <v>91096</v>
      </c>
      <c r="Z23" s="247">
        <f>[35]Summary!$N$4</f>
        <v>88471</v>
      </c>
      <c r="AA23" s="247">
        <f>[35]Summary!$R$4</f>
        <v>346434</v>
      </c>
      <c r="AB23" s="179">
        <f>'[5]Segment Information '!$B$30</f>
        <v>83739</v>
      </c>
      <c r="AC23" s="179">
        <f>'[6]Segment Information '!$B$6</f>
        <v>81281</v>
      </c>
      <c r="AD23" s="179">
        <f>[42]Summary!$J$4</f>
        <v>87830.240012667782</v>
      </c>
      <c r="AE23" s="179">
        <f>AF23-SUM(AB23:AD23)</f>
        <v>88919.759987332218</v>
      </c>
      <c r="AF23" s="179">
        <f>'[8]Segment Information '!$B$6</f>
        <v>341770</v>
      </c>
      <c r="AG23" s="179">
        <f>'[9]Segment Information '!$B$6</f>
        <v>91160</v>
      </c>
      <c r="AH23" s="179">
        <f>'[10]Segment Information '!$B$6</f>
        <v>94719</v>
      </c>
      <c r="AK23" s="361"/>
    </row>
    <row r="24" spans="1:37" x14ac:dyDescent="0.5">
      <c r="A24" s="164"/>
      <c r="B24" s="172" t="s">
        <v>148</v>
      </c>
      <c r="C24" s="240">
        <v>0.15781609425933762</v>
      </c>
      <c r="D24" s="240">
        <v>0.15136182816147836</v>
      </c>
      <c r="E24" s="240">
        <v>0.12891676635079641</v>
      </c>
      <c r="F24" s="240">
        <v>0.1167645106386701</v>
      </c>
      <c r="G24" s="240">
        <v>0.13796817406137452</v>
      </c>
      <c r="H24" s="173">
        <f t="shared" ref="H24:Q24" si="14">H23/C23-1</f>
        <v>0.14273707551724746</v>
      </c>
      <c r="I24" s="173">
        <f t="shared" si="14"/>
        <v>0.11255686207192506</v>
      </c>
      <c r="J24" s="173">
        <f t="shared" si="14"/>
        <v>7.8764595356328071E-2</v>
      </c>
      <c r="K24" s="173">
        <f t="shared" si="14"/>
        <v>6.746435010653995E-2</v>
      </c>
      <c r="L24" s="173">
        <f t="shared" si="14"/>
        <v>9.9448878591446022E-2</v>
      </c>
      <c r="M24" s="173">
        <f t="shared" si="14"/>
        <v>8.0356164812293684E-2</v>
      </c>
      <c r="N24" s="173">
        <f t="shared" si="14"/>
        <v>0.11454668888477437</v>
      </c>
      <c r="O24" s="173">
        <f t="shared" si="14"/>
        <v>0.20855947622972493</v>
      </c>
      <c r="P24" s="173">
        <f t="shared" si="14"/>
        <v>0.15423947424991558</v>
      </c>
      <c r="Q24" s="173">
        <f t="shared" si="14"/>
        <v>0.13951515433246553</v>
      </c>
      <c r="R24" s="240">
        <f>[35]Summary!X$14</f>
        <v>0.2121233488330192</v>
      </c>
      <c r="S24" s="240">
        <f>[35]Summary!Y$14</f>
        <v>0.18933606925635882</v>
      </c>
      <c r="T24" s="240">
        <f>[35]Summary!Z$14</f>
        <v>0.14559720208257043</v>
      </c>
      <c r="U24" s="240">
        <f>[35]Summary!AA$14</f>
        <v>9.3570729091322358E-2</v>
      </c>
      <c r="V24" s="240">
        <f>[35]Summary!AB$14</f>
        <v>0.15798827964705398</v>
      </c>
      <c r="W24" s="240">
        <f>[35]Summary!X$4</f>
        <v>6.7471524764441071E-2</v>
      </c>
      <c r="X24" s="240">
        <f>[35]Summary!Y$4</f>
        <v>8.8618558180483253E-2</v>
      </c>
      <c r="Y24" s="240">
        <f>[35]Summary!Z$4</f>
        <v>0.17154666687772191</v>
      </c>
      <c r="Z24" s="240">
        <f>[35]Summary!AA$4</f>
        <v>0.12511879423645822</v>
      </c>
      <c r="AA24" s="240">
        <f>[35]Summary!AB$4</f>
        <v>0.11339115068007688</v>
      </c>
      <c r="AB24" s="173">
        <f t="shared" ref="AB24:AH24" si="15">AB23/W23-1</f>
        <v>3.0177398321974191E-2</v>
      </c>
      <c r="AC24" s="173">
        <f t="shared" si="15"/>
        <v>-5.0244797326509438E-2</v>
      </c>
      <c r="AD24" s="173">
        <f t="shared" si="15"/>
        <v>-3.5849652974139556E-2</v>
      </c>
      <c r="AE24" s="173">
        <f t="shared" si="15"/>
        <v>5.0723964613512695E-3</v>
      </c>
      <c r="AF24" s="173">
        <f t="shared" si="15"/>
        <v>-1.3462881818759098E-2</v>
      </c>
      <c r="AG24" s="173">
        <f t="shared" si="15"/>
        <v>8.8620594943813469E-2</v>
      </c>
      <c r="AH24" s="173">
        <f t="shared" si="15"/>
        <v>0.16532769035814021</v>
      </c>
    </row>
    <row r="25" spans="1:37" x14ac:dyDescent="0.5">
      <c r="A25" s="164"/>
      <c r="B25" s="172" t="s">
        <v>159</v>
      </c>
      <c r="C25" s="240">
        <v>0.15235101898850245</v>
      </c>
      <c r="D25" s="245">
        <v>0.14485320587353745</v>
      </c>
      <c r="E25" s="240">
        <v>0.12063360440937987</v>
      </c>
      <c r="F25" s="240">
        <v>0.10686042279762753</v>
      </c>
      <c r="G25" s="240">
        <v>0.13035117064593615</v>
      </c>
      <c r="H25" s="173">
        <v>0.12985053069688801</v>
      </c>
      <c r="I25" s="173">
        <v>0.11510196684888774</v>
      </c>
      <c r="J25" s="174">
        <f>'[43]Revenues and Margins'!$V$25</f>
        <v>9.0617499511791433E-2</v>
      </c>
      <c r="K25" s="174">
        <v>8.1936981556266941E-2</v>
      </c>
      <c r="L25" s="173">
        <v>0.1037809117620101</v>
      </c>
      <c r="M25" s="173">
        <v>0.1</v>
      </c>
      <c r="N25" s="181">
        <v>0.126</v>
      </c>
      <c r="O25" s="181">
        <v>0.217</v>
      </c>
      <c r="P25" s="173">
        <v>0.156</v>
      </c>
      <c r="Q25" s="173">
        <v>0.15</v>
      </c>
      <c r="R25" s="241">
        <v>0.19238882504405108</v>
      </c>
      <c r="S25" s="241">
        <v>0.18952045791185457</v>
      </c>
      <c r="T25" s="241">
        <v>0.15739406888615903</v>
      </c>
      <c r="U25" s="241">
        <v>0.10894136492313544</v>
      </c>
      <c r="V25" s="241">
        <v>0.1605128318680098</v>
      </c>
      <c r="W25" s="241">
        <v>8.76506851370491E-2</v>
      </c>
      <c r="X25" s="241">
        <v>0.10010589674361836</v>
      </c>
      <c r="Y25" s="241">
        <v>0.18068313647309786</v>
      </c>
      <c r="Z25" s="241">
        <v>0.12654231897760515</v>
      </c>
      <c r="AA25" s="241">
        <v>0.12386732726735761</v>
      </c>
      <c r="AB25" s="181">
        <f>'[36]Slide 6b'!$N$7</f>
        <v>4.1131479135403604E-2</v>
      </c>
      <c r="AC25" s="181">
        <f>'[37]Slide 7b'!$N$7</f>
        <v>-4.1522462219852341E-2</v>
      </c>
      <c r="AD25" s="181">
        <f>'[38]7b'!$N$7</f>
        <v>-3.891677633948698E-2</v>
      </c>
      <c r="AE25" s="181">
        <f>'[39]Slide 6 Q Ops Seg. Rev&amp;GM wi HI'!$N$7</f>
        <v>4.1265779604706676E-3</v>
      </c>
      <c r="AF25" s="181">
        <f>'[39]Slide 16 FY Op seg Rev&amp;GM wi HI'!$H$8</f>
        <v>-9.7858675320537936E-3</v>
      </c>
      <c r="AG25" s="181">
        <f>'[40]Segment View'!$O$10</f>
        <v>7.5681343266865264E-2</v>
      </c>
      <c r="AH25" s="181">
        <f>'[41]Segment View'!$O$10</f>
        <v>0.14878169746846748</v>
      </c>
    </row>
    <row r="26" spans="1:37" x14ac:dyDescent="0.5">
      <c r="A26" s="164"/>
      <c r="B26" s="172" t="s">
        <v>58</v>
      </c>
      <c r="C26" s="242">
        <f>ROUND(17890.6824188671,0)</f>
        <v>17891</v>
      </c>
      <c r="D26" s="242">
        <v>17784.168604602171</v>
      </c>
      <c r="E26" s="242">
        <f>ROUND(20434.2308482625,0)</f>
        <v>20434</v>
      </c>
      <c r="F26" s="242">
        <f>ROUND(+G26-SUM(C26,D26,E26),0)</f>
        <v>19252</v>
      </c>
      <c r="G26" s="242">
        <f>ROUND(75361.1380508299,0)</f>
        <v>75361</v>
      </c>
      <c r="H26" s="175">
        <v>21476</v>
      </c>
      <c r="I26" s="175">
        <v>20779</v>
      </c>
      <c r="J26" s="175">
        <v>20779</v>
      </c>
      <c r="K26" s="175">
        <f>+L26-SUM(H26:J26)</f>
        <v>20189</v>
      </c>
      <c r="L26" s="175">
        <v>83223</v>
      </c>
      <c r="M26" s="175">
        <v>22346</v>
      </c>
      <c r="N26" s="175">
        <v>22330</v>
      </c>
      <c r="O26" s="175">
        <f>'[3]Segment Information'!$B$33</f>
        <v>26227</v>
      </c>
      <c r="P26" s="175">
        <f>+Q26-SUM(M26:O26)</f>
        <v>23578</v>
      </c>
      <c r="Q26" s="175">
        <f>'[4]Segment Information 10K'!$B$32</f>
        <v>94481</v>
      </c>
      <c r="R26" s="242">
        <f>[35]Summary!$D$13</f>
        <v>24247.168207756244</v>
      </c>
      <c r="S26" s="242">
        <f>[35]Summary!$H$13</f>
        <v>25806.112536955741</v>
      </c>
      <c r="T26" s="242">
        <f>[35]Summary!$L$13</f>
        <v>24717.498250572389</v>
      </c>
      <c r="U26" s="242">
        <f>[35]Summary!$P$13</f>
        <v>24563.072901162224</v>
      </c>
      <c r="V26" s="242">
        <f>[35]Summary!$T$13</f>
        <v>99333.851896446577</v>
      </c>
      <c r="W26" s="242">
        <f>[44]Summary!$D$4</f>
        <v>26043</v>
      </c>
      <c r="X26" s="242">
        <f>[44]Summary!$H$4</f>
        <v>26167</v>
      </c>
      <c r="Y26" s="242">
        <f>[44]Summary!$L$4</f>
        <v>28863</v>
      </c>
      <c r="Z26" s="242">
        <f>[44]Summary!$P$4</f>
        <v>26781</v>
      </c>
      <c r="AA26" s="242">
        <f>[44]Summary!$T$4</f>
        <v>107854</v>
      </c>
      <c r="AB26" s="175">
        <f>'[5]Segment Information '!$B$32</f>
        <v>24774</v>
      </c>
      <c r="AC26" s="175">
        <f>'[6]Segment Information '!$B$8</f>
        <v>22168</v>
      </c>
      <c r="AD26" s="175">
        <f>'[7]Segment Information '!$B$8</f>
        <v>30999</v>
      </c>
      <c r="AE26" s="175">
        <f>AF26-SUM(AB26:AD26)</f>
        <v>31945</v>
      </c>
      <c r="AF26" s="175">
        <f>'[8]Segment Information '!$B$8</f>
        <v>109886</v>
      </c>
      <c r="AG26" s="175">
        <f>'[9]Segment Information '!$B$8</f>
        <v>35067</v>
      </c>
      <c r="AH26" s="175">
        <f>'[10]Segment Information '!$B$8</f>
        <v>35360</v>
      </c>
    </row>
    <row r="27" spans="1:37" x14ac:dyDescent="0.5">
      <c r="A27" s="164"/>
      <c r="B27" s="172" t="s">
        <v>60</v>
      </c>
      <c r="C27" s="241">
        <f t="shared" ref="C27:AF27" si="16">C26/C23</f>
        <v>0.31993347758444951</v>
      </c>
      <c r="D27" s="241">
        <f t="shared" si="16"/>
        <v>0.30528141111667961</v>
      </c>
      <c r="E27" s="241">
        <f t="shared" si="16"/>
        <v>0.3428063347201718</v>
      </c>
      <c r="F27" s="241">
        <f t="shared" si="16"/>
        <v>0.3155548270775283</v>
      </c>
      <c r="G27" s="241">
        <f t="shared" si="16"/>
        <v>0.32096646421969899</v>
      </c>
      <c r="H27" s="174">
        <f t="shared" si="16"/>
        <v>0.33607185891116226</v>
      </c>
      <c r="I27" s="174">
        <f t="shared" si="16"/>
        <v>0.32060420909708076</v>
      </c>
      <c r="J27" s="174">
        <f t="shared" si="16"/>
        <v>0.32314199959566425</v>
      </c>
      <c r="K27" s="174">
        <f t="shared" si="16"/>
        <v>0.30999907870896415</v>
      </c>
      <c r="L27" s="174">
        <f t="shared" si="16"/>
        <v>0.32238982893268875</v>
      </c>
      <c r="M27" s="174">
        <f t="shared" si="16"/>
        <v>0.32367681566673429</v>
      </c>
      <c r="N27" s="174">
        <f t="shared" si="16"/>
        <v>0.30912564372335122</v>
      </c>
      <c r="O27" s="174">
        <f t="shared" si="16"/>
        <v>0.33748102015080939</v>
      </c>
      <c r="P27" s="174">
        <f t="shared" si="16"/>
        <v>0.31365819265408201</v>
      </c>
      <c r="Q27" s="174">
        <f t="shared" si="16"/>
        <v>0.32119024065216428</v>
      </c>
      <c r="R27" s="241">
        <f t="shared" si="16"/>
        <v>0.31842090418957064</v>
      </c>
      <c r="S27" s="241">
        <f t="shared" si="16"/>
        <v>0.32826226641689221</v>
      </c>
      <c r="T27" s="241">
        <f t="shared" si="16"/>
        <v>0.31788116590205939</v>
      </c>
      <c r="U27" s="241">
        <f t="shared" si="16"/>
        <v>0.31237778441859887</v>
      </c>
      <c r="V27" s="241">
        <f t="shared" si="16"/>
        <v>0.31924531559970726</v>
      </c>
      <c r="W27" s="241">
        <f t="shared" si="16"/>
        <v>0.32038727456142507</v>
      </c>
      <c r="X27" s="241">
        <f t="shared" si="16"/>
        <v>0.30575711898669095</v>
      </c>
      <c r="Y27" s="241">
        <f t="shared" si="16"/>
        <v>0.31684157372442256</v>
      </c>
      <c r="Z27" s="241">
        <f t="shared" si="16"/>
        <v>0.30270936238993568</v>
      </c>
      <c r="AA27" s="241">
        <f t="shared" si="16"/>
        <v>0.31132625550609927</v>
      </c>
      <c r="AB27" s="174">
        <f t="shared" si="16"/>
        <v>0.29584781284706052</v>
      </c>
      <c r="AC27" s="174">
        <f t="shared" si="16"/>
        <v>0.2727328649992003</v>
      </c>
      <c r="AD27" s="174">
        <f t="shared" si="16"/>
        <v>0.35294222121593888</v>
      </c>
      <c r="AE27" s="174">
        <f t="shared" si="16"/>
        <v>0.35925648027559887</v>
      </c>
      <c r="AF27" s="174">
        <f t="shared" si="16"/>
        <v>0.32152032068350062</v>
      </c>
      <c r="AG27" s="174">
        <f t="shared" ref="AG27" si="17">AG26/AG23</f>
        <v>0.38467529618253621</v>
      </c>
      <c r="AH27" s="174">
        <f>'[45]Segment Information '!$B$8/'[45]Segment Information '!$B$6</f>
        <v>0.37331475205608167</v>
      </c>
    </row>
    <row r="28" spans="1:37" x14ac:dyDescent="0.5">
      <c r="A28" s="164"/>
      <c r="B28" s="172"/>
      <c r="C28" s="241"/>
      <c r="D28" s="244"/>
      <c r="E28" s="244"/>
      <c r="F28" s="244"/>
      <c r="G28" s="244"/>
      <c r="K28" s="163"/>
      <c r="L28" s="163"/>
      <c r="M28" s="163"/>
      <c r="N28" s="163"/>
      <c r="O28" s="163"/>
      <c r="P28" s="163"/>
      <c r="Q28" s="163"/>
      <c r="R28" s="241"/>
      <c r="S28" s="244"/>
      <c r="T28" s="244"/>
      <c r="U28" s="244"/>
      <c r="V28" s="244"/>
      <c r="W28" s="241"/>
      <c r="X28" s="244"/>
      <c r="Y28" s="244"/>
      <c r="Z28" s="244"/>
      <c r="AA28" s="244"/>
    </row>
    <row r="29" spans="1:37" x14ac:dyDescent="0.5">
      <c r="A29" s="164"/>
      <c r="B29" s="172"/>
      <c r="C29" s="241"/>
      <c r="D29" s="244"/>
      <c r="E29" s="244"/>
      <c r="F29" s="244"/>
      <c r="G29" s="244"/>
      <c r="K29" s="163"/>
      <c r="L29" s="163"/>
      <c r="M29" s="163"/>
      <c r="N29" s="163"/>
      <c r="O29" s="163"/>
      <c r="P29" s="163"/>
      <c r="Q29" s="163"/>
      <c r="R29" s="241"/>
      <c r="S29" s="244"/>
      <c r="T29" s="244"/>
      <c r="U29" s="244"/>
      <c r="V29" s="244"/>
      <c r="W29" s="241"/>
      <c r="X29" s="244"/>
      <c r="Y29" s="244"/>
      <c r="Z29" s="244"/>
      <c r="AA29" s="244"/>
    </row>
    <row r="30" spans="1:37" x14ac:dyDescent="0.5">
      <c r="A30" s="177"/>
      <c r="B30" s="177" t="s">
        <v>151</v>
      </c>
      <c r="C30" s="243">
        <v>18932</v>
      </c>
      <c r="D30" s="246">
        <v>18923</v>
      </c>
      <c r="E30" s="246">
        <v>18872</v>
      </c>
      <c r="F30" s="246">
        <f>+G30-SUM(C30,D30,E30)</f>
        <v>20286</v>
      </c>
      <c r="G30" s="247">
        <v>77013</v>
      </c>
      <c r="H30" s="179">
        <v>22797</v>
      </c>
      <c r="I30" s="179">
        <v>19817</v>
      </c>
      <c r="J30" s="179">
        <v>20375</v>
      </c>
      <c r="K30" s="179">
        <f>+L30-SUM(H30:J30)</f>
        <v>21402</v>
      </c>
      <c r="L30" s="179">
        <v>84391</v>
      </c>
      <c r="M30" s="179">
        <v>20569</v>
      </c>
      <c r="N30" s="179">
        <v>20016</v>
      </c>
      <c r="O30" s="179">
        <f>'[3]Segment Information'!$C$31</f>
        <v>23978</v>
      </c>
      <c r="P30" s="179">
        <f>+Q30-SUM(M30:O30)</f>
        <v>26026</v>
      </c>
      <c r="Q30" s="179">
        <f>'[4]Segment Information 10K'!$C$30</f>
        <v>90589</v>
      </c>
      <c r="R30" s="239">
        <f>[35]Summary!$B$14</f>
        <v>24140.716187444454</v>
      </c>
      <c r="S30" s="247">
        <f>[35]Summary!$F$14</f>
        <v>21172.537169999996</v>
      </c>
      <c r="T30" s="247">
        <f>[35]Summary!$J$14</f>
        <v>21666.227190000001</v>
      </c>
      <c r="U30" s="247">
        <f>[35]Summary!$N$14</f>
        <v>22865.514659999993</v>
      </c>
      <c r="V30" s="247">
        <f>[35]Summary!$R$14</f>
        <v>89844.995207444445</v>
      </c>
      <c r="W30" s="239">
        <f>[35]Summary!$B$5</f>
        <v>22248</v>
      </c>
      <c r="X30" s="247">
        <f>[35]Summary!$F$5</f>
        <v>21730</v>
      </c>
      <c r="Y30" s="247">
        <f>ROUND([35]Summary!$J$5,0)</f>
        <v>25631</v>
      </c>
      <c r="Z30" s="247">
        <f>[35]Summary!$N$5</f>
        <v>27856</v>
      </c>
      <c r="AA30" s="247">
        <f>[35]Summary!$R$5</f>
        <v>97465</v>
      </c>
      <c r="AB30" s="179">
        <f>'[5]Segment Information '!$C$30</f>
        <v>27029</v>
      </c>
      <c r="AC30" s="179">
        <f>'[6]Segment Information '!$C$6</f>
        <v>24978</v>
      </c>
      <c r="AD30" s="179">
        <f>[42]Summary!$J$5</f>
        <v>25111.897839999998</v>
      </c>
      <c r="AE30" s="179">
        <f>AF30-SUM(AB30:AD30)</f>
        <v>24196.102160000009</v>
      </c>
      <c r="AF30" s="179">
        <f>'[8]Segment Information '!$C$6</f>
        <v>101315</v>
      </c>
      <c r="AG30" s="179">
        <f>'[9]Segment Information '!$C$6</f>
        <v>30265</v>
      </c>
      <c r="AH30" s="179">
        <f>'[10]Segment Information '!$C$6</f>
        <v>28250</v>
      </c>
      <c r="AK30" s="361"/>
    </row>
    <row r="31" spans="1:37" x14ac:dyDescent="0.5">
      <c r="A31" s="164"/>
      <c r="B31" s="172" t="s">
        <v>148</v>
      </c>
      <c r="C31" s="240">
        <v>0.15526481317864382</v>
      </c>
      <c r="D31" s="240">
        <v>8.4913876829762813E-2</v>
      </c>
      <c r="E31" s="240">
        <v>0.18255626641190092</v>
      </c>
      <c r="F31" s="240">
        <v>7.5171344960278219E-2</v>
      </c>
      <c r="G31" s="240">
        <v>0.12172505947529899</v>
      </c>
      <c r="H31" s="181">
        <f t="shared" ref="H31:Q31" si="18">H30/C30-1</f>
        <v>0.20415170082400169</v>
      </c>
      <c r="I31" s="181">
        <f t="shared" si="18"/>
        <v>4.7244094488188892E-2</v>
      </c>
      <c r="J31" s="181">
        <f t="shared" si="18"/>
        <v>7.9641797371767797E-2</v>
      </c>
      <c r="K31" s="181">
        <f t="shared" si="18"/>
        <v>5.501330967169471E-2</v>
      </c>
      <c r="L31" s="181">
        <f t="shared" si="18"/>
        <v>9.5802007453287041E-2</v>
      </c>
      <c r="M31" s="181">
        <f t="shared" si="18"/>
        <v>-9.7732157740053505E-2</v>
      </c>
      <c r="N31" s="181">
        <f t="shared" si="18"/>
        <v>1.004188323156896E-2</v>
      </c>
      <c r="O31" s="181">
        <f t="shared" si="18"/>
        <v>0.17683435582822082</v>
      </c>
      <c r="P31" s="181">
        <f t="shared" si="18"/>
        <v>0.21605457433884689</v>
      </c>
      <c r="Q31" s="181">
        <f t="shared" si="18"/>
        <v>7.3443850647580966E-2</v>
      </c>
      <c r="R31" s="240">
        <v>0.13532522794008672</v>
      </c>
      <c r="S31" s="240">
        <v>3.8818963441629162E-3</v>
      </c>
      <c r="T31" s="240">
        <v>3.9368385784354087E-2</v>
      </c>
      <c r="U31" s="240">
        <v>3.6832266521939383E-2</v>
      </c>
      <c r="V31" s="240">
        <v>5.3866943787367783E-2</v>
      </c>
      <c r="W31" s="240">
        <f>[35]Summary!X$5</f>
        <v>-7.8403481187059865E-2</v>
      </c>
      <c r="X31" s="240">
        <f>[35]Summary!Y$5</f>
        <v>2.6329524209780963E-2</v>
      </c>
      <c r="Y31" s="240">
        <f>[35]Summary!Z$5</f>
        <v>0.18299322605783108</v>
      </c>
      <c r="Z31" s="240">
        <f>[35]Summary!AA$5</f>
        <v>0.21825379459882255</v>
      </c>
      <c r="AA31" s="240">
        <f>[35]Summary!AB$5</f>
        <v>8.4812790906845903E-2</v>
      </c>
      <c r="AB31" s="181">
        <f>AB30/W30-1</f>
        <v>0.21489572096368215</v>
      </c>
      <c r="AC31" s="181">
        <f>AC30/X30-1</f>
        <v>0.1494707777266453</v>
      </c>
      <c r="AD31" s="181">
        <f>AD30/Y30-1</f>
        <v>-2.0252903125121957E-2</v>
      </c>
      <c r="AE31" s="181">
        <f t="shared" ref="AE31:AF31" si="19">AE30/Z30-1</f>
        <v>-0.13138633831131497</v>
      </c>
      <c r="AF31" s="181">
        <f t="shared" si="19"/>
        <v>3.9501359462371211E-2</v>
      </c>
      <c r="AG31" s="181">
        <f>AG30/AB30-1</f>
        <v>0.1197232602020053</v>
      </c>
      <c r="AH31" s="181">
        <f>AH30/AC30-1</f>
        <v>0.13099527584274151</v>
      </c>
    </row>
    <row r="32" spans="1:37" x14ac:dyDescent="0.5">
      <c r="A32" s="164"/>
      <c r="B32" s="172" t="s">
        <v>159</v>
      </c>
      <c r="C32" s="240">
        <v>0.15625881183456625</v>
      </c>
      <c r="D32" s="245">
        <v>8.5925937063991764E-2</v>
      </c>
      <c r="E32" s="240">
        <v>0.18313485759232662</v>
      </c>
      <c r="F32" s="240">
        <v>7.5285882262229098E-2</v>
      </c>
      <c r="G32" s="240">
        <v>0.12238539808923177</v>
      </c>
      <c r="H32" s="173">
        <v>0.20412407210167127</v>
      </c>
      <c r="I32" s="173">
        <v>4.725912118564346E-2</v>
      </c>
      <c r="J32" s="174">
        <f>'[43]Revenues and Margins'!$V$31</f>
        <v>7.9651754267672015E-2</v>
      </c>
      <c r="K32" s="174">
        <v>5.5000409410426609E-2</v>
      </c>
      <c r="L32" s="173">
        <v>9.5797890578221301E-2</v>
      </c>
      <c r="M32" s="173">
        <v>-9.8000000000000004E-2</v>
      </c>
      <c r="N32" s="181">
        <v>0.01</v>
      </c>
      <c r="O32" s="181">
        <v>0.17699999999999999</v>
      </c>
      <c r="P32" s="173">
        <v>0.216</v>
      </c>
      <c r="Q32" s="173">
        <v>7.2999999999999995E-2</v>
      </c>
      <c r="R32" s="241">
        <v>0.13502306072919135</v>
      </c>
      <c r="S32" s="241">
        <v>4.5258241443262293E-3</v>
      </c>
      <c r="T32" s="241">
        <v>4.0815849427945139E-2</v>
      </c>
      <c r="U32" s="241">
        <v>3.8181547156444173E-2</v>
      </c>
      <c r="V32" s="241">
        <v>5.465384128904871E-2</v>
      </c>
      <c r="W32" s="241">
        <v>-7.6661845867398548E-2</v>
      </c>
      <c r="X32" s="241">
        <v>2.6975149432786338E-2</v>
      </c>
      <c r="Y32" s="241">
        <v>0.18286178794395647</v>
      </c>
      <c r="Z32" s="241">
        <v>0.21831034469248523</v>
      </c>
      <c r="AA32" s="241">
        <v>8.5416247648292698E-2</v>
      </c>
      <c r="AB32" s="181">
        <f>'[36]Slide 6b'!$N$8</f>
        <v>0.21561497984223843</v>
      </c>
      <c r="AC32" s="181">
        <f>'[37]Slide 7b'!$N$8</f>
        <v>0.15089951509570332</v>
      </c>
      <c r="AD32" s="181">
        <f>'[38]7b'!$N$8</f>
        <v>-1.9461249231818911E-2</v>
      </c>
      <c r="AE32" s="181">
        <f>'[39]Slide 6 Q Ops Seg. Rev&amp;GM wi HI'!$N$8</f>
        <v>-0.1308056428564105</v>
      </c>
      <c r="AF32" s="181">
        <f>'[39]Slide 16 FY Op seg Rev&amp;GM wi HI'!$H$9</f>
        <v>4.0358540083005323E-2</v>
      </c>
      <c r="AG32" s="181">
        <f>'[40]Segment View'!$O$11</f>
        <v>0.11964786617880518</v>
      </c>
      <c r="AH32" s="181">
        <f>'[41]Segment View'!$O$11</f>
        <v>0.13081910310668454</v>
      </c>
    </row>
    <row r="33" spans="1:37" x14ac:dyDescent="0.5">
      <c r="A33" s="164"/>
      <c r="B33" s="172" t="s">
        <v>58</v>
      </c>
      <c r="C33" s="242">
        <f>ROUND(6623.4364085443,0)</f>
        <v>6623</v>
      </c>
      <c r="D33" s="242">
        <v>6616.794367465307</v>
      </c>
      <c r="E33" s="242">
        <f>ROUND(6797.84019495859,0)+1</f>
        <v>6799</v>
      </c>
      <c r="F33" s="242">
        <f>ROUND(+G33-SUM(C33,D33,E33),0)</f>
        <v>7562</v>
      </c>
      <c r="G33" s="242">
        <f>ROUND(27600.7825640754,0)</f>
        <v>27601</v>
      </c>
      <c r="H33" s="175">
        <v>5555</v>
      </c>
      <c r="I33" s="175">
        <v>3104</v>
      </c>
      <c r="J33" s="175">
        <v>4578</v>
      </c>
      <c r="K33" s="175">
        <f>+L33-SUM(H33:J33)</f>
        <v>4386</v>
      </c>
      <c r="L33" s="175">
        <v>17623</v>
      </c>
      <c r="M33" s="175">
        <v>3574</v>
      </c>
      <c r="N33" s="175">
        <v>3151</v>
      </c>
      <c r="O33" s="175">
        <f>'[3]Segment Information'!$C$33</f>
        <v>4590</v>
      </c>
      <c r="P33" s="175">
        <f>+Q33-SUM(M33:O33)</f>
        <v>5624</v>
      </c>
      <c r="Q33" s="175">
        <f>'[4]Segment Information 10K'!$C$32</f>
        <v>16939</v>
      </c>
      <c r="R33" s="242">
        <f>[35]Summary!$D$14</f>
        <v>5511.3214201459086</v>
      </c>
      <c r="S33" s="242">
        <f>[35]Summary!$H$14</f>
        <v>3496.5549440261566</v>
      </c>
      <c r="T33" s="242">
        <f>[35]Summary!$L$14</f>
        <v>5257.7920387148552</v>
      </c>
      <c r="U33" s="242">
        <f>[35]Summary!$P$14</f>
        <v>5132.9121908205634</v>
      </c>
      <c r="V33" s="242">
        <f>[35]Summary!$T$14</f>
        <v>19398.580593707491</v>
      </c>
      <c r="W33" s="242">
        <f>[44]Summary!$D$5</f>
        <v>4446</v>
      </c>
      <c r="X33" s="242">
        <f>[44]Summary!$H$5</f>
        <v>3981</v>
      </c>
      <c r="Y33" s="242">
        <f>[44]Summary!$L$5</f>
        <v>5222</v>
      </c>
      <c r="Z33" s="242">
        <f>[44]Summary!$P$5</f>
        <v>6768</v>
      </c>
      <c r="AA33" s="242">
        <f>[44]Summary!$T$5</f>
        <v>20417</v>
      </c>
      <c r="AB33" s="175">
        <f>'[5]Segment Information '!$C$32</f>
        <v>7436</v>
      </c>
      <c r="AC33" s="175">
        <f>'[6]Segment Information '!$C$8</f>
        <v>5338</v>
      </c>
      <c r="AD33" s="175">
        <f>[42]Summary!$L$5</f>
        <v>7119.2778883515457</v>
      </c>
      <c r="AE33" s="175">
        <f>AF33-SUM(AB33:AD33)</f>
        <v>8278.7221116484543</v>
      </c>
      <c r="AF33" s="175">
        <f>'[8]Segment Information '!$C$8</f>
        <v>28172</v>
      </c>
      <c r="AG33" s="175">
        <f>'[9]Segment Information '!$C$8</f>
        <v>12874</v>
      </c>
      <c r="AH33" s="175">
        <f>'[10]Segment Information '!$C$8</f>
        <v>10565</v>
      </c>
    </row>
    <row r="34" spans="1:37" x14ac:dyDescent="0.5">
      <c r="A34" s="164"/>
      <c r="B34" s="172" t="s">
        <v>60</v>
      </c>
      <c r="C34" s="241">
        <f t="shared" ref="C34:H34" si="20">C33/C30</f>
        <v>0.34983097401225438</v>
      </c>
      <c r="D34" s="241">
        <f t="shared" si="20"/>
        <v>0.34966941644904648</v>
      </c>
      <c r="E34" s="241">
        <f t="shared" si="20"/>
        <v>0.36026918185671897</v>
      </c>
      <c r="F34" s="241">
        <f>F33/F30</f>
        <v>0.37276939761411809</v>
      </c>
      <c r="G34" s="241">
        <f>G33/G30</f>
        <v>0.35839403737031411</v>
      </c>
      <c r="H34" s="174">
        <f t="shared" si="20"/>
        <v>0.24367241303680309</v>
      </c>
      <c r="I34" s="174">
        <f t="shared" ref="I34:AF34" si="21">I33/I30</f>
        <v>0.15663319372256143</v>
      </c>
      <c r="J34" s="174">
        <f t="shared" si="21"/>
        <v>0.22468711656441717</v>
      </c>
      <c r="K34" s="174">
        <f t="shared" si="21"/>
        <v>0.2049341183067003</v>
      </c>
      <c r="L34" s="174">
        <f t="shared" si="21"/>
        <v>0.20882558566671802</v>
      </c>
      <c r="M34" s="174">
        <f t="shared" si="21"/>
        <v>0.17375662404589431</v>
      </c>
      <c r="N34" s="174">
        <f t="shared" si="21"/>
        <v>0.15742406075139889</v>
      </c>
      <c r="O34" s="174">
        <f t="shared" si="21"/>
        <v>0.19142547335057136</v>
      </c>
      <c r="P34" s="174">
        <f t="shared" si="21"/>
        <v>0.21609160070698533</v>
      </c>
      <c r="Q34" s="174">
        <f t="shared" si="21"/>
        <v>0.18698738257404321</v>
      </c>
      <c r="R34" s="241">
        <f t="shared" si="21"/>
        <v>0.22829983076526691</v>
      </c>
      <c r="S34" s="241">
        <f t="shared" si="21"/>
        <v>0.16514576953868951</v>
      </c>
      <c r="T34" s="241">
        <f t="shared" si="21"/>
        <v>0.24267224711562044</v>
      </c>
      <c r="U34" s="241">
        <f t="shared" si="21"/>
        <v>0.2244826878880567</v>
      </c>
      <c r="V34" s="241">
        <f t="shared" si="21"/>
        <v>0.21591164370277743</v>
      </c>
      <c r="W34" s="241">
        <f t="shared" si="21"/>
        <v>0.19983818770226539</v>
      </c>
      <c r="X34" s="241">
        <f t="shared" si="21"/>
        <v>0.18320294523699954</v>
      </c>
      <c r="Y34" s="241">
        <f t="shared" si="21"/>
        <v>0.20373766142561742</v>
      </c>
      <c r="Z34" s="241">
        <f t="shared" si="21"/>
        <v>0.24296381390005745</v>
      </c>
      <c r="AA34" s="241">
        <f t="shared" si="21"/>
        <v>0.20948032627096907</v>
      </c>
      <c r="AB34" s="174">
        <f t="shared" si="21"/>
        <v>0.27511191683007141</v>
      </c>
      <c r="AC34" s="174">
        <f t="shared" si="21"/>
        <v>0.21370806309552406</v>
      </c>
      <c r="AD34" s="174">
        <f t="shared" si="21"/>
        <v>0.2835021842519389</v>
      </c>
      <c r="AE34" s="174">
        <f t="shared" si="21"/>
        <v>0.3421510645352826</v>
      </c>
      <c r="AF34" s="174">
        <f t="shared" si="21"/>
        <v>0.27806346542960075</v>
      </c>
      <c r="AG34" s="174">
        <f t="shared" ref="AG34" si="22">AG33/AG30</f>
        <v>0.42537584668759293</v>
      </c>
      <c r="AH34" s="174">
        <f>'[45]Segment Information '!$C$8/'[45]Segment Information '!$C$6</f>
        <v>0.37398230088495577</v>
      </c>
      <c r="AJ34" s="377"/>
    </row>
    <row r="35" spans="1:37" x14ac:dyDescent="0.5">
      <c r="A35" s="164"/>
      <c r="B35" s="172"/>
      <c r="C35" s="241"/>
      <c r="D35" s="241"/>
      <c r="E35" s="241"/>
      <c r="F35" s="241"/>
      <c r="G35" s="241"/>
      <c r="H35" s="174"/>
      <c r="I35" s="174"/>
      <c r="J35" s="174"/>
      <c r="K35" s="174"/>
      <c r="L35" s="174"/>
      <c r="M35" s="174"/>
      <c r="N35" s="174"/>
      <c r="O35" s="174"/>
      <c r="P35" s="174"/>
      <c r="Q35" s="174"/>
      <c r="R35" s="241"/>
      <c r="S35" s="241"/>
      <c r="T35" s="241"/>
      <c r="U35" s="241"/>
      <c r="V35" s="241"/>
      <c r="W35" s="241"/>
      <c r="X35" s="241"/>
      <c r="Y35" s="241"/>
      <c r="Z35" s="241"/>
      <c r="AA35" s="241"/>
      <c r="AB35" s="174"/>
      <c r="AC35" s="174"/>
      <c r="AD35" s="174"/>
      <c r="AE35" s="174"/>
      <c r="AF35" s="174"/>
      <c r="AG35" s="174"/>
      <c r="AH35" s="174"/>
      <c r="AJ35" s="378"/>
    </row>
    <row r="36" spans="1:37" x14ac:dyDescent="0.5">
      <c r="A36" s="177"/>
      <c r="B36" s="177" t="s">
        <v>229</v>
      </c>
      <c r="C36" s="243"/>
      <c r="D36" s="246"/>
      <c r="E36" s="246"/>
      <c r="F36" s="246"/>
      <c r="G36" s="247"/>
      <c r="H36" s="179"/>
      <c r="I36" s="179"/>
      <c r="J36" s="179"/>
      <c r="K36" s="179"/>
      <c r="L36" s="179"/>
      <c r="M36" s="179"/>
      <c r="N36" s="179"/>
      <c r="O36" s="179"/>
      <c r="P36" s="179"/>
      <c r="Q36" s="179"/>
      <c r="R36" s="239">
        <f>[35]Summary!$B$15</f>
        <v>49582.083608125431</v>
      </c>
      <c r="S36" s="247">
        <f>[35]Summary!$F$15</f>
        <v>50707.611067890277</v>
      </c>
      <c r="T36" s="247">
        <f>[35]Summary!$J$15</f>
        <v>48993.616066006805</v>
      </c>
      <c r="U36" s="247">
        <f>[35]Summary!$N$15</f>
        <v>47542.229781760056</v>
      </c>
      <c r="V36" s="247">
        <f>[35]Summary!$R$15+1</f>
        <v>196824.54052378255</v>
      </c>
      <c r="W36" s="239">
        <f>[35]Summary!$B$6</f>
        <v>49078</v>
      </c>
      <c r="X36" s="247">
        <f>[35]Summary!$F$6</f>
        <v>48327</v>
      </c>
      <c r="Y36" s="247">
        <f>ROUND([35]Summary!$J$6,0)</f>
        <v>45912</v>
      </c>
      <c r="Z36" s="247">
        <f>[35]Summary!$N$6</f>
        <v>46801</v>
      </c>
      <c r="AA36" s="247">
        <f>[35]Summary!$R$6</f>
        <v>190118</v>
      </c>
      <c r="AB36" s="179">
        <f>'[5]Segment Information '!$D$30</f>
        <v>42791</v>
      </c>
      <c r="AC36" s="179">
        <f>'[6]Segment Information '!$D$6</f>
        <v>34535</v>
      </c>
      <c r="AD36" s="179">
        <f>'[7]Segment Information '!$D$6</f>
        <v>37577</v>
      </c>
      <c r="AE36" s="179">
        <f>AF36-SUM(AB36:AD36)</f>
        <v>37767</v>
      </c>
      <c r="AF36" s="179">
        <f>'[8]Segment Information '!$D$6</f>
        <v>152670</v>
      </c>
      <c r="AG36" s="179">
        <f>'[9]Segment Information '!$D$6</f>
        <v>37668</v>
      </c>
      <c r="AH36" s="179">
        <f>'[10]Segment Information '!$D$6</f>
        <v>40690</v>
      </c>
      <c r="AK36" s="361"/>
    </row>
    <row r="37" spans="1:37" x14ac:dyDescent="0.5">
      <c r="A37" s="164"/>
      <c r="B37" s="172" t="s">
        <v>148</v>
      </c>
      <c r="C37" s="240"/>
      <c r="D37" s="240"/>
      <c r="E37" s="240"/>
      <c r="F37" s="240"/>
      <c r="G37" s="240"/>
      <c r="H37" s="173"/>
      <c r="I37" s="173"/>
      <c r="J37" s="173"/>
      <c r="K37" s="173"/>
      <c r="L37" s="173"/>
      <c r="M37" s="173"/>
      <c r="N37" s="173"/>
      <c r="O37" s="173"/>
      <c r="P37" s="173"/>
      <c r="Q37" s="173"/>
      <c r="R37" s="240">
        <v>-7.1766246416520296E-3</v>
      </c>
      <c r="S37" s="240">
        <v>7.3355111803201645E-3</v>
      </c>
      <c r="T37" s="240">
        <v>-1.7200992854702113E-2</v>
      </c>
      <c r="U37" s="240">
        <v>-1.5358179166956365E-2</v>
      </c>
      <c r="V37" s="240">
        <v>-8.0080471518180207E-3</v>
      </c>
      <c r="W37" s="240">
        <f>[35]Summary!X$6</f>
        <v>-1.0166648342362583E-2</v>
      </c>
      <c r="X37" s="240">
        <f>[35]Summary!Y$6</f>
        <v>-4.694780562040235E-2</v>
      </c>
      <c r="Y37" s="240">
        <f>[35]Summary!Z$6</f>
        <v>-6.2898318463676772E-2</v>
      </c>
      <c r="Z37" s="240">
        <f>[35]Summary!AA$6</f>
        <v>-1.5590976383788258E-2</v>
      </c>
      <c r="AA37" s="240">
        <f>[35]Summary!AB$6</f>
        <v>-3.4068793325929936E-2</v>
      </c>
      <c r="AB37" s="173">
        <f>AB36/W36-1</f>
        <v>-0.12810220465381639</v>
      </c>
      <c r="AC37" s="173">
        <f>AC36/X36-1</f>
        <v>-0.28538911995364913</v>
      </c>
      <c r="AD37" s="173">
        <f>AD36/Y36-1</f>
        <v>-0.18154295173375157</v>
      </c>
      <c r="AE37" s="173">
        <f t="shared" ref="AE37:AF37" si="23">AE36/Z36-1</f>
        <v>-0.19303006346018248</v>
      </c>
      <c r="AF37" s="173">
        <f t="shared" si="23"/>
        <v>-0.19697240661063131</v>
      </c>
      <c r="AG37" s="173">
        <f>AG36/AB36-1</f>
        <v>-0.11972143675071856</v>
      </c>
      <c r="AH37" s="173">
        <f>AH36/AC36-1</f>
        <v>0.17822498914145068</v>
      </c>
    </row>
    <row r="38" spans="1:37" x14ac:dyDescent="0.5">
      <c r="A38" s="164"/>
      <c r="B38" s="172" t="s">
        <v>159</v>
      </c>
      <c r="C38" s="240"/>
      <c r="D38" s="245"/>
      <c r="E38" s="240"/>
      <c r="F38" s="240"/>
      <c r="G38" s="240"/>
      <c r="H38" s="173"/>
      <c r="I38" s="173"/>
      <c r="J38" s="174"/>
      <c r="K38" s="174"/>
      <c r="L38" s="173"/>
      <c r="M38" s="173"/>
      <c r="N38" s="181"/>
      <c r="O38" s="181"/>
      <c r="P38" s="173"/>
      <c r="Q38" s="173"/>
      <c r="R38" s="241">
        <v>-1.9987302814858054E-2</v>
      </c>
      <c r="S38" s="241">
        <v>1.6785846230720658E-2</v>
      </c>
      <c r="T38" s="241">
        <v>1.1701728919066845E-2</v>
      </c>
      <c r="U38" s="241">
        <v>2.0109333595353496E-2</v>
      </c>
      <c r="V38" s="241">
        <v>7.0608280109063504E-3</v>
      </c>
      <c r="W38" s="241">
        <v>1.6162810467584166E-2</v>
      </c>
      <c r="X38" s="241">
        <v>-3.5680958427906306E-2</v>
      </c>
      <c r="Y38" s="241">
        <v>-6.2191215513976217E-2</v>
      </c>
      <c r="Z38" s="241">
        <v>-1.671263092743791E-2</v>
      </c>
      <c r="AA38" s="241">
        <v>-2.4642124558533207E-2</v>
      </c>
      <c r="AB38" s="181">
        <f>'[36]Slide 6b'!$N$9</f>
        <v>-0.11863677605004952</v>
      </c>
      <c r="AC38" s="181">
        <f>'[37]Slide 7b'!$N$9</f>
        <v>-0.26842847954829785</v>
      </c>
      <c r="AD38" s="181">
        <f>'[38]7b'!$N$9</f>
        <v>-0.17341488098325408</v>
      </c>
      <c r="AE38" s="181">
        <f>'[39]Slide 6 Q Ops Seg. Rev&amp;GM wi HI'!$N$9</f>
        <v>-0.18904768662088101</v>
      </c>
      <c r="AF38" s="181">
        <f>'[39]Slide 16 FY Op seg Rev&amp;GM wi HI'!$H$10</f>
        <v>-0.1872749158062964</v>
      </c>
      <c r="AG38" s="181">
        <f>'[40]Segment View'!$O$12</f>
        <v>-0.1247819651204235</v>
      </c>
      <c r="AH38" s="181">
        <f>'[41]Segment View'!$O$12</f>
        <v>0.16222161892348419</v>
      </c>
    </row>
    <row r="39" spans="1:37" x14ac:dyDescent="0.5">
      <c r="A39" s="164"/>
      <c r="B39" s="172" t="s">
        <v>58</v>
      </c>
      <c r="C39" s="242"/>
      <c r="D39" s="242"/>
      <c r="E39" s="242"/>
      <c r="F39" s="242"/>
      <c r="G39" s="242"/>
      <c r="H39" s="175"/>
      <c r="I39" s="175"/>
      <c r="J39" s="175"/>
      <c r="K39" s="175"/>
      <c r="L39" s="175"/>
      <c r="M39" s="175"/>
      <c r="N39" s="175"/>
      <c r="O39" s="175"/>
      <c r="P39" s="175"/>
      <c r="Q39" s="175"/>
      <c r="R39" s="242">
        <f>[35]Summary!$D$15</f>
        <v>20086.983382073111</v>
      </c>
      <c r="S39" s="242">
        <f>[35]Summary!$H$15</f>
        <v>20199.203012760525</v>
      </c>
      <c r="T39" s="242">
        <f>[35]Summary!$L$15</f>
        <v>19922.494664906415</v>
      </c>
      <c r="U39" s="242">
        <f>[35]Summary!$P$15</f>
        <v>18631.327774917048</v>
      </c>
      <c r="V39" s="242">
        <f>[35]Summary!$T$15</f>
        <v>78839.00883465707</v>
      </c>
      <c r="W39" s="242">
        <f>[44]Summary!$D$6</f>
        <v>21785</v>
      </c>
      <c r="X39" s="242">
        <f>[44]Summary!$H$6</f>
        <v>20475</v>
      </c>
      <c r="Y39" s="242">
        <f>[44]Summary!$L$6</f>
        <v>18845</v>
      </c>
      <c r="Z39" s="242">
        <f>[44]Summary!$P$6</f>
        <v>20396</v>
      </c>
      <c r="AA39" s="242">
        <f>[44]Summary!$T$6</f>
        <v>81501</v>
      </c>
      <c r="AB39" s="175">
        <f>'[5]Segment Information '!$D$32</f>
        <v>17309</v>
      </c>
      <c r="AC39" s="175">
        <f>'[6]Segment Information '!$D$8</f>
        <v>12119</v>
      </c>
      <c r="AD39" s="175">
        <f>'[7]Segment Information '!$D$8</f>
        <v>16785</v>
      </c>
      <c r="AE39" s="175">
        <f>AF39-SUM(AB39:AD39)</f>
        <v>16998</v>
      </c>
      <c r="AF39" s="175">
        <f>'[8]Segment Information '!$D$8</f>
        <v>63211</v>
      </c>
      <c r="AG39" s="175">
        <f>'[9]Segment Information '!$D$8</f>
        <v>16824</v>
      </c>
      <c r="AH39" s="175">
        <f>'[10]Segment Information '!$D$8</f>
        <v>18344</v>
      </c>
    </row>
    <row r="40" spans="1:37" x14ac:dyDescent="0.5">
      <c r="A40" s="164"/>
      <c r="B40" s="172" t="s">
        <v>60</v>
      </c>
      <c r="C40" s="241"/>
      <c r="D40" s="241"/>
      <c r="E40" s="241"/>
      <c r="F40" s="241"/>
      <c r="G40" s="241"/>
      <c r="H40" s="174"/>
      <c r="I40" s="174"/>
      <c r="J40" s="174"/>
      <c r="K40" s="174"/>
      <c r="L40" s="174"/>
      <c r="M40" s="174"/>
      <c r="N40" s="174"/>
      <c r="O40" s="174"/>
      <c r="P40" s="174"/>
      <c r="Q40" s="174"/>
      <c r="R40" s="241">
        <f t="shared" ref="R40:AF40" si="24">R39/R36</f>
        <v>0.40512584224639742</v>
      </c>
      <c r="S40" s="241">
        <f t="shared" si="24"/>
        <v>0.39834657139963991</v>
      </c>
      <c r="T40" s="241">
        <f t="shared" si="24"/>
        <v>0.40663450189236433</v>
      </c>
      <c r="U40" s="241">
        <f t="shared" si="24"/>
        <v>0.39189007037413087</v>
      </c>
      <c r="V40" s="241">
        <f t="shared" si="24"/>
        <v>0.40055477139615553</v>
      </c>
      <c r="W40" s="241">
        <f t="shared" si="24"/>
        <v>0.44388524389746936</v>
      </c>
      <c r="X40" s="241">
        <f t="shared" si="24"/>
        <v>0.4236762058476628</v>
      </c>
      <c r="Y40" s="241">
        <f t="shared" si="24"/>
        <v>0.41045913922286115</v>
      </c>
      <c r="Z40" s="241">
        <f t="shared" si="24"/>
        <v>0.43580265378944893</v>
      </c>
      <c r="AA40" s="241">
        <f t="shared" si="24"/>
        <v>0.42868639476535625</v>
      </c>
      <c r="AB40" s="174">
        <f t="shared" si="24"/>
        <v>0.40450094646070434</v>
      </c>
      <c r="AC40" s="174">
        <f t="shared" si="24"/>
        <v>0.35091935717388156</v>
      </c>
      <c r="AD40" s="174">
        <f t="shared" si="24"/>
        <v>0.44668281129414267</v>
      </c>
      <c r="AE40" s="174">
        <f t="shared" si="24"/>
        <v>0.45007546270553656</v>
      </c>
      <c r="AF40" s="174">
        <f t="shared" si="24"/>
        <v>0.41403681142333137</v>
      </c>
      <c r="AG40" s="174">
        <f t="shared" ref="AG40" si="25">AG39/AG36</f>
        <v>0.44663905702453011</v>
      </c>
      <c r="AH40" s="174">
        <f>'[45]Segment Information '!$D$8/'[45]Segment Information '!$D$6</f>
        <v>0.45082329810764316</v>
      </c>
    </row>
    <row r="41" spans="1:37" x14ac:dyDescent="0.5">
      <c r="A41" s="164"/>
      <c r="B41" s="172"/>
      <c r="C41" s="241"/>
      <c r="D41" s="244"/>
      <c r="E41" s="244"/>
      <c r="F41" s="244"/>
      <c r="G41" s="244"/>
      <c r="K41" s="163"/>
      <c r="L41" s="163"/>
      <c r="M41" s="163"/>
      <c r="N41" s="163"/>
      <c r="O41" s="163"/>
      <c r="P41" s="163"/>
      <c r="Q41" s="163"/>
      <c r="R41" s="241"/>
      <c r="S41" s="244"/>
      <c r="T41" s="244"/>
      <c r="U41" s="244"/>
      <c r="V41" s="244"/>
      <c r="W41" s="241"/>
      <c r="X41" s="244"/>
      <c r="Y41" s="244"/>
      <c r="Z41" s="244"/>
      <c r="AA41" s="244"/>
    </row>
    <row r="42" spans="1:37" hidden="1" x14ac:dyDescent="0.5">
      <c r="A42" s="177"/>
      <c r="B42" s="177" t="s">
        <v>149</v>
      </c>
      <c r="C42" s="243">
        <v>17043</v>
      </c>
      <c r="D42" s="246">
        <v>17835</v>
      </c>
      <c r="E42" s="246">
        <v>18496</v>
      </c>
      <c r="F42" s="246">
        <f>+G42-SUM(C42,D42,E42)</f>
        <v>17577</v>
      </c>
      <c r="G42" s="247">
        <v>70951</v>
      </c>
      <c r="H42" s="179">
        <v>17499</v>
      </c>
      <c r="I42" s="179">
        <v>18549</v>
      </c>
      <c r="J42" s="179">
        <v>17278</v>
      </c>
      <c r="K42" s="179">
        <f>+L42-SUM(H42:J42)</f>
        <v>16911</v>
      </c>
      <c r="L42" s="179">
        <v>70237</v>
      </c>
      <c r="M42" s="179">
        <v>17425</v>
      </c>
      <c r="N42" s="179">
        <v>17541</v>
      </c>
      <c r="O42" s="179">
        <f>'[3]Segment Information'!$D$31</f>
        <v>16950</v>
      </c>
      <c r="P42" s="179">
        <f>+Q42-SUM(M42:O42)</f>
        <v>16094</v>
      </c>
      <c r="Q42" s="179">
        <f>'[4]Segment Information 10K'!$D$30</f>
        <v>68010</v>
      </c>
      <c r="R42" s="243"/>
      <c r="S42" s="246"/>
      <c r="T42" s="246"/>
      <c r="U42" s="246"/>
      <c r="V42" s="246"/>
      <c r="W42" s="243"/>
      <c r="X42" s="246"/>
      <c r="Y42" s="246"/>
      <c r="Z42" s="246"/>
      <c r="AA42" s="246"/>
      <c r="AB42" s="344"/>
      <c r="AC42" s="344"/>
      <c r="AD42" s="344"/>
      <c r="AE42" s="344"/>
      <c r="AF42" s="344"/>
      <c r="AG42" s="344"/>
      <c r="AH42" s="344"/>
    </row>
    <row r="43" spans="1:37" hidden="1" x14ac:dyDescent="0.5">
      <c r="A43" s="164"/>
      <c r="B43" s="172" t="s">
        <v>148</v>
      </c>
      <c r="C43" s="240">
        <v>-2.9384857740985537E-2</v>
      </c>
      <c r="D43" s="240">
        <v>1.6522774338959989E-2</v>
      </c>
      <c r="E43" s="240">
        <v>5.5768957384487727E-2</v>
      </c>
      <c r="F43" s="240">
        <v>4.9804676911162193E-2</v>
      </c>
      <c r="G43" s="240">
        <v>2.2847259742702963E-2</v>
      </c>
      <c r="H43" s="173">
        <f t="shared" ref="H43:Q43" si="26">H42/C42-1</f>
        <v>2.6755852842809347E-2</v>
      </c>
      <c r="I43" s="173">
        <f t="shared" si="26"/>
        <v>4.003364171572743E-2</v>
      </c>
      <c r="J43" s="173">
        <f t="shared" si="26"/>
        <v>-6.5852076124567449E-2</v>
      </c>
      <c r="K43" s="173">
        <f t="shared" si="26"/>
        <v>-3.7890424987199189E-2</v>
      </c>
      <c r="L43" s="173">
        <f t="shared" si="26"/>
        <v>-1.006328311087934E-2</v>
      </c>
      <c r="M43" s="173">
        <f t="shared" si="26"/>
        <v>-4.2288130750328667E-3</v>
      </c>
      <c r="N43" s="173">
        <f t="shared" si="26"/>
        <v>-5.4342552159146074E-2</v>
      </c>
      <c r="O43" s="173">
        <f t="shared" si="26"/>
        <v>-1.8983678666512294E-2</v>
      </c>
      <c r="P43" s="173">
        <f t="shared" si="26"/>
        <v>-4.8311749748684241E-2</v>
      </c>
      <c r="Q43" s="173">
        <f t="shared" si="26"/>
        <v>-3.1706935091191268E-2</v>
      </c>
      <c r="R43" s="240"/>
      <c r="S43" s="240"/>
      <c r="T43" s="240"/>
      <c r="U43" s="240"/>
      <c r="V43" s="240"/>
      <c r="W43" s="240"/>
      <c r="X43" s="240"/>
      <c r="Y43" s="240"/>
      <c r="Z43" s="240"/>
      <c r="AA43" s="240"/>
      <c r="AB43" s="181"/>
      <c r="AC43" s="181"/>
      <c r="AD43" s="181"/>
      <c r="AE43" s="181"/>
      <c r="AF43" s="181"/>
      <c r="AG43" s="181"/>
      <c r="AH43" s="181"/>
    </row>
    <row r="44" spans="1:37" hidden="1" x14ac:dyDescent="0.5">
      <c r="A44" s="164"/>
      <c r="B44" s="172" t="s">
        <v>159</v>
      </c>
      <c r="C44" s="240">
        <v>-8.7898081101827064E-3</v>
      </c>
      <c r="D44" s="245">
        <v>3.0415633413528154E-2</v>
      </c>
      <c r="E44" s="240">
        <v>6.9456755626851718E-2</v>
      </c>
      <c r="F44" s="240">
        <v>5.1325079581286515E-2</v>
      </c>
      <c r="G44" s="240">
        <v>3.5398495320312362E-2</v>
      </c>
      <c r="H44" s="173">
        <v>2.2017804564526511E-2</v>
      </c>
      <c r="I44" s="173">
        <v>4.6765098007093719E-2</v>
      </c>
      <c r="J44" s="174">
        <f>'[43]Revenues and Margins'!$V$37</f>
        <v>-4.7263843395054406E-2</v>
      </c>
      <c r="K44" s="174">
        <v>-1.2110295222743761E-2</v>
      </c>
      <c r="L44" s="173">
        <v>1.7229201583262022E-3</v>
      </c>
      <c r="M44" s="173">
        <v>1.6E-2</v>
      </c>
      <c r="N44" s="181">
        <v>-0.05</v>
      </c>
      <c r="O44" s="181">
        <v>-2.1000000000000001E-2</v>
      </c>
      <c r="P44" s="181">
        <v>-0.05</v>
      </c>
      <c r="Q44" s="173">
        <v>-2.7E-2</v>
      </c>
      <c r="R44" s="240"/>
      <c r="S44" s="245"/>
      <c r="T44" s="240"/>
      <c r="U44" s="240"/>
      <c r="V44" s="240"/>
      <c r="W44" s="240"/>
      <c r="X44" s="245"/>
      <c r="Y44" s="240"/>
      <c r="Z44" s="240"/>
      <c r="AA44" s="240"/>
      <c r="AB44" s="181"/>
      <c r="AC44" s="181"/>
      <c r="AD44" s="181"/>
      <c r="AE44" s="181"/>
      <c r="AF44" s="181"/>
      <c r="AG44" s="181"/>
      <c r="AH44" s="181"/>
    </row>
    <row r="45" spans="1:37" hidden="1" x14ac:dyDescent="0.5">
      <c r="A45" s="164"/>
      <c r="B45" s="172" t="s">
        <v>58</v>
      </c>
      <c r="C45" s="242">
        <f>ROUND(6904.8321447588,0)</f>
        <v>6905</v>
      </c>
      <c r="D45" s="242">
        <v>7512.1982279049298</v>
      </c>
      <c r="E45" s="242">
        <f>ROUND(8500.24509549765,0)</f>
        <v>8500</v>
      </c>
      <c r="F45" s="242">
        <f>ROUND(+G45-SUM(C45,D45,E45),0)</f>
        <v>6697</v>
      </c>
      <c r="G45" s="242">
        <f>ROUND(29614.3890430638,0)</f>
        <v>29614</v>
      </c>
      <c r="H45" s="175">
        <v>7056</v>
      </c>
      <c r="I45" s="175">
        <v>7924</v>
      </c>
      <c r="J45" s="175">
        <v>7320</v>
      </c>
      <c r="K45" s="175">
        <f>+L45-SUM(H45:J45)</f>
        <v>6871</v>
      </c>
      <c r="L45" s="175">
        <v>29171</v>
      </c>
      <c r="M45" s="175">
        <v>7625</v>
      </c>
      <c r="N45" s="175">
        <v>7552</v>
      </c>
      <c r="O45" s="175">
        <f>'[3]Segment Information'!$D$33</f>
        <v>7150</v>
      </c>
      <c r="P45" s="175">
        <f>+Q45-SUM(M45:O45)</f>
        <v>6947</v>
      </c>
      <c r="Q45" s="175">
        <f>'[4]Segment Information 10K'!$D$32</f>
        <v>29274</v>
      </c>
      <c r="R45" s="242"/>
      <c r="S45" s="242"/>
      <c r="T45" s="242"/>
      <c r="U45" s="242"/>
      <c r="V45" s="242"/>
      <c r="W45" s="242"/>
      <c r="X45" s="242"/>
      <c r="Y45" s="242"/>
      <c r="Z45" s="242"/>
      <c r="AA45" s="242"/>
      <c r="AB45" s="345"/>
      <c r="AC45" s="345"/>
      <c r="AD45" s="345"/>
      <c r="AE45" s="345"/>
      <c r="AF45" s="345"/>
      <c r="AG45" s="345"/>
      <c r="AH45" s="345"/>
    </row>
    <row r="46" spans="1:37" hidden="1" x14ac:dyDescent="0.5">
      <c r="A46" s="164"/>
      <c r="B46" s="172" t="s">
        <v>60</v>
      </c>
      <c r="C46" s="241">
        <f t="shared" ref="C46:H46" si="27">C45/C42</f>
        <v>0.40515167517455847</v>
      </c>
      <c r="D46" s="241">
        <f t="shared" si="27"/>
        <v>0.42120539545303781</v>
      </c>
      <c r="E46" s="241">
        <f t="shared" si="27"/>
        <v>0.45955882352941174</v>
      </c>
      <c r="F46" s="241">
        <f>F45/F42</f>
        <v>0.38100927348239177</v>
      </c>
      <c r="G46" s="241">
        <f>G45/G42</f>
        <v>0.4173866471226621</v>
      </c>
      <c r="H46" s="182">
        <f t="shared" si="27"/>
        <v>0.40322304131664666</v>
      </c>
      <c r="I46" s="182">
        <f t="shared" ref="I46:Q46" si="28">I45/I42</f>
        <v>0.4271928405843981</v>
      </c>
      <c r="J46" s="182">
        <f t="shared" si="28"/>
        <v>0.42366014585021416</v>
      </c>
      <c r="K46" s="182">
        <f t="shared" si="28"/>
        <v>0.40630358937969369</v>
      </c>
      <c r="L46" s="182">
        <f t="shared" si="28"/>
        <v>0.41532240841721602</v>
      </c>
      <c r="M46" s="182">
        <f t="shared" si="28"/>
        <v>0.43758967001434718</v>
      </c>
      <c r="N46" s="182">
        <f t="shared" si="28"/>
        <v>0.43053417707086256</v>
      </c>
      <c r="O46" s="182">
        <f t="shared" si="28"/>
        <v>0.42182890855457228</v>
      </c>
      <c r="P46" s="182">
        <f t="shared" si="28"/>
        <v>0.43165154716043247</v>
      </c>
      <c r="Q46" s="182">
        <f t="shared" si="28"/>
        <v>0.43043670048522276</v>
      </c>
      <c r="R46" s="241"/>
      <c r="S46" s="241"/>
      <c r="T46" s="241"/>
      <c r="U46" s="241"/>
      <c r="V46" s="241"/>
      <c r="W46" s="241"/>
      <c r="X46" s="241"/>
      <c r="Y46" s="241"/>
      <c r="Z46" s="241"/>
      <c r="AA46" s="241"/>
      <c r="AB46" s="182"/>
      <c r="AC46" s="182"/>
      <c r="AD46" s="182"/>
      <c r="AE46" s="182"/>
      <c r="AF46" s="182"/>
      <c r="AG46" s="182"/>
      <c r="AH46" s="182"/>
    </row>
    <row r="47" spans="1:37" hidden="1" x14ac:dyDescent="0.5">
      <c r="A47" s="164"/>
      <c r="B47" s="172"/>
      <c r="C47" s="241"/>
      <c r="D47" s="244"/>
      <c r="E47" s="244"/>
      <c r="F47" s="244"/>
      <c r="G47" s="244"/>
      <c r="K47" s="163"/>
      <c r="L47" s="163"/>
      <c r="M47" s="163"/>
      <c r="N47" s="163"/>
      <c r="O47" s="163"/>
      <c r="P47" s="163"/>
      <c r="Q47" s="163"/>
      <c r="R47" s="241"/>
      <c r="S47" s="244"/>
      <c r="T47" s="244"/>
      <c r="U47" s="244"/>
      <c r="V47" s="244"/>
      <c r="W47" s="241"/>
      <c r="X47" s="244"/>
      <c r="Y47" s="244"/>
      <c r="Z47" s="244"/>
      <c r="AA47" s="244"/>
      <c r="AB47" s="346"/>
      <c r="AC47" s="346"/>
      <c r="AD47" s="346"/>
      <c r="AE47" s="346"/>
      <c r="AF47" s="346"/>
      <c r="AG47" s="346"/>
      <c r="AH47" s="346"/>
    </row>
    <row r="48" spans="1:37" hidden="1" x14ac:dyDescent="0.5">
      <c r="A48" s="177"/>
      <c r="B48" s="177" t="s">
        <v>168</v>
      </c>
      <c r="C48" s="243">
        <v>21014</v>
      </c>
      <c r="D48" s="246">
        <v>21038</v>
      </c>
      <c r="E48" s="246">
        <v>21642</v>
      </c>
      <c r="F48" s="246">
        <f>+G48-SUM(C48,D48,E48)</f>
        <v>22833</v>
      </c>
      <c r="G48" s="247">
        <v>86527</v>
      </c>
      <c r="H48" s="179">
        <v>23972</v>
      </c>
      <c r="I48" s="179">
        <v>24228</v>
      </c>
      <c r="J48" s="179">
        <v>24517</v>
      </c>
      <c r="K48" s="179">
        <f>+L48-SUM(H48:J48)</f>
        <v>25224</v>
      </c>
      <c r="L48" s="179">
        <v>97941</v>
      </c>
      <c r="M48" s="179">
        <v>25724</v>
      </c>
      <c r="N48" s="179">
        <v>26422</v>
      </c>
      <c r="O48" s="179">
        <f>'[3]Segment Information'!$E$31</f>
        <v>26542</v>
      </c>
      <c r="P48" s="179">
        <f>+Q48-SUM(M48:O48)</f>
        <v>27892</v>
      </c>
      <c r="Q48" s="179">
        <f>'[4]Segment Information 10K'!$E$30</f>
        <v>106580</v>
      </c>
      <c r="R48" s="243"/>
      <c r="S48" s="246"/>
      <c r="T48" s="246"/>
      <c r="U48" s="246"/>
      <c r="V48" s="246"/>
      <c r="W48" s="243"/>
      <c r="X48" s="246"/>
      <c r="Y48" s="246"/>
      <c r="Z48" s="246"/>
      <c r="AA48" s="246"/>
      <c r="AB48" s="344"/>
      <c r="AC48" s="344"/>
      <c r="AD48" s="344"/>
      <c r="AE48" s="344"/>
      <c r="AF48" s="344"/>
      <c r="AG48" s="344"/>
      <c r="AH48" s="344"/>
    </row>
    <row r="49" spans="1:37" hidden="1" x14ac:dyDescent="0.5">
      <c r="A49" s="164"/>
      <c r="B49" s="172" t="s">
        <v>148</v>
      </c>
      <c r="C49" s="240">
        <v>6.033033591401038E-2</v>
      </c>
      <c r="D49" s="240">
        <v>9.0929353505007082E-2</v>
      </c>
      <c r="E49" s="240">
        <v>8.98484146246743E-2</v>
      </c>
      <c r="F49" s="240">
        <v>0.11622234807444021</v>
      </c>
      <c r="G49" s="240">
        <v>8.953790310479226E-2</v>
      </c>
      <c r="H49" s="173">
        <f t="shared" ref="H49:Q49" si="29">H48/C48-1</f>
        <v>0.14076330065670506</v>
      </c>
      <c r="I49" s="173">
        <f t="shared" si="29"/>
        <v>0.15163038311626575</v>
      </c>
      <c r="J49" s="173">
        <f t="shared" si="29"/>
        <v>0.13284354495887629</v>
      </c>
      <c r="K49" s="173">
        <f t="shared" si="29"/>
        <v>0.10471685718039669</v>
      </c>
      <c r="L49" s="173">
        <f t="shared" si="29"/>
        <v>0.13191258219977575</v>
      </c>
      <c r="M49" s="173">
        <f t="shared" si="29"/>
        <v>7.3085266143834371E-2</v>
      </c>
      <c r="N49" s="173">
        <f t="shared" si="29"/>
        <v>9.05563810467227E-2</v>
      </c>
      <c r="O49" s="173">
        <f t="shared" si="29"/>
        <v>8.2595749887832914E-2</v>
      </c>
      <c r="P49" s="173">
        <f t="shared" si="29"/>
        <v>0.10577228036790354</v>
      </c>
      <c r="Q49" s="173">
        <f t="shared" si="29"/>
        <v>8.8206164936032838E-2</v>
      </c>
      <c r="R49" s="240"/>
      <c r="S49" s="240"/>
      <c r="T49" s="240"/>
      <c r="U49" s="240"/>
      <c r="V49" s="240"/>
      <c r="W49" s="240"/>
      <c r="X49" s="240"/>
      <c r="Y49" s="240"/>
      <c r="Z49" s="240"/>
      <c r="AA49" s="240"/>
      <c r="AB49" s="181"/>
      <c r="AC49" s="181"/>
      <c r="AD49" s="181"/>
      <c r="AE49" s="181"/>
      <c r="AF49" s="181"/>
      <c r="AG49" s="181"/>
      <c r="AH49" s="181"/>
    </row>
    <row r="50" spans="1:37" hidden="1" x14ac:dyDescent="0.5">
      <c r="A50" s="164"/>
      <c r="B50" s="172" t="s">
        <v>159</v>
      </c>
      <c r="C50" s="240">
        <v>5.9375507743957501E-2</v>
      </c>
      <c r="D50" s="245">
        <v>8.7111291904700794E-2</v>
      </c>
      <c r="E50" s="240">
        <v>7.8793541177875737E-2</v>
      </c>
      <c r="F50" s="240">
        <v>9.9241949534063068E-2</v>
      </c>
      <c r="G50" s="240">
        <v>8.1234534877984155E-2</v>
      </c>
      <c r="H50" s="173">
        <v>0.11758214400387579</v>
      </c>
      <c r="I50" s="173">
        <v>0.15109154048019469</v>
      </c>
      <c r="J50" s="174">
        <v>0.15493095253100586</v>
      </c>
      <c r="K50" s="174">
        <v>0.12982663917595483</v>
      </c>
      <c r="L50" s="173">
        <v>0.13830205588900712</v>
      </c>
      <c r="M50" s="173">
        <v>0.1</v>
      </c>
      <c r="N50" s="181">
        <v>0.10299999999999999</v>
      </c>
      <c r="O50" s="181">
        <v>8.6999999999999994E-2</v>
      </c>
      <c r="P50" s="181">
        <v>0.106</v>
      </c>
      <c r="Q50" s="173">
        <v>9.9000000000000005E-2</v>
      </c>
      <c r="R50" s="240"/>
      <c r="S50" s="245"/>
      <c r="T50" s="240"/>
      <c r="U50" s="240"/>
      <c r="V50" s="240"/>
      <c r="W50" s="240"/>
      <c r="X50" s="245"/>
      <c r="Y50" s="240"/>
      <c r="Z50" s="240"/>
      <c r="AA50" s="240"/>
      <c r="AB50" s="181"/>
      <c r="AC50" s="181"/>
      <c r="AD50" s="181"/>
      <c r="AE50" s="181"/>
      <c r="AF50" s="181"/>
      <c r="AG50" s="181"/>
      <c r="AH50" s="181"/>
    </row>
    <row r="51" spans="1:37" hidden="1" x14ac:dyDescent="0.5">
      <c r="A51" s="164"/>
      <c r="B51" s="172" t="s">
        <v>58</v>
      </c>
      <c r="C51" s="242">
        <f>ROUND(8588.46080539107,0)</f>
        <v>8588</v>
      </c>
      <c r="D51" s="242">
        <v>8699.880853350036</v>
      </c>
      <c r="E51" s="242">
        <f>ROUND(9007.93462975813,0)</f>
        <v>9008</v>
      </c>
      <c r="F51" s="242">
        <f>ROUND(+G51-SUM(C51,D51,E51),0)</f>
        <v>8869</v>
      </c>
      <c r="G51" s="242">
        <f>ROUND(35165.0600100329,0)</f>
        <v>35165</v>
      </c>
      <c r="H51" s="175">
        <v>9243</v>
      </c>
      <c r="I51" s="175">
        <v>9685</v>
      </c>
      <c r="J51" s="175">
        <v>9600</v>
      </c>
      <c r="K51" s="175">
        <f>+L51-SUM(H51:J51)</f>
        <v>10258</v>
      </c>
      <c r="L51" s="175">
        <v>38786</v>
      </c>
      <c r="M51" s="175">
        <v>11450</v>
      </c>
      <c r="N51" s="175">
        <v>10428</v>
      </c>
      <c r="O51" s="175">
        <f>'[3]Segment Information'!$E$33</f>
        <v>9891</v>
      </c>
      <c r="P51" s="175">
        <f>+Q51-SUM(M51:O51)</f>
        <v>11494</v>
      </c>
      <c r="Q51" s="175">
        <f>'[4]Segment Information 10K'!$E$32</f>
        <v>43263</v>
      </c>
      <c r="R51" s="242"/>
      <c r="S51" s="242"/>
      <c r="T51" s="242"/>
      <c r="U51" s="242"/>
      <c r="V51" s="242"/>
      <c r="W51" s="242"/>
      <c r="X51" s="242"/>
      <c r="Y51" s="242"/>
      <c r="Z51" s="242"/>
      <c r="AA51" s="242"/>
      <c r="AB51" s="345"/>
      <c r="AC51" s="345"/>
      <c r="AD51" s="345"/>
      <c r="AE51" s="345"/>
      <c r="AF51" s="345"/>
      <c r="AG51" s="345"/>
      <c r="AH51" s="345"/>
    </row>
    <row r="52" spans="1:37" hidden="1" x14ac:dyDescent="0.5">
      <c r="A52" s="164"/>
      <c r="B52" s="172" t="s">
        <v>60</v>
      </c>
      <c r="C52" s="241">
        <f t="shared" ref="C52:H52" si="30">C51/C48</f>
        <v>0.40867992766726946</v>
      </c>
      <c r="D52" s="241">
        <f t="shared" si="30"/>
        <v>0.41353174509696911</v>
      </c>
      <c r="E52" s="241">
        <f t="shared" si="30"/>
        <v>0.41622770538767212</v>
      </c>
      <c r="F52" s="241">
        <f>F51/F48</f>
        <v>0.38842902816099506</v>
      </c>
      <c r="G52" s="241">
        <f>G51/G48</f>
        <v>0.40640493718723636</v>
      </c>
      <c r="H52" s="182">
        <f t="shared" si="30"/>
        <v>0.38557483731019521</v>
      </c>
      <c r="I52" s="182">
        <f t="shared" ref="I52:Q52" si="31">I51/I48</f>
        <v>0.39974409773815422</v>
      </c>
      <c r="J52" s="182">
        <f t="shared" si="31"/>
        <v>0.39156503650528207</v>
      </c>
      <c r="K52" s="182">
        <f t="shared" si="31"/>
        <v>0.40667618141452583</v>
      </c>
      <c r="L52" s="182">
        <f t="shared" si="31"/>
        <v>0.39601392675181996</v>
      </c>
      <c r="M52" s="182">
        <f t="shared" si="31"/>
        <v>0.44510962525268233</v>
      </c>
      <c r="N52" s="182">
        <f t="shared" si="31"/>
        <v>0.39467110741049127</v>
      </c>
      <c r="O52" s="182">
        <f t="shared" si="31"/>
        <v>0.37265466053801521</v>
      </c>
      <c r="P52" s="182">
        <f t="shared" si="31"/>
        <v>0.4120894880252402</v>
      </c>
      <c r="Q52" s="182">
        <f t="shared" si="31"/>
        <v>0.40592043535372491</v>
      </c>
      <c r="R52" s="241"/>
      <c r="S52" s="241"/>
      <c r="T52" s="241"/>
      <c r="U52" s="241"/>
      <c r="V52" s="241"/>
      <c r="W52" s="241"/>
      <c r="X52" s="241"/>
      <c r="Y52" s="241"/>
      <c r="Z52" s="241"/>
      <c r="AA52" s="241"/>
      <c r="AB52" s="182"/>
      <c r="AC52" s="182"/>
      <c r="AD52" s="182"/>
      <c r="AE52" s="182"/>
      <c r="AF52" s="182"/>
      <c r="AG52" s="182"/>
      <c r="AH52" s="182"/>
    </row>
    <row r="53" spans="1:37" hidden="1" x14ac:dyDescent="0.5">
      <c r="A53" s="164"/>
      <c r="B53" s="172"/>
      <c r="C53" s="241"/>
      <c r="D53" s="244"/>
      <c r="E53" s="244"/>
      <c r="F53" s="244"/>
      <c r="G53" s="244"/>
      <c r="K53" s="163"/>
      <c r="L53" s="163"/>
      <c r="M53" s="163"/>
      <c r="N53" s="163"/>
      <c r="O53" s="163"/>
      <c r="P53" s="163"/>
      <c r="Q53" s="163"/>
      <c r="R53" s="241"/>
      <c r="S53" s="244"/>
      <c r="T53" s="244"/>
      <c r="U53" s="244"/>
      <c r="V53" s="244"/>
      <c r="W53" s="241"/>
      <c r="X53" s="244"/>
      <c r="Y53" s="244"/>
      <c r="Z53" s="244"/>
      <c r="AA53" s="244"/>
      <c r="AB53" s="346"/>
      <c r="AC53" s="346"/>
      <c r="AD53" s="346"/>
      <c r="AE53" s="346"/>
      <c r="AF53" s="346"/>
      <c r="AG53" s="346"/>
      <c r="AH53" s="346"/>
    </row>
    <row r="54" spans="1:37" hidden="1" x14ac:dyDescent="0.5">
      <c r="A54" s="177"/>
      <c r="B54" s="177" t="s">
        <v>169</v>
      </c>
      <c r="C54" s="243">
        <v>21116</v>
      </c>
      <c r="D54" s="246">
        <v>21447</v>
      </c>
      <c r="E54" s="246">
        <v>19983</v>
      </c>
      <c r="F54" s="246">
        <f>+G54-SUM(C54,D54,E54)</f>
        <v>20536</v>
      </c>
      <c r="G54" s="247">
        <v>83082</v>
      </c>
      <c r="H54" s="179">
        <v>21700</v>
      </c>
      <c r="I54" s="179">
        <v>23088</v>
      </c>
      <c r="J54" s="179">
        <v>21944</v>
      </c>
      <c r="K54" s="179">
        <f>+L54-SUM(H54:J54)</f>
        <v>20377</v>
      </c>
      <c r="L54" s="179">
        <v>87109</v>
      </c>
      <c r="M54" s="179">
        <v>19856</v>
      </c>
      <c r="N54" s="179">
        <v>19423</v>
      </c>
      <c r="O54" s="179">
        <f>'[3]Segment Information'!$F$31</f>
        <v>17455</v>
      </c>
      <c r="P54" s="179">
        <f>+Q54-SUM(M54:O54)</f>
        <v>17945</v>
      </c>
      <c r="Q54" s="179">
        <f>'[4]Segment Information 10K'!$F$30</f>
        <v>74679</v>
      </c>
      <c r="R54" s="243"/>
      <c r="S54" s="246"/>
      <c r="T54" s="246"/>
      <c r="U54" s="246"/>
      <c r="V54" s="246"/>
      <c r="W54" s="243"/>
      <c r="X54" s="246"/>
      <c r="Y54" s="246"/>
      <c r="Z54" s="246"/>
      <c r="AA54" s="246"/>
      <c r="AB54" s="344"/>
      <c r="AC54" s="344"/>
      <c r="AD54" s="344"/>
      <c r="AE54" s="344"/>
      <c r="AF54" s="344"/>
      <c r="AG54" s="344"/>
      <c r="AH54" s="344"/>
    </row>
    <row r="55" spans="1:37" hidden="1" x14ac:dyDescent="0.5">
      <c r="A55" s="164"/>
      <c r="B55" s="172" t="s">
        <v>148</v>
      </c>
      <c r="C55" s="240">
        <v>-0.18804620311319431</v>
      </c>
      <c r="D55" s="240">
        <v>-0.17514317269040014</v>
      </c>
      <c r="E55" s="240">
        <v>-0.14699169248747368</v>
      </c>
      <c r="F55" s="240">
        <v>-2.4629302876210457E-2</v>
      </c>
      <c r="G55" s="240">
        <v>-0.13894260862881636</v>
      </c>
      <c r="H55" s="173">
        <f t="shared" ref="H55:Q55" si="32">H54/C54-1</f>
        <v>2.7656753172949466E-2</v>
      </c>
      <c r="I55" s="173">
        <f t="shared" si="32"/>
        <v>7.6514197789900651E-2</v>
      </c>
      <c r="J55" s="173">
        <f t="shared" si="32"/>
        <v>9.8133413401391145E-2</v>
      </c>
      <c r="K55" s="173">
        <f t="shared" si="32"/>
        <v>-7.7425009738995021E-3</v>
      </c>
      <c r="L55" s="173">
        <f t="shared" si="32"/>
        <v>4.847018608122089E-2</v>
      </c>
      <c r="M55" s="173">
        <f t="shared" si="32"/>
        <v>-8.4976958525345592E-2</v>
      </c>
      <c r="N55" s="173">
        <f t="shared" si="32"/>
        <v>-0.15874047124047119</v>
      </c>
      <c r="O55" s="173">
        <f t="shared" si="32"/>
        <v>-0.20456616842872766</v>
      </c>
      <c r="P55" s="173">
        <f t="shared" si="32"/>
        <v>-0.11935024782843406</v>
      </c>
      <c r="Q55" s="173">
        <f t="shared" si="32"/>
        <v>-0.14269478469503727</v>
      </c>
      <c r="R55" s="240"/>
      <c r="S55" s="240"/>
      <c r="T55" s="240"/>
      <c r="U55" s="240"/>
      <c r="V55" s="240"/>
      <c r="W55" s="240"/>
      <c r="X55" s="240"/>
      <c r="Y55" s="240"/>
      <c r="Z55" s="240"/>
      <c r="AA55" s="240"/>
      <c r="AB55" s="181"/>
      <c r="AC55" s="181"/>
      <c r="AD55" s="181"/>
      <c r="AE55" s="181"/>
      <c r="AF55" s="181"/>
      <c r="AG55" s="181"/>
      <c r="AH55" s="181"/>
    </row>
    <row r="56" spans="1:37" hidden="1" x14ac:dyDescent="0.5">
      <c r="A56" s="164"/>
      <c r="B56" s="172" t="s">
        <v>159</v>
      </c>
      <c r="C56" s="240">
        <v>-0.17873627364342526</v>
      </c>
      <c r="D56" s="245">
        <v>-0.18041377630015187</v>
      </c>
      <c r="E56" s="240">
        <v>-0.1599352906915209</v>
      </c>
      <c r="F56" s="240">
        <v>-5.2199751882280876E-2</v>
      </c>
      <c r="G56" s="240">
        <v>-0.14701258829889308</v>
      </c>
      <c r="H56" s="173">
        <v>-6.1027868993246415E-4</v>
      </c>
      <c r="I56" s="173">
        <v>8.6483353637906601E-2</v>
      </c>
      <c r="J56" s="174">
        <v>0.1368210449347933</v>
      </c>
      <c r="K56" s="174">
        <v>3.7987330551400689E-2</v>
      </c>
      <c r="L56" s="173">
        <v>6.4468661522303128E-2</v>
      </c>
      <c r="M56" s="173">
        <v>-4.3999999999999997E-2</v>
      </c>
      <c r="N56" s="181">
        <v>-0.14399999999999999</v>
      </c>
      <c r="O56" s="181">
        <v>-0.19900000000000001</v>
      </c>
      <c r="P56" s="181">
        <v>-0.11899999999999999</v>
      </c>
      <c r="Q56" s="173">
        <v>-0.127</v>
      </c>
      <c r="R56" s="240"/>
      <c r="S56" s="245"/>
      <c r="T56" s="240"/>
      <c r="U56" s="240"/>
      <c r="V56" s="240"/>
      <c r="W56" s="240"/>
      <c r="X56" s="245"/>
      <c r="Y56" s="240"/>
      <c r="Z56" s="240"/>
      <c r="AA56" s="240"/>
      <c r="AB56" s="173"/>
      <c r="AC56" s="173"/>
      <c r="AD56" s="173"/>
      <c r="AE56" s="173"/>
      <c r="AF56" s="173"/>
      <c r="AG56" s="173"/>
      <c r="AH56" s="173"/>
    </row>
    <row r="57" spans="1:37" hidden="1" x14ac:dyDescent="0.5">
      <c r="A57" s="164"/>
      <c r="B57" s="172" t="s">
        <v>58</v>
      </c>
      <c r="C57" s="242">
        <f>ROUND(6703.27249362086,0)</f>
        <v>6703</v>
      </c>
      <c r="D57" s="242">
        <v>6801.5654992821783</v>
      </c>
      <c r="E57" s="242">
        <f>ROUND(6413.60301117024,0)-1</f>
        <v>6413</v>
      </c>
      <c r="F57" s="242">
        <f>ROUND(+G57-SUM(C57,D57,E57),0)</f>
        <v>6526</v>
      </c>
      <c r="G57" s="242">
        <f>ROUND(26442.9387487777,0)+1</f>
        <v>26444</v>
      </c>
      <c r="H57" s="175">
        <v>6515</v>
      </c>
      <c r="I57" s="175">
        <v>8009</v>
      </c>
      <c r="J57" s="175">
        <v>7621</v>
      </c>
      <c r="K57" s="175">
        <f>+L57-SUM(H57:J57)</f>
        <v>6623</v>
      </c>
      <c r="L57" s="175">
        <v>28768</v>
      </c>
      <c r="M57" s="175">
        <v>7279</v>
      </c>
      <c r="N57" s="175">
        <v>7162</v>
      </c>
      <c r="O57" s="175">
        <f>'[3]Segment Information'!$F$33</f>
        <v>5072</v>
      </c>
      <c r="P57" s="175">
        <f>+Q57-SUM(M57:O57)</f>
        <v>6302</v>
      </c>
      <c r="Q57" s="175">
        <f>'[4]Segment Information 10K'!$F$32</f>
        <v>25815</v>
      </c>
      <c r="R57" s="242"/>
      <c r="S57" s="242"/>
      <c r="T57" s="242"/>
      <c r="U57" s="242"/>
      <c r="V57" s="242"/>
      <c r="W57" s="242"/>
      <c r="X57" s="242"/>
      <c r="Y57" s="242"/>
      <c r="Z57" s="242"/>
      <c r="AA57" s="242"/>
      <c r="AB57" s="175"/>
      <c r="AC57" s="175"/>
      <c r="AD57" s="175"/>
      <c r="AE57" s="175"/>
      <c r="AF57" s="175"/>
      <c r="AG57" s="175"/>
      <c r="AH57" s="175"/>
    </row>
    <row r="58" spans="1:37" hidden="1" x14ac:dyDescent="0.5">
      <c r="A58" s="164"/>
      <c r="B58" s="172" t="s">
        <v>60</v>
      </c>
      <c r="C58" s="241">
        <f t="shared" ref="C58:H58" si="33">C57/C54</f>
        <v>0.31743701458609586</v>
      </c>
      <c r="D58" s="241">
        <f t="shared" si="33"/>
        <v>0.31713365502318169</v>
      </c>
      <c r="E58" s="241">
        <f t="shared" si="33"/>
        <v>0.32092278436671168</v>
      </c>
      <c r="F58" s="241">
        <f>F57/F54</f>
        <v>0.31778340475262951</v>
      </c>
      <c r="G58" s="241">
        <f>G57/G54</f>
        <v>0.3182879564767338</v>
      </c>
      <c r="H58" s="174">
        <f t="shared" si="33"/>
        <v>0.30023041474654377</v>
      </c>
      <c r="I58" s="174">
        <f t="shared" ref="I58:Q58" si="34">I57/I54</f>
        <v>0.34689015939015938</v>
      </c>
      <c r="J58" s="174">
        <f t="shared" si="34"/>
        <v>0.34729310973386801</v>
      </c>
      <c r="K58" s="174">
        <f t="shared" si="34"/>
        <v>0.325023310595279</v>
      </c>
      <c r="L58" s="174">
        <f t="shared" si="34"/>
        <v>0.33025290153715459</v>
      </c>
      <c r="M58" s="174">
        <f t="shared" si="34"/>
        <v>0.36658944399677679</v>
      </c>
      <c r="N58" s="174">
        <f t="shared" si="34"/>
        <v>0.36873809401225349</v>
      </c>
      <c r="O58" s="174">
        <f t="shared" si="34"/>
        <v>0.29057576625608705</v>
      </c>
      <c r="P58" s="174">
        <f t="shared" si="34"/>
        <v>0.35118417386458622</v>
      </c>
      <c r="Q58" s="174">
        <f t="shared" si="34"/>
        <v>0.34567950829550476</v>
      </c>
      <c r="R58" s="241"/>
      <c r="S58" s="241"/>
      <c r="T58" s="241"/>
      <c r="U58" s="241"/>
      <c r="V58" s="241"/>
      <c r="W58" s="241"/>
      <c r="X58" s="241"/>
      <c r="Y58" s="241"/>
      <c r="Z58" s="241"/>
      <c r="AA58" s="241"/>
      <c r="AB58" s="174"/>
      <c r="AC58" s="174"/>
      <c r="AD58" s="174"/>
      <c r="AE58" s="174"/>
      <c r="AF58" s="174"/>
      <c r="AG58" s="174"/>
      <c r="AH58" s="174"/>
    </row>
    <row r="59" spans="1:37" hidden="1" x14ac:dyDescent="0.5">
      <c r="A59" s="164"/>
      <c r="B59" s="172"/>
      <c r="C59" s="241"/>
      <c r="D59" s="244"/>
      <c r="E59" s="244"/>
      <c r="F59" s="244"/>
      <c r="G59" s="244"/>
      <c r="K59" s="163"/>
      <c r="L59" s="163"/>
      <c r="M59" s="163"/>
      <c r="N59" s="163"/>
      <c r="O59" s="163"/>
      <c r="P59" s="163"/>
      <c r="Q59" s="163"/>
      <c r="R59" s="241"/>
      <c r="S59" s="244"/>
      <c r="T59" s="244"/>
      <c r="U59" s="244"/>
      <c r="V59" s="244"/>
      <c r="W59" s="241"/>
      <c r="X59" s="244"/>
      <c r="Y59" s="244"/>
      <c r="Z59" s="244"/>
      <c r="AA59" s="244"/>
    </row>
    <row r="60" spans="1:37" hidden="1" x14ac:dyDescent="0.5">
      <c r="A60" s="164"/>
      <c r="B60" s="165"/>
      <c r="C60" s="238"/>
      <c r="D60" s="244"/>
      <c r="E60" s="244"/>
      <c r="F60" s="244"/>
      <c r="G60" s="244"/>
      <c r="H60" s="200"/>
      <c r="I60" s="200"/>
      <c r="J60" s="200"/>
      <c r="K60" s="200"/>
      <c r="L60" s="200"/>
      <c r="M60" s="304"/>
      <c r="N60" s="304"/>
      <c r="O60" s="304"/>
      <c r="P60" s="304"/>
      <c r="Q60" s="200"/>
      <c r="R60" s="238"/>
      <c r="S60" s="244"/>
      <c r="T60" s="244"/>
      <c r="U60" s="244"/>
      <c r="V60" s="244"/>
      <c r="W60" s="238"/>
      <c r="X60" s="244"/>
      <c r="Y60" s="244"/>
      <c r="Z60" s="244"/>
      <c r="AA60" s="244"/>
      <c r="AB60" s="304"/>
      <c r="AC60" s="304"/>
      <c r="AD60" s="304"/>
      <c r="AE60" s="304"/>
      <c r="AF60" s="304"/>
      <c r="AG60" s="304"/>
      <c r="AH60" s="304"/>
    </row>
    <row r="61" spans="1:37" x14ac:dyDescent="0.5">
      <c r="A61" s="169"/>
      <c r="B61" s="170" t="s">
        <v>235</v>
      </c>
      <c r="C61" s="239">
        <v>49007</v>
      </c>
      <c r="D61" s="247">
        <v>51559</v>
      </c>
      <c r="E61" s="247">
        <v>53744</v>
      </c>
      <c r="F61" s="247">
        <f>+G61-SUM(C61,D61,E61)</f>
        <v>55633</v>
      </c>
      <c r="G61" s="247">
        <v>209943</v>
      </c>
      <c r="H61" s="199">
        <v>57102</v>
      </c>
      <c r="I61" s="199">
        <v>59618</v>
      </c>
      <c r="J61" s="199">
        <v>82707</v>
      </c>
      <c r="K61" s="199">
        <f>+L61-SUM(H61:J61)</f>
        <v>85863</v>
      </c>
      <c r="L61" s="199">
        <v>285290</v>
      </c>
      <c r="M61" s="199">
        <v>86961</v>
      </c>
      <c r="N61" s="199">
        <v>87871</v>
      </c>
      <c r="O61" s="199">
        <f>'[3]Segment Information'!$G$31</f>
        <v>88753</v>
      </c>
      <c r="P61" s="321">
        <f>+Q61-SUM(M61:O61)</f>
        <v>93744</v>
      </c>
      <c r="Q61" s="199">
        <f>'[4]Segment Information 10K'!$G$30</f>
        <v>357329</v>
      </c>
      <c r="R61" s="247">
        <f>H61</f>
        <v>57102</v>
      </c>
      <c r="S61" s="247">
        <f t="shared" ref="S61:V62" si="35">I61</f>
        <v>59618</v>
      </c>
      <c r="T61" s="247">
        <f t="shared" si="35"/>
        <v>82707</v>
      </c>
      <c r="U61" s="247">
        <f t="shared" si="35"/>
        <v>85863</v>
      </c>
      <c r="V61" s="247">
        <f t="shared" si="35"/>
        <v>285290</v>
      </c>
      <c r="W61" s="247">
        <f t="shared" ref="W61:AA62" si="36">M61</f>
        <v>86961</v>
      </c>
      <c r="X61" s="247">
        <f t="shared" si="36"/>
        <v>87871</v>
      </c>
      <c r="Y61" s="247">
        <f t="shared" si="36"/>
        <v>88753</v>
      </c>
      <c r="Z61" s="247">
        <f t="shared" si="36"/>
        <v>93744</v>
      </c>
      <c r="AA61" s="247">
        <f t="shared" si="36"/>
        <v>357329</v>
      </c>
      <c r="AB61" s="199">
        <f>'[5]Segment Information '!$H$30</f>
        <v>92431</v>
      </c>
      <c r="AC61" s="199">
        <f>'[6]Segment Information '!$E$6</f>
        <v>81679</v>
      </c>
      <c r="AD61" s="199">
        <f>[42]Summary!$J$7</f>
        <v>90498.952496695405</v>
      </c>
      <c r="AE61" s="199">
        <f>[46]Summary!$N$7</f>
        <v>98069.995171134913</v>
      </c>
      <c r="AF61" s="199">
        <f>'[8]Segment Information '!$E$6</f>
        <v>362679</v>
      </c>
      <c r="AG61" s="199">
        <f>'[9]Segment Information '!$E$6</f>
        <v>102322</v>
      </c>
      <c r="AH61" s="199">
        <f>'[10]Segment Information '!$E$6</f>
        <v>111405</v>
      </c>
      <c r="AK61" s="361"/>
    </row>
    <row r="62" spans="1:37" x14ac:dyDescent="0.5">
      <c r="A62" s="164"/>
      <c r="B62" s="172" t="s">
        <v>148</v>
      </c>
      <c r="C62" s="240">
        <v>0.25768618795873333</v>
      </c>
      <c r="D62" s="240">
        <v>0.30169910878840667</v>
      </c>
      <c r="E62" s="240">
        <v>0.29077503182265763</v>
      </c>
      <c r="F62" s="240">
        <v>0.22211238522033305</v>
      </c>
      <c r="G62" s="240">
        <v>0.26674671461498556</v>
      </c>
      <c r="H62" s="173">
        <f t="shared" ref="H62:Q62" si="37">H61/C61-1</f>
        <v>0.16518048442059308</v>
      </c>
      <c r="I62" s="173">
        <f t="shared" si="37"/>
        <v>0.15630636746251869</v>
      </c>
      <c r="J62" s="173">
        <f t="shared" si="37"/>
        <v>0.53890666865138437</v>
      </c>
      <c r="K62" s="173">
        <f t="shared" si="37"/>
        <v>0.54338252476048399</v>
      </c>
      <c r="L62" s="173">
        <f t="shared" si="37"/>
        <v>0.35889265181501639</v>
      </c>
      <c r="M62" s="173">
        <f t="shared" si="37"/>
        <v>0.52290637806031315</v>
      </c>
      <c r="N62" s="173">
        <f t="shared" si="37"/>
        <v>0.47390049984903881</v>
      </c>
      <c r="O62" s="173">
        <f t="shared" si="37"/>
        <v>7.3101430350514418E-2</v>
      </c>
      <c r="P62" s="173">
        <f t="shared" si="37"/>
        <v>9.178575172076453E-2</v>
      </c>
      <c r="Q62" s="173">
        <f t="shared" si="37"/>
        <v>0.25251147954712749</v>
      </c>
      <c r="R62" s="240">
        <f>H62</f>
        <v>0.16518048442059308</v>
      </c>
      <c r="S62" s="240">
        <f t="shared" si="35"/>
        <v>0.15630636746251869</v>
      </c>
      <c r="T62" s="240">
        <f t="shared" si="35"/>
        <v>0.53890666865138437</v>
      </c>
      <c r="U62" s="240">
        <f t="shared" si="35"/>
        <v>0.54338252476048399</v>
      </c>
      <c r="V62" s="240">
        <f>L62</f>
        <v>0.35889265181501639</v>
      </c>
      <c r="W62" s="240">
        <f t="shared" si="36"/>
        <v>0.52290637806031315</v>
      </c>
      <c r="X62" s="240">
        <f t="shared" si="36"/>
        <v>0.47390049984903881</v>
      </c>
      <c r="Y62" s="240">
        <f t="shared" si="36"/>
        <v>7.3101430350514418E-2</v>
      </c>
      <c r="Z62" s="240">
        <f t="shared" si="36"/>
        <v>9.178575172076453E-2</v>
      </c>
      <c r="AA62" s="240">
        <f t="shared" si="36"/>
        <v>0.25251147954712749</v>
      </c>
      <c r="AB62" s="173">
        <f>AB61/W61-1</f>
        <v>6.2901760559331166E-2</v>
      </c>
      <c r="AC62" s="173">
        <f>AC61/X61-1</f>
        <v>-7.0466934483504273E-2</v>
      </c>
      <c r="AD62" s="173">
        <f>AD61/Y61-1</f>
        <v>1.9672039217777382E-2</v>
      </c>
      <c r="AE62" s="173">
        <f t="shared" ref="AE62:AF62" si="38">AE61/Z61-1</f>
        <v>4.6146901893826975E-2</v>
      </c>
      <c r="AF62" s="173">
        <f t="shared" si="38"/>
        <v>1.4972196491188861E-2</v>
      </c>
      <c r="AG62" s="173">
        <f>AG61/AB61-1</f>
        <v>0.1070095530720212</v>
      </c>
      <c r="AH62" s="173">
        <f>AH61/AC61-1</f>
        <v>0.36393687483930992</v>
      </c>
    </row>
    <row r="63" spans="1:37" x14ac:dyDescent="0.5">
      <c r="A63" s="164"/>
      <c r="B63" s="172" t="s">
        <v>159</v>
      </c>
      <c r="C63" s="241">
        <v>0.26449313786220241</v>
      </c>
      <c r="D63" s="245">
        <v>0.30672714056653971</v>
      </c>
      <c r="E63" s="240">
        <v>0.28622381929732188</v>
      </c>
      <c r="F63" s="240">
        <v>0.21556896689772653</v>
      </c>
      <c r="G63" s="240">
        <v>0.2666081850078057</v>
      </c>
      <c r="H63" s="173">
        <v>0.15791931376504653</v>
      </c>
      <c r="I63" s="173">
        <v>0.1540402023110381</v>
      </c>
      <c r="J63" s="174">
        <v>0.5407405328511683</v>
      </c>
      <c r="K63" s="174">
        <v>0.54969054598859524</v>
      </c>
      <c r="L63" s="173">
        <v>0.35878167493354329</v>
      </c>
      <c r="M63" s="173">
        <v>0.53100000000000003</v>
      </c>
      <c r="N63" s="181">
        <v>0.47899999999999998</v>
      </c>
      <c r="O63" s="181">
        <v>7.8E-2</v>
      </c>
      <c r="P63" s="181">
        <v>0.09</v>
      </c>
      <c r="Q63" s="173">
        <v>0.25600000000000001</v>
      </c>
      <c r="R63" s="349">
        <f>H63</f>
        <v>0.15791931376504653</v>
      </c>
      <c r="S63" s="349">
        <f t="shared" ref="S63:U65" si="39">I63</f>
        <v>0.1540402023110381</v>
      </c>
      <c r="T63" s="349">
        <f t="shared" si="39"/>
        <v>0.5407405328511683</v>
      </c>
      <c r="U63" s="349">
        <f t="shared" si="39"/>
        <v>0.54969054598859524</v>
      </c>
      <c r="V63" s="349">
        <f>L63</f>
        <v>0.35878167493354329</v>
      </c>
      <c r="W63" s="349">
        <f t="shared" ref="W63:AA65" si="40">M63</f>
        <v>0.53100000000000003</v>
      </c>
      <c r="X63" s="349">
        <f t="shared" si="40"/>
        <v>0.47899999999999998</v>
      </c>
      <c r="Y63" s="349">
        <f t="shared" si="40"/>
        <v>7.8E-2</v>
      </c>
      <c r="Z63" s="349">
        <f t="shared" si="40"/>
        <v>0.09</v>
      </c>
      <c r="AA63" s="349">
        <f t="shared" si="40"/>
        <v>0.25600000000000001</v>
      </c>
      <c r="AB63" s="181">
        <f>'[36]Slide 6b'!$N$15</f>
        <v>6.6205178752887672E-2</v>
      </c>
      <c r="AC63" s="181">
        <f>'[37]Slide 7b'!$N$15</f>
        <v>-6.8137737405081777E-2</v>
      </c>
      <c r="AD63" s="181">
        <f>'[38]7b'!$N$15</f>
        <v>1.6102449288212473E-2</v>
      </c>
      <c r="AE63" s="181">
        <f>'[39]Slide 6 Q Ops Seg. Rev&amp;GM wi HI'!$N$15</f>
        <v>4.4702534273172612E-2</v>
      </c>
      <c r="AF63" s="181">
        <f>'[39]Slide 16 FY Op seg Rev&amp;GM wi HI'!$H$16</f>
        <v>1.5083119496305475E-2</v>
      </c>
      <c r="AG63" s="181">
        <f>'[40]Segment View'!$O$18</f>
        <v>0.10005088587135669</v>
      </c>
      <c r="AH63" s="181">
        <f>'[41]Segment View'!$O$18</f>
        <v>0.35135000790399151</v>
      </c>
    </row>
    <row r="64" spans="1:37" x14ac:dyDescent="0.5">
      <c r="A64" s="164"/>
      <c r="B64" s="172" t="s">
        <v>58</v>
      </c>
      <c r="C64" s="242">
        <f>ROUND(17250.6004479698,0)</f>
        <v>17251</v>
      </c>
      <c r="D64" s="242">
        <f>ROUND(17907.9207157307,0)</f>
        <v>17908</v>
      </c>
      <c r="E64" s="242">
        <f>ROUND(18114.961717834,0)-1</f>
        <v>18114</v>
      </c>
      <c r="F64" s="242">
        <f>ROUND(+G64-SUM(C64,D64,E64),0)</f>
        <v>19710</v>
      </c>
      <c r="G64" s="242">
        <f>ROUND(72983.3295386044,0)</f>
        <v>72983</v>
      </c>
      <c r="H64" s="175">
        <v>19027</v>
      </c>
      <c r="I64" s="175">
        <v>20962</v>
      </c>
      <c r="J64" s="175">
        <v>29069</v>
      </c>
      <c r="K64" s="175">
        <f>+L64-SUM(H64:J64)</f>
        <v>31628</v>
      </c>
      <c r="L64" s="175">
        <v>100686</v>
      </c>
      <c r="M64" s="175">
        <v>30059</v>
      </c>
      <c r="N64" s="175">
        <v>30440</v>
      </c>
      <c r="O64" s="175">
        <f>'[3]Segment Information'!$G$33</f>
        <v>30920</v>
      </c>
      <c r="P64" s="175">
        <f>+Q64-SUM(M64:O64)</f>
        <v>34665</v>
      </c>
      <c r="Q64" s="175">
        <f>'[4]Segment Information 10K'!$G$32</f>
        <v>126084</v>
      </c>
      <c r="R64" s="242">
        <f>H64</f>
        <v>19027</v>
      </c>
      <c r="S64" s="242">
        <f t="shared" si="39"/>
        <v>20962</v>
      </c>
      <c r="T64" s="242">
        <f t="shared" si="39"/>
        <v>29069</v>
      </c>
      <c r="U64" s="242">
        <f t="shared" si="39"/>
        <v>31628</v>
      </c>
      <c r="V64" s="242">
        <f>L64</f>
        <v>100686</v>
      </c>
      <c r="W64" s="242">
        <f t="shared" si="40"/>
        <v>30059</v>
      </c>
      <c r="X64" s="242">
        <f t="shared" si="40"/>
        <v>30440</v>
      </c>
      <c r="Y64" s="242">
        <f t="shared" si="40"/>
        <v>30920</v>
      </c>
      <c r="Z64" s="242">
        <f t="shared" si="40"/>
        <v>34665</v>
      </c>
      <c r="AA64" s="242">
        <f t="shared" si="40"/>
        <v>126084</v>
      </c>
      <c r="AB64" s="175">
        <f>'[5]Segment Information '!$H$32</f>
        <v>33815</v>
      </c>
      <c r="AC64" s="175">
        <f>'[6]Segment Information '!$E$8</f>
        <v>24447</v>
      </c>
      <c r="AD64" s="175">
        <f>[42]Summary!$L$7</f>
        <v>34027.680296218474</v>
      </c>
      <c r="AE64" s="175">
        <f>AF64-SUM(AB64:AD64)</f>
        <v>40939.319703781526</v>
      </c>
      <c r="AF64" s="175">
        <f>'[8]Segment Information '!$E$8</f>
        <v>133229</v>
      </c>
      <c r="AG64" s="175">
        <f>'[9]Segment Information '!$E$8</f>
        <v>37829</v>
      </c>
      <c r="AH64" s="175">
        <f>'[10]Segment Information '!$E$8</f>
        <v>40094</v>
      </c>
    </row>
    <row r="65" spans="1:34" x14ac:dyDescent="0.5">
      <c r="A65" s="164"/>
      <c r="B65" s="172" t="s">
        <v>60</v>
      </c>
      <c r="C65" s="241">
        <f t="shared" ref="C65:H65" si="41">C64/C61</f>
        <v>0.35201093721305121</v>
      </c>
      <c r="D65" s="241">
        <f t="shared" si="41"/>
        <v>0.34733024302255666</v>
      </c>
      <c r="E65" s="241">
        <f t="shared" si="41"/>
        <v>0.3370422744864543</v>
      </c>
      <c r="F65" s="241">
        <f>F64/F61</f>
        <v>0.35428612514155267</v>
      </c>
      <c r="G65" s="241">
        <f>G64/G61</f>
        <v>0.34763245261809156</v>
      </c>
      <c r="H65" s="174">
        <f t="shared" si="41"/>
        <v>0.33321074568316345</v>
      </c>
      <c r="I65" s="174">
        <f t="shared" ref="I65:Q65" si="42">I64/I61</f>
        <v>0.35160521990003019</v>
      </c>
      <c r="J65" s="174">
        <f t="shared" si="42"/>
        <v>0.35146964585827078</v>
      </c>
      <c r="K65" s="174">
        <f t="shared" si="42"/>
        <v>0.36835423872913831</v>
      </c>
      <c r="L65" s="174">
        <f t="shared" si="42"/>
        <v>0.35292509376423992</v>
      </c>
      <c r="M65" s="174">
        <f t="shared" si="42"/>
        <v>0.34566069847402858</v>
      </c>
      <c r="N65" s="174">
        <f t="shared" si="42"/>
        <v>0.34641690660172297</v>
      </c>
      <c r="O65" s="174">
        <f t="shared" si="42"/>
        <v>0.34838258988428561</v>
      </c>
      <c r="P65" s="174">
        <f t="shared" si="42"/>
        <v>0.36978366615463387</v>
      </c>
      <c r="Q65" s="174">
        <f t="shared" si="42"/>
        <v>0.35285129390561637</v>
      </c>
      <c r="R65" s="241">
        <f>H65</f>
        <v>0.33321074568316345</v>
      </c>
      <c r="S65" s="241">
        <f t="shared" si="39"/>
        <v>0.35160521990003019</v>
      </c>
      <c r="T65" s="241">
        <f t="shared" si="39"/>
        <v>0.35146964585827078</v>
      </c>
      <c r="U65" s="241">
        <f t="shared" si="39"/>
        <v>0.36835423872913831</v>
      </c>
      <c r="V65" s="241">
        <f>L65</f>
        <v>0.35292509376423992</v>
      </c>
      <c r="W65" s="241">
        <f t="shared" si="40"/>
        <v>0.34566069847402858</v>
      </c>
      <c r="X65" s="241">
        <f t="shared" si="40"/>
        <v>0.34641690660172297</v>
      </c>
      <c r="Y65" s="241">
        <f t="shared" si="40"/>
        <v>0.34838258988428561</v>
      </c>
      <c r="Z65" s="241">
        <f t="shared" si="40"/>
        <v>0.36978366615463387</v>
      </c>
      <c r="AA65" s="241">
        <f t="shared" si="40"/>
        <v>0.35285129390561637</v>
      </c>
      <c r="AB65" s="174">
        <f>AB64/AB61</f>
        <v>0.36584046477913257</v>
      </c>
      <c r="AC65" s="174">
        <f>AC64/AC61</f>
        <v>0.29930581912119392</v>
      </c>
      <c r="AD65" s="174">
        <f>AD64/AD61</f>
        <v>0.37600081942894314</v>
      </c>
      <c r="AE65" s="174">
        <f t="shared" ref="AE65:AF65" si="43">AE64/AE61</f>
        <v>0.41745000223912782</v>
      </c>
      <c r="AF65" s="174">
        <f t="shared" si="43"/>
        <v>0.36734688250491482</v>
      </c>
      <c r="AG65" s="174">
        <f>AG64/AG61</f>
        <v>0.36970543969038916</v>
      </c>
      <c r="AH65" s="174">
        <f>'[45]Segment Information '!$E$8/'[45]Segment Information '!$E$6</f>
        <v>0.35989408015798213</v>
      </c>
    </row>
    <row r="66" spans="1:34" x14ac:dyDescent="0.5">
      <c r="A66" s="164"/>
      <c r="B66" s="172"/>
      <c r="C66" s="241"/>
      <c r="D66" s="244"/>
      <c r="E66" s="244"/>
      <c r="F66" s="244"/>
      <c r="G66" s="244"/>
      <c r="K66" s="163"/>
      <c r="L66" s="163"/>
      <c r="M66" s="163"/>
      <c r="N66" s="163"/>
      <c r="O66" s="163"/>
      <c r="P66" s="163"/>
      <c r="Q66" s="163"/>
      <c r="R66" s="241"/>
      <c r="S66" s="244"/>
      <c r="T66" s="244"/>
      <c r="U66" s="244"/>
      <c r="V66" s="244"/>
      <c r="W66" s="241"/>
      <c r="X66" s="244"/>
      <c r="Y66" s="244"/>
      <c r="Z66" s="244"/>
      <c r="AA66" s="244"/>
    </row>
    <row r="67" spans="1:34" x14ac:dyDescent="0.5">
      <c r="A67" s="169"/>
      <c r="B67" s="170" t="s">
        <v>84</v>
      </c>
      <c r="C67" s="171">
        <f t="shared" ref="C67:U67" si="44">+C61+C17</f>
        <v>183033</v>
      </c>
      <c r="D67" s="171">
        <f t="shared" si="44"/>
        <v>189057</v>
      </c>
      <c r="E67" s="171">
        <f t="shared" si="44"/>
        <v>192345</v>
      </c>
      <c r="F67" s="171">
        <f t="shared" si="44"/>
        <v>197875</v>
      </c>
      <c r="G67" s="171">
        <f t="shared" si="44"/>
        <v>762310</v>
      </c>
      <c r="H67" s="171">
        <f t="shared" si="44"/>
        <v>206973</v>
      </c>
      <c r="I67" s="171">
        <f t="shared" si="44"/>
        <v>210112</v>
      </c>
      <c r="J67" s="171">
        <f t="shared" si="44"/>
        <v>231124</v>
      </c>
      <c r="K67" s="171">
        <f t="shared" si="44"/>
        <v>234903</v>
      </c>
      <c r="L67" s="171">
        <f t="shared" si="44"/>
        <v>883112</v>
      </c>
      <c r="M67" s="171">
        <f t="shared" si="44"/>
        <v>239573</v>
      </c>
      <c r="N67" s="171">
        <f t="shared" si="44"/>
        <v>243509</v>
      </c>
      <c r="O67" s="171">
        <f t="shared" si="44"/>
        <v>251392</v>
      </c>
      <c r="P67" s="171">
        <f t="shared" si="44"/>
        <v>256872</v>
      </c>
      <c r="Q67" s="171">
        <f t="shared" si="44"/>
        <v>991346</v>
      </c>
      <c r="R67" s="347">
        <f t="shared" si="44"/>
        <v>206972.96685598622</v>
      </c>
      <c r="S67" s="347">
        <f>+S61+S17</f>
        <v>210112.46117321268</v>
      </c>
      <c r="T67" s="347">
        <f t="shared" si="44"/>
        <v>231123.88236976153</v>
      </c>
      <c r="U67" s="347">
        <f t="shared" si="44"/>
        <v>234903.3301324464</v>
      </c>
      <c r="V67" s="347">
        <f t="shared" ref="V67:AF67" si="45">+V61+V17</f>
        <v>883111.64053140674</v>
      </c>
      <c r="W67" s="347">
        <f t="shared" si="45"/>
        <v>239573</v>
      </c>
      <c r="X67" s="347">
        <f t="shared" si="45"/>
        <v>243509</v>
      </c>
      <c r="Y67" s="347">
        <f t="shared" si="45"/>
        <v>251392</v>
      </c>
      <c r="Z67" s="347">
        <f t="shared" si="45"/>
        <v>256872</v>
      </c>
      <c r="AA67" s="347">
        <f t="shared" si="45"/>
        <v>991346</v>
      </c>
      <c r="AB67" s="347">
        <f t="shared" si="45"/>
        <v>245990</v>
      </c>
      <c r="AC67" s="347">
        <f t="shared" si="45"/>
        <v>222473</v>
      </c>
      <c r="AD67" s="347">
        <f t="shared" si="45"/>
        <v>241018.09034936316</v>
      </c>
      <c r="AE67" s="347">
        <f t="shared" si="45"/>
        <v>248952.85731846714</v>
      </c>
      <c r="AF67" s="347">
        <f t="shared" si="45"/>
        <v>958434</v>
      </c>
      <c r="AG67" s="347">
        <f t="shared" ref="AG67:AH67" si="46">+AG61+AG17</f>
        <v>261415</v>
      </c>
      <c r="AH67" s="347">
        <f t="shared" si="46"/>
        <v>275064</v>
      </c>
    </row>
    <row r="68" spans="1:34" x14ac:dyDescent="0.5">
      <c r="A68" s="164"/>
      <c r="B68" s="172"/>
      <c r="C68" s="289"/>
      <c r="D68" s="289"/>
      <c r="E68" s="289"/>
      <c r="F68" s="289"/>
      <c r="G68" s="289"/>
      <c r="K68" s="163"/>
      <c r="L68" s="163"/>
      <c r="M68" s="163"/>
      <c r="N68" s="163"/>
      <c r="O68" s="163"/>
      <c r="P68" s="163"/>
      <c r="Q68" s="163"/>
      <c r="R68" s="351"/>
      <c r="S68" s="351"/>
      <c r="T68" s="351"/>
      <c r="U68" s="351"/>
      <c r="V68" s="351"/>
      <c r="W68" s="348"/>
      <c r="X68" s="348"/>
      <c r="Y68" s="348"/>
      <c r="Z68" s="348"/>
      <c r="AA68" s="348"/>
    </row>
    <row r="69" spans="1:34" x14ac:dyDescent="0.5">
      <c r="A69" s="164"/>
      <c r="B69" s="374" t="s">
        <v>240</v>
      </c>
      <c r="C69" s="174"/>
      <c r="K69" s="163"/>
      <c r="L69" s="163"/>
      <c r="M69" s="163"/>
      <c r="N69" s="163"/>
      <c r="O69" s="163"/>
      <c r="P69" s="163"/>
      <c r="Q69" s="163"/>
      <c r="R69" s="163"/>
      <c r="S69" s="163"/>
      <c r="T69" s="163"/>
      <c r="U69" s="163"/>
      <c r="V69" s="163"/>
      <c r="W69" s="264"/>
    </row>
    <row r="70" spans="1:34" x14ac:dyDescent="0.5">
      <c r="A70" s="164"/>
      <c r="B70" s="375" t="s">
        <v>239</v>
      </c>
      <c r="C70" s="174"/>
      <c r="K70" s="163"/>
      <c r="L70" s="163"/>
      <c r="M70" s="163"/>
      <c r="N70" s="163"/>
      <c r="O70" s="163"/>
      <c r="P70" s="163"/>
      <c r="Q70" s="163"/>
      <c r="R70" s="163"/>
      <c r="S70" s="163"/>
      <c r="T70" s="163"/>
      <c r="U70" s="163"/>
      <c r="V70" s="163"/>
      <c r="W70" s="264"/>
    </row>
    <row r="71" spans="1:34" x14ac:dyDescent="0.5">
      <c r="A71" s="164"/>
      <c r="B71" s="180"/>
      <c r="C71" s="174"/>
      <c r="K71" s="163"/>
      <c r="L71" s="163"/>
      <c r="M71" s="163"/>
      <c r="N71" s="163"/>
      <c r="O71" s="163"/>
      <c r="P71" s="163"/>
      <c r="Q71" s="163"/>
      <c r="R71" s="163"/>
      <c r="S71" s="163"/>
      <c r="T71" s="163"/>
      <c r="U71" s="163"/>
      <c r="V71" s="163"/>
      <c r="W71" s="264"/>
    </row>
    <row r="72" spans="1:34" x14ac:dyDescent="0.5">
      <c r="A72" s="164"/>
      <c r="B72" s="172" t="s">
        <v>241</v>
      </c>
      <c r="C72" s="174"/>
      <c r="K72" s="163"/>
      <c r="L72" s="163"/>
      <c r="M72" s="163"/>
      <c r="N72" s="163"/>
      <c r="O72" s="163"/>
      <c r="P72" s="163"/>
      <c r="Q72" s="163"/>
      <c r="R72" s="163"/>
      <c r="S72" s="163"/>
      <c r="T72" s="163"/>
      <c r="U72" s="163"/>
      <c r="V72" s="163"/>
      <c r="W72" s="264"/>
    </row>
    <row r="73" spans="1:34" x14ac:dyDescent="0.5">
      <c r="A73" s="164"/>
      <c r="B73" s="172" t="s">
        <v>242</v>
      </c>
      <c r="C73" s="174"/>
      <c r="K73" s="163"/>
      <c r="L73" s="163"/>
      <c r="M73" s="163"/>
      <c r="N73" s="163"/>
      <c r="O73" s="163"/>
      <c r="P73" s="163"/>
      <c r="Q73" s="163"/>
      <c r="R73" s="163"/>
      <c r="S73" s="163"/>
      <c r="T73" s="163"/>
      <c r="U73" s="163"/>
      <c r="V73" s="163"/>
      <c r="W73" s="264"/>
    </row>
    <row r="74" spans="1:34" x14ac:dyDescent="0.5">
      <c r="A74" s="164"/>
      <c r="B74" s="172"/>
      <c r="C74" s="174"/>
      <c r="K74" s="163"/>
      <c r="L74" s="163"/>
      <c r="M74" s="163"/>
      <c r="N74" s="163"/>
      <c r="O74" s="163"/>
      <c r="P74" s="163"/>
      <c r="Q74" s="163"/>
      <c r="R74" s="163"/>
      <c r="S74" s="163"/>
      <c r="T74" s="163"/>
      <c r="U74" s="163"/>
      <c r="V74" s="163"/>
      <c r="W74" s="264"/>
    </row>
    <row r="75" spans="1:34" x14ac:dyDescent="0.5">
      <c r="A75" s="164"/>
      <c r="B75" s="172"/>
      <c r="C75" s="174"/>
      <c r="K75" s="163"/>
      <c r="L75" s="163"/>
      <c r="M75" s="163"/>
      <c r="N75" s="163"/>
      <c r="O75" s="163"/>
      <c r="P75" s="163"/>
      <c r="Q75" s="163"/>
      <c r="R75" s="163"/>
      <c r="S75" s="163"/>
      <c r="T75" s="163"/>
      <c r="U75" s="163"/>
      <c r="V75" s="163"/>
      <c r="W75" s="264"/>
    </row>
    <row r="76" spans="1:34" ht="23.5" x14ac:dyDescent="0.5">
      <c r="A76" s="169"/>
      <c r="B76" s="170" t="s">
        <v>264</v>
      </c>
      <c r="C76" s="183"/>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row>
    <row r="77" spans="1:34" x14ac:dyDescent="0.5">
      <c r="A77" s="164"/>
      <c r="B77" s="368" t="s">
        <v>152</v>
      </c>
      <c r="C77" s="369">
        <v>77240.412532799455</v>
      </c>
      <c r="D77" s="369">
        <v>79617.534971087662</v>
      </c>
      <c r="E77" s="369">
        <v>80949.247830402906</v>
      </c>
      <c r="F77" s="369">
        <v>83284.909143715704</v>
      </c>
      <c r="G77" s="369">
        <f>C77+D77+E77+F77</f>
        <v>321092.10447800573</v>
      </c>
      <c r="H77" s="369">
        <v>90659.480287046856</v>
      </c>
      <c r="I77" s="369">
        <v>93663.40367665753</v>
      </c>
      <c r="J77" s="369">
        <v>96028.058361202435</v>
      </c>
      <c r="K77" s="369">
        <v>95227.546474638701</v>
      </c>
      <c r="L77" s="369">
        <f>H77+I77+J77+K77</f>
        <v>375578.48879954551</v>
      </c>
      <c r="M77" s="369">
        <v>100958.7534962692</v>
      </c>
      <c r="N77" s="369">
        <v>103525.8957768306</v>
      </c>
      <c r="O77" s="369">
        <v>109286.83625354461</v>
      </c>
      <c r="P77" s="369">
        <v>107198.73751952131</v>
      </c>
      <c r="Q77" s="369">
        <v>420970.22304616572</v>
      </c>
      <c r="R77" s="369">
        <v>90659.480287046856</v>
      </c>
      <c r="S77" s="369">
        <v>93663.40367665753</v>
      </c>
      <c r="T77" s="369">
        <v>96028.058361202435</v>
      </c>
      <c r="U77" s="369">
        <v>95227.546474638701</v>
      </c>
      <c r="V77" s="369">
        <f>SUM(R77:U77)</f>
        <v>375578.48879954551</v>
      </c>
      <c r="W77" s="369">
        <v>100958.7534962692</v>
      </c>
      <c r="X77" s="369">
        <v>103525.8957768306</v>
      </c>
      <c r="Y77" s="369">
        <v>109286.83625354461</v>
      </c>
      <c r="Z77" s="369">
        <v>107198.73751952131</v>
      </c>
      <c r="AA77" s="369">
        <v>420970.22304616572</v>
      </c>
      <c r="AB77" s="369">
        <v>107827.65817521796</v>
      </c>
      <c r="AC77" s="369">
        <v>100706.54271371941</v>
      </c>
      <c r="AD77" s="369">
        <f>'[38]8a'!$L$28*1000</f>
        <v>109678.25203491189</v>
      </c>
      <c r="AE77" s="369">
        <f>'[39]Slide 7 QTR Rev. vertical wi HI'!$L$28*1000</f>
        <v>111185.3843587006</v>
      </c>
      <c r="AF77" s="369">
        <f>AB77+AC77+AD77+AE77</f>
        <v>429397.83728254982</v>
      </c>
      <c r="AG77" s="369">
        <f>'[47]Quarterly Revenue vertical(Rep)'!$K$28*1000</f>
        <v>118368.74818935194</v>
      </c>
      <c r="AH77" s="369">
        <f>'[48]Revenue by Industry vertical'!$R$13*1000</f>
        <v>122992.8981440388</v>
      </c>
    </row>
    <row r="78" spans="1:34" x14ac:dyDescent="0.5">
      <c r="A78" s="185"/>
      <c r="B78" s="184" t="s">
        <v>133</v>
      </c>
      <c r="C78" s="370">
        <f>C77/$C$67</f>
        <v>0.42200265816983523</v>
      </c>
      <c r="D78" s="370">
        <f>D77/$D$67</f>
        <v>0.42112979139141987</v>
      </c>
      <c r="E78" s="370">
        <f>E77/$E$67</f>
        <v>0.42085444295616165</v>
      </c>
      <c r="F78" s="370">
        <f>F77/$F$67</f>
        <v>0.42089657179388856</v>
      </c>
      <c r="G78" s="370">
        <f>G77/$G$67</f>
        <v>0.42120935640094676</v>
      </c>
      <c r="H78" s="370"/>
      <c r="I78" s="370"/>
      <c r="J78" s="370"/>
      <c r="K78" s="370"/>
      <c r="L78" s="370"/>
      <c r="M78" s="370"/>
      <c r="N78" s="370"/>
      <c r="O78" s="370"/>
      <c r="P78" s="370"/>
      <c r="Q78" s="370"/>
      <c r="R78" s="349">
        <f>R77/SUM(R$77,R$81,R$85)</f>
        <v>0.43802570772505084</v>
      </c>
      <c r="S78" s="349">
        <f>S77/SUM(S$77,S$81,S$85)</f>
        <v>0.44577748103880055</v>
      </c>
      <c r="T78" s="349">
        <f>T77/SUM(T$77,T$81,T$85)</f>
        <v>0.41548306205575408</v>
      </c>
      <c r="U78" s="349">
        <f>U77/SUM(U$77,U$81,U$85)</f>
        <v>0.40539036386136468</v>
      </c>
      <c r="V78" s="349">
        <f>V77/SUM(V$77,V$81,V$85)</f>
        <v>0.4252899311502038</v>
      </c>
      <c r="W78" s="349">
        <f>W77/$W$67</f>
        <v>0.42141123372111716</v>
      </c>
      <c r="X78" s="349">
        <f>X77/$X$67</f>
        <v>0.42514196919551472</v>
      </c>
      <c r="Y78" s="349">
        <f>Y77/$Y$67</f>
        <v>0.43472678626823691</v>
      </c>
      <c r="Z78" s="349">
        <f>Z77/$Z$67</f>
        <v>0.41732356005917853</v>
      </c>
      <c r="AA78" s="349">
        <f>AA77/$AA$67</f>
        <v>0.42464510175676878</v>
      </c>
      <c r="AB78" s="256">
        <f>AB77/$AB$67</f>
        <v>0.43834163248594643</v>
      </c>
      <c r="AC78" s="256">
        <f>AC77/$AC$67</f>
        <v>0.45266860569021594</v>
      </c>
      <c r="AD78" s="256">
        <f>AD77/$AD$67</f>
        <v>0.45506232281539477</v>
      </c>
      <c r="AE78" s="256">
        <f>AE77/$AE$67</f>
        <v>0.44661220423941261</v>
      </c>
      <c r="AF78" s="256">
        <f>AF77/$AF$67</f>
        <v>0.4480202468636858</v>
      </c>
      <c r="AG78" s="256">
        <f>AG77/$AG$67</f>
        <v>0.45280013843640166</v>
      </c>
      <c r="AH78" s="256">
        <f>AH77/$AH$67</f>
        <v>0.44714284000828464</v>
      </c>
    </row>
    <row r="79" spans="1:34" x14ac:dyDescent="0.5">
      <c r="A79" s="185"/>
      <c r="B79" s="184" t="s">
        <v>131</v>
      </c>
      <c r="C79" s="370"/>
      <c r="D79" s="370"/>
      <c r="E79" s="370"/>
      <c r="F79" s="370"/>
      <c r="G79" s="370"/>
      <c r="H79" s="256"/>
      <c r="I79" s="256"/>
      <c r="J79" s="256"/>
      <c r="K79" s="256"/>
      <c r="L79" s="371"/>
      <c r="M79" s="256"/>
      <c r="N79" s="256"/>
      <c r="O79" s="256"/>
      <c r="P79" s="256"/>
      <c r="Q79" s="371"/>
      <c r="R79" s="349">
        <f>R77/F77-1</f>
        <v>8.8546307117963741E-2</v>
      </c>
      <c r="S79" s="349">
        <f>S77/R77-1</f>
        <v>3.3134134236150858E-2</v>
      </c>
      <c r="T79" s="349">
        <f t="shared" ref="T79:U79" si="47">T77/S77-1</f>
        <v>2.5246303163486417E-2</v>
      </c>
      <c r="U79" s="349">
        <f t="shared" si="47"/>
        <v>-8.3362290170719833E-3</v>
      </c>
      <c r="V79" s="367" t="s">
        <v>83</v>
      </c>
      <c r="W79" s="349">
        <f>W77/U77-1</f>
        <v>6.0184339865953174E-2</v>
      </c>
      <c r="X79" s="349">
        <f>X77/W77-1</f>
        <v>2.5427634471103744E-2</v>
      </c>
      <c r="Y79" s="349">
        <f>Y77/X77-1</f>
        <v>5.5647337639394001E-2</v>
      </c>
      <c r="Z79" s="349">
        <f>Z77/Y77-1</f>
        <v>-1.9106589646157635E-2</v>
      </c>
      <c r="AA79" s="367" t="s">
        <v>83</v>
      </c>
      <c r="AB79" s="256">
        <f>AB77/Z77-1</f>
        <v>5.8668662546714767E-3</v>
      </c>
      <c r="AC79" s="256">
        <f>AC77/AB77-1</f>
        <v>-6.60416407256742E-2</v>
      </c>
      <c r="AD79" s="256">
        <f>AD77/AC77-1</f>
        <v>8.9087650905627314E-2</v>
      </c>
      <c r="AE79" s="256">
        <f>AE77/AD77-1</f>
        <v>1.3741396273428741E-2</v>
      </c>
      <c r="AF79" s="366" t="s">
        <v>83</v>
      </c>
      <c r="AG79" s="256">
        <f>AG77/AE77-1</f>
        <v>6.4607087272161134E-2</v>
      </c>
      <c r="AH79" s="256">
        <f>AH77/AG77-1</f>
        <v>3.9065631979901427E-2</v>
      </c>
    </row>
    <row r="80" spans="1:34" x14ac:dyDescent="0.5">
      <c r="A80" s="185"/>
      <c r="B80" s="184" t="s">
        <v>132</v>
      </c>
      <c r="C80" s="370"/>
      <c r="D80" s="370"/>
      <c r="E80" s="370"/>
      <c r="F80" s="370"/>
      <c r="G80" s="370"/>
      <c r="H80" s="256"/>
      <c r="I80" s="256"/>
      <c r="J80" s="256"/>
      <c r="K80" s="256"/>
      <c r="L80" s="256"/>
      <c r="M80" s="256"/>
      <c r="N80" s="256"/>
      <c r="O80" s="256"/>
      <c r="P80" s="256"/>
      <c r="Q80" s="256"/>
      <c r="R80" s="349">
        <f>R77/C77-1</f>
        <v>0.17373117664990612</v>
      </c>
      <c r="S80" s="349">
        <f t="shared" ref="S80:V80" si="48">S77/D77-1</f>
        <v>0.17641677440365977</v>
      </c>
      <c r="T80" s="349">
        <f t="shared" si="48"/>
        <v>0.18627486894493694</v>
      </c>
      <c r="U80" s="349">
        <f t="shared" si="48"/>
        <v>0.14339497339565899</v>
      </c>
      <c r="V80" s="349">
        <f t="shared" si="48"/>
        <v>0.16969082565925264</v>
      </c>
      <c r="W80" s="349">
        <f t="shared" ref="W80:AH80" si="49">W77/R77-1</f>
        <v>0.11360392952411269</v>
      </c>
      <c r="X80" s="349">
        <f t="shared" si="49"/>
        <v>0.10529717811900285</v>
      </c>
      <c r="Y80" s="349">
        <f t="shared" si="49"/>
        <v>0.13807191479880032</v>
      </c>
      <c r="Z80" s="349">
        <f t="shared" si="49"/>
        <v>0.12571143002272778</v>
      </c>
      <c r="AA80" s="349">
        <f t="shared" si="49"/>
        <v>0.12085818437500229</v>
      </c>
      <c r="AB80" s="256">
        <f t="shared" si="49"/>
        <v>6.8036742145420659E-2</v>
      </c>
      <c r="AC80" s="256">
        <f t="shared" si="49"/>
        <v>-2.7233312418651567E-2</v>
      </c>
      <c r="AD80" s="256">
        <f t="shared" si="49"/>
        <v>3.5815455436847277E-3</v>
      </c>
      <c r="AE80" s="256">
        <f t="shared" si="49"/>
        <v>3.7189307742111266E-2</v>
      </c>
      <c r="AF80" s="256">
        <f t="shared" si="49"/>
        <v>2.0019502033662651E-2</v>
      </c>
      <c r="AG80" s="256">
        <f t="shared" si="49"/>
        <v>9.7758684483390201E-2</v>
      </c>
      <c r="AH80" s="256">
        <f t="shared" si="49"/>
        <v>0.22129997545118085</v>
      </c>
    </row>
    <row r="81" spans="1:34" x14ac:dyDescent="0.5">
      <c r="A81" s="185"/>
      <c r="B81" s="368" t="s">
        <v>151</v>
      </c>
      <c r="C81" s="369">
        <v>28565.750130000004</v>
      </c>
      <c r="D81" s="369">
        <v>28156.917699999998</v>
      </c>
      <c r="E81" s="369">
        <v>30230.509270000002</v>
      </c>
      <c r="F81" s="369">
        <v>33211.816870000002</v>
      </c>
      <c r="G81" s="369">
        <f>C81+D81+E81+F81</f>
        <v>120164.99397000001</v>
      </c>
      <c r="H81" s="369">
        <v>34104.735787288213</v>
      </c>
      <c r="I81" s="369">
        <v>31671.265590000003</v>
      </c>
      <c r="J81" s="369">
        <v>52232.656980799991</v>
      </c>
      <c r="K81" s="369">
        <v>57047.38757359999</v>
      </c>
      <c r="L81" s="369">
        <f>H81+I81+J81+K81</f>
        <v>175056.04593168822</v>
      </c>
      <c r="M81" s="369">
        <v>53248.401116638008</v>
      </c>
      <c r="N81" s="369">
        <v>53986.086069446013</v>
      </c>
      <c r="O81" s="369">
        <v>55980.109864710008</v>
      </c>
      <c r="P81" s="369">
        <v>62630.014391522003</v>
      </c>
      <c r="Q81" s="369">
        <v>225844.61144231603</v>
      </c>
      <c r="R81" s="369">
        <v>34104.735787288213</v>
      </c>
      <c r="S81" s="369">
        <v>31671.265590000003</v>
      </c>
      <c r="T81" s="369">
        <v>52232.656980799991</v>
      </c>
      <c r="U81" s="369">
        <v>57047.38757359999</v>
      </c>
      <c r="V81" s="369">
        <v>175056.04593168822</v>
      </c>
      <c r="W81" s="369">
        <v>53248.401116638008</v>
      </c>
      <c r="X81" s="369">
        <v>53986.086069446013</v>
      </c>
      <c r="Y81" s="369">
        <v>55980.109864710008</v>
      </c>
      <c r="Z81" s="369">
        <v>62630.014391522003</v>
      </c>
      <c r="AA81" s="369">
        <v>225844.61144231603</v>
      </c>
      <c r="AB81" s="369">
        <v>57262.171140788683</v>
      </c>
      <c r="AC81" s="369">
        <v>53513.086060000031</v>
      </c>
      <c r="AD81" s="369">
        <f>'[38]8a'!$L$29*1000</f>
        <v>58187.223970000006</v>
      </c>
      <c r="AE81" s="369">
        <f>'[39]Slide 7 QTR Rev. vertical wi HI'!$L$29*1000</f>
        <v>58248.805019211271</v>
      </c>
      <c r="AF81" s="369">
        <f>AB81+AC81+AD81+AE81</f>
        <v>227211.28618999996</v>
      </c>
      <c r="AG81" s="369">
        <f>'[47]Quarterly Revenue vertical(Rep)'!$K$29*1000</f>
        <v>62256.95429999999</v>
      </c>
      <c r="AH81" s="369">
        <f>'[48]Revenue by Industry vertical'!$R$14*1000</f>
        <v>64548.337290000018</v>
      </c>
    </row>
    <row r="82" spans="1:34" x14ac:dyDescent="0.5">
      <c r="A82" s="185"/>
      <c r="B82" s="184" t="s">
        <v>133</v>
      </c>
      <c r="C82" s="370">
        <f>C81/$C$67</f>
        <v>0.15606885168248349</v>
      </c>
      <c r="D82" s="370">
        <f>D81/$D$67</f>
        <v>0.14893348408152038</v>
      </c>
      <c r="E82" s="370">
        <f>E81/$E$67</f>
        <v>0.15716815758142921</v>
      </c>
      <c r="F82" s="370">
        <f>F81/$F$67</f>
        <v>0.16784240995578018</v>
      </c>
      <c r="G82" s="370">
        <f>+G81/$G$67</f>
        <v>0.15763271368603327</v>
      </c>
      <c r="H82" s="370"/>
      <c r="I82" s="370"/>
      <c r="J82" s="370"/>
      <c r="K82" s="370"/>
      <c r="L82" s="370"/>
      <c r="M82" s="370"/>
      <c r="N82" s="370"/>
      <c r="O82" s="370"/>
      <c r="P82" s="370"/>
      <c r="Q82" s="370"/>
      <c r="R82" s="349">
        <f>R81/SUM(R$77,R$81,R$85)</f>
        <v>0.16477869697359374</v>
      </c>
      <c r="S82" s="349">
        <f>S81/SUM(S$77,S$81,S$85)</f>
        <v>0.15073482749740777</v>
      </c>
      <c r="T82" s="349">
        <f>T81/SUM(T$77,T$81,T$85)</f>
        <v>0.22599420036236684</v>
      </c>
      <c r="U82" s="349">
        <f>U81/SUM(U$77,U$81,U$85)</f>
        <v>0.24285474174178273</v>
      </c>
      <c r="V82" s="349">
        <f>V81/SUM(V$77,V$81,V$85)</f>
        <v>0.19822640524401805</v>
      </c>
      <c r="W82" s="349">
        <f>+W81/$W$67</f>
        <v>0.22226378229866475</v>
      </c>
      <c r="X82" s="349">
        <f>+X81/$X$67</f>
        <v>0.2217005780872412</v>
      </c>
      <c r="Y82" s="349">
        <f>+Y81/$Y$67</f>
        <v>0.22268055413342511</v>
      </c>
      <c r="Z82" s="349">
        <f>+Z81/$Z$67</f>
        <v>0.24381798869289764</v>
      </c>
      <c r="AA82" s="349">
        <f>+AA81/$AA$67</f>
        <v>0.22781613225081457</v>
      </c>
      <c r="AB82" s="256">
        <f>+AB81/$AB$67</f>
        <v>0.23278251612174755</v>
      </c>
      <c r="AC82" s="256">
        <f>+AC81/$AC$67</f>
        <v>0.24053744076809336</v>
      </c>
      <c r="AD82" s="256">
        <f>+AD81/$AD$67</f>
        <v>0.24142264128661806</v>
      </c>
      <c r="AE82" s="256">
        <f>AE81/$AE$67</f>
        <v>0.23397524192581506</v>
      </c>
      <c r="AF82" s="256">
        <f>+AF81/$AF$67</f>
        <v>0.23706513561705861</v>
      </c>
      <c r="AG82" s="256">
        <f>+AG81/$AG$67</f>
        <v>0.23815371841707625</v>
      </c>
      <c r="AH82" s="256">
        <f>+AH81/$AH$67</f>
        <v>0.23466661318820353</v>
      </c>
    </row>
    <row r="83" spans="1:34" x14ac:dyDescent="0.5">
      <c r="A83" s="185"/>
      <c r="B83" s="184" t="s">
        <v>131</v>
      </c>
      <c r="C83" s="370"/>
      <c r="D83" s="370"/>
      <c r="E83" s="370"/>
      <c r="F83" s="370"/>
      <c r="G83" s="370"/>
      <c r="H83" s="256"/>
      <c r="I83" s="256"/>
      <c r="J83" s="256"/>
      <c r="K83" s="256"/>
      <c r="L83" s="371"/>
      <c r="M83" s="256"/>
      <c r="N83" s="256"/>
      <c r="O83" s="256"/>
      <c r="P83" s="256"/>
      <c r="Q83" s="371"/>
      <c r="R83" s="349">
        <f>R81/F81-1</f>
        <v>2.6885578731911552E-2</v>
      </c>
      <c r="S83" s="349">
        <f>S81/R81-1</f>
        <v>-7.1352852942940359E-2</v>
      </c>
      <c r="T83" s="349">
        <f t="shared" ref="T83:U83" si="50">T81/S81-1</f>
        <v>0.64921281192160873</v>
      </c>
      <c r="U83" s="349">
        <f t="shared" si="50"/>
        <v>9.2178550184989216E-2</v>
      </c>
      <c r="V83" s="367" t="s">
        <v>83</v>
      </c>
      <c r="W83" s="349">
        <f>W81/U81-1</f>
        <v>-6.6593521956823998E-2</v>
      </c>
      <c r="X83" s="349">
        <f>X81/W81-1</f>
        <v>1.3853654519919711E-2</v>
      </c>
      <c r="Y83" s="349">
        <f>Y81/X81-1</f>
        <v>3.6935883677489567E-2</v>
      </c>
      <c r="Z83" s="349">
        <f>Z81/Y81-1</f>
        <v>0.1187904872441865</v>
      </c>
      <c r="AA83" s="367" t="s">
        <v>83</v>
      </c>
      <c r="AB83" s="256">
        <f>AB81/Z81-1</f>
        <v>-8.5707201297720692E-2</v>
      </c>
      <c r="AC83" s="256">
        <f>AC81/AB81-1</f>
        <v>-6.5472283116385754E-2</v>
      </c>
      <c r="AD83" s="256">
        <f>AD81/AC81-1</f>
        <v>8.7345699045635827E-2</v>
      </c>
      <c r="AE83" s="256">
        <f>AE81/AD81-1</f>
        <v>1.058325952154382E-3</v>
      </c>
      <c r="AF83" s="366" t="s">
        <v>83</v>
      </c>
      <c r="AG83" s="256">
        <f>AG81/AE81-1</f>
        <v>6.8810841346303553E-2</v>
      </c>
      <c r="AH83" s="256">
        <f>AH81/AG81-1</f>
        <v>3.6805253577912866E-2</v>
      </c>
    </row>
    <row r="84" spans="1:34" x14ac:dyDescent="0.5">
      <c r="A84" s="185"/>
      <c r="B84" s="184" t="s">
        <v>132</v>
      </c>
      <c r="C84" s="370"/>
      <c r="D84" s="370"/>
      <c r="E84" s="370"/>
      <c r="F84" s="370"/>
      <c r="G84" s="370"/>
      <c r="H84" s="256"/>
      <c r="I84" s="256"/>
      <c r="J84" s="256"/>
      <c r="K84" s="256"/>
      <c r="L84" s="256"/>
      <c r="M84" s="256"/>
      <c r="N84" s="256"/>
      <c r="O84" s="256"/>
      <c r="P84" s="256"/>
      <c r="Q84" s="256"/>
      <c r="R84" s="349">
        <f>R81/C81-1</f>
        <v>0.19390303535110442</v>
      </c>
      <c r="S84" s="349">
        <f t="shared" ref="S84:V84" si="51">S81/D81-1</f>
        <v>0.12481294747684712</v>
      </c>
      <c r="T84" s="349">
        <f t="shared" si="51"/>
        <v>0.72781267144031769</v>
      </c>
      <c r="U84" s="349">
        <f t="shared" si="51"/>
        <v>0.71768343168032134</v>
      </c>
      <c r="V84" s="349">
        <f t="shared" si="51"/>
        <v>0.45679735959868739</v>
      </c>
      <c r="W84" s="349">
        <f t="shared" ref="W84:AH84" si="52">W81/R81-1</f>
        <v>0.5613198544844078</v>
      </c>
      <c r="X84" s="349">
        <f t="shared" si="52"/>
        <v>0.70457621644560264</v>
      </c>
      <c r="Y84" s="349">
        <f t="shared" si="52"/>
        <v>7.1745400301721718E-2</v>
      </c>
      <c r="Z84" s="349">
        <f t="shared" si="52"/>
        <v>9.7859464830349241E-2</v>
      </c>
      <c r="AA84" s="349">
        <f t="shared" si="52"/>
        <v>0.29012745741125068</v>
      </c>
      <c r="AB84" s="256">
        <f t="shared" si="52"/>
        <v>7.5378226199857234E-2</v>
      </c>
      <c r="AC84" s="256">
        <f t="shared" si="52"/>
        <v>-8.761516973790795E-3</v>
      </c>
      <c r="AD84" s="256">
        <f t="shared" si="52"/>
        <v>3.9426755514128997E-2</v>
      </c>
      <c r="AE84" s="256">
        <f t="shared" si="52"/>
        <v>-6.9953829882941854E-2</v>
      </c>
      <c r="AF84" s="256">
        <f t="shared" si="52"/>
        <v>6.0513940932922505E-3</v>
      </c>
      <c r="AG84" s="256">
        <f t="shared" si="52"/>
        <v>8.7226576633477437E-2</v>
      </c>
      <c r="AH84" s="256">
        <f t="shared" si="52"/>
        <v>0.20621593786661863</v>
      </c>
    </row>
    <row r="85" spans="1:34" x14ac:dyDescent="0.5">
      <c r="A85" s="185"/>
      <c r="B85" s="368" t="s">
        <v>229</v>
      </c>
      <c r="C85" s="369"/>
      <c r="D85" s="369"/>
      <c r="E85" s="369"/>
      <c r="F85" s="369"/>
      <c r="G85" s="369"/>
      <c r="H85" s="369"/>
      <c r="I85" s="369"/>
      <c r="J85" s="369"/>
      <c r="K85" s="369"/>
      <c r="L85" s="369"/>
      <c r="M85" s="369"/>
      <c r="N85" s="369"/>
      <c r="O85" s="369"/>
      <c r="P85" s="369"/>
      <c r="Q85" s="369"/>
      <c r="R85" s="372">
        <v>82208.75078165115</v>
      </c>
      <c r="S85" s="369">
        <v>84777.791906555154</v>
      </c>
      <c r="T85" s="369">
        <v>82863.167027759118</v>
      </c>
      <c r="U85" s="369">
        <v>82628.396084207692</v>
      </c>
      <c r="V85" s="369">
        <v>332477.10580017301</v>
      </c>
      <c r="W85" s="369">
        <v>85365.845387092791</v>
      </c>
      <c r="X85" s="369">
        <v>85997.018153723373</v>
      </c>
      <c r="Y85" s="369">
        <v>86125.053881745378</v>
      </c>
      <c r="Z85" s="369">
        <v>87043.248088956665</v>
      </c>
      <c r="AA85" s="369">
        <v>344531.16551151831</v>
      </c>
      <c r="AB85" s="369">
        <v>80900.367339627395</v>
      </c>
      <c r="AC85" s="369">
        <v>68253.371226280564</v>
      </c>
      <c r="AD85" s="369">
        <f>'[38]8a'!$L$30*1000</f>
        <v>73152.783378038745</v>
      </c>
      <c r="AE85" s="369">
        <f>'[39]Slide 7 QTR Rev. vertical wi HI'!$L$30*1000</f>
        <v>79518.623723887344</v>
      </c>
      <c r="AF85" s="369">
        <f>AB85+AC85+AD85+AE85</f>
        <v>301825.14566783409</v>
      </c>
      <c r="AG85" s="369">
        <f>'[47]Quarterly Revenue vertical(Rep)'!$K$30*1000</f>
        <v>80788.873072383198</v>
      </c>
      <c r="AH85" s="369">
        <f>'[48]Revenue by Industry vertical'!$R$15*1000</f>
        <v>87522.885930257893</v>
      </c>
    </row>
    <row r="86" spans="1:34" x14ac:dyDescent="0.5">
      <c r="A86" s="185"/>
      <c r="B86" s="184" t="s">
        <v>133</v>
      </c>
      <c r="C86" s="370"/>
      <c r="D86" s="370"/>
      <c r="E86" s="370"/>
      <c r="F86" s="370"/>
      <c r="G86" s="370"/>
      <c r="H86" s="181"/>
      <c r="I86" s="181"/>
      <c r="J86" s="181"/>
      <c r="K86" s="181"/>
      <c r="L86" s="181"/>
      <c r="M86" s="181"/>
      <c r="N86" s="181"/>
      <c r="O86" s="181"/>
      <c r="P86" s="181"/>
      <c r="Q86" s="181"/>
      <c r="R86" s="349">
        <f>R85/SUM(R$77,R$81,R$85)</f>
        <v>0.3971955953013554</v>
      </c>
      <c r="S86" s="349">
        <f>S85/SUM(S$77,S$81,S$85)</f>
        <v>0.40348769146379171</v>
      </c>
      <c r="T86" s="349">
        <f>T85/SUM(T$77,T$81,T$85)</f>
        <v>0.35852273758187914</v>
      </c>
      <c r="U86" s="349">
        <f>U85/SUM(U$77,U$81,U$85)</f>
        <v>0.35175489439685265</v>
      </c>
      <c r="V86" s="349">
        <f>V85/SUM(V$77,V$81,V$85)</f>
        <v>0.37648366360577817</v>
      </c>
      <c r="W86" s="349">
        <f>+W85/$W$67</f>
        <v>0.35632498398021811</v>
      </c>
      <c r="X86" s="349">
        <f>+X85/$X$67</f>
        <v>0.35315745271724402</v>
      </c>
      <c r="Y86" s="349">
        <f>+Y85/$Y$67</f>
        <v>0.34259265959833796</v>
      </c>
      <c r="Z86" s="349">
        <f>+Z85/$Z$67</f>
        <v>0.33885845124792374</v>
      </c>
      <c r="AA86" s="349">
        <f>+AA85/$AA$67</f>
        <v>0.34753876599241668</v>
      </c>
      <c r="AB86" s="256">
        <f>+AB85/$AB$67</f>
        <v>0.32887665083795031</v>
      </c>
      <c r="AC86" s="256">
        <f>+AC85/$AC$67</f>
        <v>0.30679395354169076</v>
      </c>
      <c r="AD86" s="256">
        <f>+AD85/$AD$67</f>
        <v>0.30351573722952302</v>
      </c>
      <c r="AE86" s="256">
        <f>AE85/$AE$67</f>
        <v>0.31941237622416602</v>
      </c>
      <c r="AF86" s="256">
        <f>+AF85/$AF$67</f>
        <v>0.31491489833189773</v>
      </c>
      <c r="AG86" s="256">
        <f>+AG85/$AG$67</f>
        <v>0.30904451952788936</v>
      </c>
      <c r="AH86" s="256">
        <f>+AH85/$AH$67</f>
        <v>0.31819098802554274</v>
      </c>
    </row>
    <row r="87" spans="1:34" x14ac:dyDescent="0.5">
      <c r="A87" s="185"/>
      <c r="B87" s="184" t="s">
        <v>131</v>
      </c>
      <c r="C87" s="370"/>
      <c r="D87" s="370"/>
      <c r="E87" s="370"/>
      <c r="F87" s="370"/>
      <c r="G87" s="370"/>
      <c r="H87" s="181"/>
      <c r="I87" s="181"/>
      <c r="J87" s="181"/>
      <c r="K87" s="181"/>
      <c r="L87" s="181"/>
      <c r="M87" s="181"/>
      <c r="N87" s="181"/>
      <c r="O87" s="181"/>
      <c r="P87" s="181"/>
      <c r="Q87" s="181"/>
      <c r="R87" s="349">
        <f>R85/(F67-F77-F81)-1</f>
        <v>1.0205141430092546E-2</v>
      </c>
      <c r="S87" s="349">
        <f>S85/R85-1</f>
        <v>3.1250214855197855E-2</v>
      </c>
      <c r="T87" s="349">
        <f t="shared" ref="T87:U87" si="53">T85/S85-1</f>
        <v>-2.2584038056881695E-2</v>
      </c>
      <c r="U87" s="349">
        <f t="shared" si="53"/>
        <v>-2.8332364302799951E-3</v>
      </c>
      <c r="V87" s="367" t="s">
        <v>83</v>
      </c>
      <c r="W87" s="349">
        <f>W85/U85-1</f>
        <v>3.3129643471420334E-2</v>
      </c>
      <c r="X87" s="349">
        <f>X85/W85-1</f>
        <v>7.3937388397962156E-3</v>
      </c>
      <c r="Y87" s="349">
        <f>Y85/X85-1</f>
        <v>1.4888391571103998E-3</v>
      </c>
      <c r="Z87" s="349">
        <f>Z85/Y85-1</f>
        <v>1.0661174255658823E-2</v>
      </c>
      <c r="AA87" s="367" t="s">
        <v>83</v>
      </c>
      <c r="AB87" s="256">
        <f>AB85/Z85-1</f>
        <v>-7.0572742679034128E-2</v>
      </c>
      <c r="AC87" s="256">
        <f>AC85/AB85-1</f>
        <v>-0.15632804311324755</v>
      </c>
      <c r="AD87" s="256">
        <f>AD85/AC85-1</f>
        <v>7.1782712908277313E-2</v>
      </c>
      <c r="AE87" s="256">
        <f>AE85/AD85-1</f>
        <v>8.7021163814795965E-2</v>
      </c>
      <c r="AF87" s="366" t="s">
        <v>83</v>
      </c>
      <c r="AG87" s="256">
        <f>AG85/AE85-1</f>
        <v>1.5974237090754295E-2</v>
      </c>
      <c r="AH87" s="256">
        <f>AH85/AG85-1</f>
        <v>8.3353221821046208E-2</v>
      </c>
    </row>
    <row r="88" spans="1:34" x14ac:dyDescent="0.5">
      <c r="A88" s="185"/>
      <c r="B88" s="184" t="s">
        <v>132</v>
      </c>
      <c r="C88" s="370"/>
      <c r="D88" s="370"/>
      <c r="E88" s="370"/>
      <c r="F88" s="370"/>
      <c r="G88" s="370"/>
      <c r="H88" s="181"/>
      <c r="I88" s="181"/>
      <c r="J88" s="181"/>
      <c r="K88" s="181"/>
      <c r="L88" s="181"/>
      <c r="M88" s="181"/>
      <c r="N88" s="181"/>
      <c r="O88" s="181"/>
      <c r="P88" s="181"/>
      <c r="Q88" s="181"/>
      <c r="R88" s="349">
        <f>R85/(C67-C77-C81)-1</f>
        <v>6.4510131661843939E-2</v>
      </c>
      <c r="S88" s="349">
        <f t="shared" ref="S88:V88" si="54">S85/(D67-D77-D81)-1</f>
        <v>4.3001169285445728E-2</v>
      </c>
      <c r="T88" s="349">
        <f t="shared" si="54"/>
        <v>2.0919350050641494E-2</v>
      </c>
      <c r="U88" s="349">
        <f t="shared" si="54"/>
        <v>1.5361865479404102E-2</v>
      </c>
      <c r="V88" s="349">
        <f t="shared" si="54"/>
        <v>3.5583557080323125E-2</v>
      </c>
      <c r="W88" s="349">
        <f t="shared" ref="W88:AH88" si="55">W85/R85-1</f>
        <v>3.840338863470838E-2</v>
      </c>
      <c r="X88" s="349">
        <f t="shared" si="55"/>
        <v>1.4381434332614962E-2</v>
      </c>
      <c r="Y88" s="349">
        <f t="shared" si="55"/>
        <v>3.9364737928656801E-2</v>
      </c>
      <c r="Z88" s="349">
        <f t="shared" si="55"/>
        <v>5.3430203343772353E-2</v>
      </c>
      <c r="AA88" s="349">
        <f t="shared" si="55"/>
        <v>3.6255307511579682E-2</v>
      </c>
      <c r="AB88" s="256">
        <f t="shared" si="55"/>
        <v>-5.2309890767397782E-2</v>
      </c>
      <c r="AC88" s="256">
        <f t="shared" si="55"/>
        <v>-0.20632862985697109</v>
      </c>
      <c r="AD88" s="256">
        <f t="shared" si="55"/>
        <v>-0.15062133396767796</v>
      </c>
      <c r="AE88" s="256">
        <f t="shared" si="55"/>
        <v>-8.6446962059357979E-2</v>
      </c>
      <c r="AF88" s="256">
        <f t="shared" si="55"/>
        <v>-0.12395401089558755</v>
      </c>
      <c r="AG88" s="256">
        <f t="shared" si="55"/>
        <v>-1.3781676265588461E-3</v>
      </c>
      <c r="AH88" s="256">
        <f t="shared" si="55"/>
        <v>0.28232326634962934</v>
      </c>
    </row>
    <row r="89" spans="1:34" hidden="1" x14ac:dyDescent="0.5">
      <c r="A89" s="185"/>
      <c r="B89" s="172" t="s">
        <v>85</v>
      </c>
      <c r="C89" s="327">
        <v>11777.272072499996</v>
      </c>
      <c r="D89" s="327">
        <v>11915.431817500003</v>
      </c>
      <c r="E89" s="327">
        <v>10973.253296499999</v>
      </c>
      <c r="F89" s="327">
        <v>10686.693969299999</v>
      </c>
      <c r="G89" s="327">
        <f>C89+D89+E89+F89</f>
        <v>45352.651155799991</v>
      </c>
      <c r="H89" s="327">
        <v>11157.050967200001</v>
      </c>
      <c r="I89" s="327">
        <v>11094.3475992</v>
      </c>
      <c r="J89" s="327">
        <v>11047.168775000002</v>
      </c>
      <c r="K89" s="327">
        <v>10730.098052000003</v>
      </c>
      <c r="L89" s="327">
        <f>H89+I89+J89+K89</f>
        <v>44028.665393400006</v>
      </c>
      <c r="M89" s="327">
        <v>10655.176801822998</v>
      </c>
      <c r="N89" s="327">
        <v>11018.624987452999</v>
      </c>
      <c r="O89" s="327">
        <v>10498.847609164</v>
      </c>
      <c r="P89" s="327">
        <v>10038.998879698998</v>
      </c>
      <c r="Q89" s="327">
        <v>42211.648278138993</v>
      </c>
      <c r="R89" s="251"/>
      <c r="S89" s="251"/>
      <c r="T89" s="251"/>
      <c r="U89" s="251"/>
      <c r="V89" s="251"/>
      <c r="W89" s="251"/>
      <c r="X89" s="251"/>
      <c r="Y89" s="251"/>
      <c r="Z89" s="251"/>
      <c r="AA89" s="251"/>
      <c r="AB89" s="327"/>
      <c r="AC89" s="327"/>
      <c r="AD89" s="327"/>
      <c r="AE89" s="327"/>
      <c r="AF89" s="327"/>
      <c r="AG89" s="327"/>
      <c r="AH89" s="327"/>
    </row>
    <row r="90" spans="1:34" hidden="1" x14ac:dyDescent="0.5">
      <c r="A90" s="164"/>
      <c r="B90" s="172"/>
      <c r="C90" s="370">
        <f>C89/$C$67</f>
        <v>6.4345074781596748E-2</v>
      </c>
      <c r="D90" s="370">
        <f>D89/$D$67</f>
        <v>6.3025605068841681E-2</v>
      </c>
      <c r="E90" s="370">
        <f>E89/$E$67</f>
        <v>5.7049849471002619E-2</v>
      </c>
      <c r="F90" s="370">
        <f>F89/$F$67</f>
        <v>5.4007297381174976E-2</v>
      </c>
      <c r="G90" s="370">
        <f>+G89/$G$67</f>
        <v>5.949371142422373E-2</v>
      </c>
      <c r="H90" s="256">
        <f>+H89/$H$67</f>
        <v>5.3905828137969687E-2</v>
      </c>
      <c r="I90" s="256">
        <f>+I89/$I$67</f>
        <v>5.2802065561224493E-2</v>
      </c>
      <c r="J90" s="256">
        <f>+J89/$J$67</f>
        <v>4.779758387272634E-2</v>
      </c>
      <c r="K90" s="256">
        <f>+K89/$K$67</f>
        <v>4.567884638340082E-2</v>
      </c>
      <c r="L90" s="256">
        <f>+L89/$L$67</f>
        <v>4.9856264430106267E-2</v>
      </c>
      <c r="M90" s="256">
        <f>+M89/$M$67</f>
        <v>4.4475699689960881E-2</v>
      </c>
      <c r="N90" s="256">
        <f>+N89/$N$67</f>
        <v>4.5249354181787937E-2</v>
      </c>
      <c r="O90" s="256">
        <f>+O89/$O$67</f>
        <v>4.1762854860791114E-2</v>
      </c>
      <c r="P90" s="256">
        <f>+P89/$P$67</f>
        <v>3.9081717274358427E-2</v>
      </c>
      <c r="Q90" s="256">
        <f>+Q89/$Q$67</f>
        <v>4.2580136781849118E-2</v>
      </c>
      <c r="R90" s="252"/>
      <c r="S90" s="252"/>
      <c r="T90" s="252"/>
      <c r="U90" s="252"/>
      <c r="V90" s="252"/>
      <c r="W90" s="252"/>
      <c r="X90" s="252"/>
      <c r="Y90" s="252"/>
      <c r="Z90" s="252"/>
      <c r="AA90" s="252"/>
      <c r="AB90" s="256"/>
      <c r="AC90" s="256"/>
      <c r="AD90" s="256"/>
      <c r="AE90" s="256"/>
      <c r="AF90" s="256"/>
      <c r="AG90" s="256"/>
      <c r="AH90" s="256"/>
    </row>
    <row r="91" spans="1:34" hidden="1" x14ac:dyDescent="0.5">
      <c r="A91" s="164"/>
      <c r="B91" s="172" t="s">
        <v>86</v>
      </c>
      <c r="C91" s="327">
        <v>25764.426733570672</v>
      </c>
      <c r="D91" s="327">
        <v>29067.521734920243</v>
      </c>
      <c r="E91" s="327">
        <v>27949.59919703141</v>
      </c>
      <c r="F91" s="327">
        <v>29267.703627641393</v>
      </c>
      <c r="G91" s="327">
        <f>C91+D91+E91+F91</f>
        <v>112049.25129316372</v>
      </c>
      <c r="H91" s="327">
        <v>30705.141506376644</v>
      </c>
      <c r="I91" s="327">
        <v>31008.768678223187</v>
      </c>
      <c r="J91" s="327">
        <v>28940.265280251941</v>
      </c>
      <c r="K91" s="327">
        <v>30278.087631000475</v>
      </c>
      <c r="L91" s="327">
        <f>H91+I91+J91+K91</f>
        <v>120932.26309585225</v>
      </c>
      <c r="M91" s="327">
        <v>31923.459981583557</v>
      </c>
      <c r="N91" s="327">
        <v>32576.653344619222</v>
      </c>
      <c r="O91" s="327">
        <v>33869.986247853667</v>
      </c>
      <c r="P91" s="327">
        <v>35491.337726365215</v>
      </c>
      <c r="Q91" s="327">
        <v>133861.43730042168</v>
      </c>
      <c r="R91" s="251"/>
      <c r="S91" s="251"/>
      <c r="T91" s="251"/>
      <c r="U91" s="251"/>
      <c r="V91" s="251"/>
      <c r="W91" s="251"/>
      <c r="X91" s="251"/>
      <c r="Y91" s="251"/>
      <c r="Z91" s="251"/>
      <c r="AA91" s="251"/>
      <c r="AB91" s="327"/>
      <c r="AC91" s="327"/>
      <c r="AD91" s="327"/>
      <c r="AE91" s="327"/>
      <c r="AF91" s="327"/>
      <c r="AG91" s="327"/>
      <c r="AH91" s="327"/>
    </row>
    <row r="92" spans="1:34" hidden="1" x14ac:dyDescent="0.5">
      <c r="A92" s="164"/>
      <c r="B92" s="172"/>
      <c r="C92" s="370">
        <f>C91/$C$67</f>
        <v>0.14076383348123384</v>
      </c>
      <c r="D92" s="370">
        <f>D91/$D$67</f>
        <v>0.15375004223551755</v>
      </c>
      <c r="E92" s="370">
        <f>E91/$E$67</f>
        <v>0.14530972573777021</v>
      </c>
      <c r="F92" s="370">
        <f>F91/$F$67</f>
        <v>0.14791006255283079</v>
      </c>
      <c r="G92" s="370">
        <f>+G91/$G$67</f>
        <v>0.14698646389679226</v>
      </c>
      <c r="H92" s="256">
        <f>+H91/$H$67</f>
        <v>0.14835336737824084</v>
      </c>
      <c r="I92" s="256">
        <f>+I91/$I$67</f>
        <v>0.14758209278015147</v>
      </c>
      <c r="J92" s="256">
        <f>+J91/$J$67</f>
        <v>0.1252153185314028</v>
      </c>
      <c r="K92" s="256">
        <f>+K91/$K$67</f>
        <v>0.12889613002388423</v>
      </c>
      <c r="L92" s="256">
        <f>+L91/$L$67</f>
        <v>0.13693876099051111</v>
      </c>
      <c r="M92" s="256">
        <f>+M91/$M$67</f>
        <v>0.13325149320492524</v>
      </c>
      <c r="N92" s="256">
        <f>+N91/$N$67</f>
        <v>0.13378007935895275</v>
      </c>
      <c r="O92" s="256">
        <f>+O91/$O$67</f>
        <v>0.13472976963409206</v>
      </c>
      <c r="P92" s="256">
        <f>+P91/$P$67</f>
        <v>0.13816740526941518</v>
      </c>
      <c r="Q92" s="256">
        <f>+Q91/$Q$67</f>
        <v>0.1350299868062429</v>
      </c>
      <c r="R92" s="252"/>
      <c r="S92" s="252"/>
      <c r="T92" s="252"/>
      <c r="U92" s="252"/>
      <c r="V92" s="252"/>
      <c r="W92" s="252"/>
      <c r="X92" s="252"/>
      <c r="Y92" s="252"/>
      <c r="Z92" s="252"/>
      <c r="AA92" s="252"/>
      <c r="AB92" s="256"/>
      <c r="AC92" s="256"/>
      <c r="AD92" s="256"/>
      <c r="AE92" s="256"/>
      <c r="AF92" s="256"/>
      <c r="AG92" s="256"/>
      <c r="AH92" s="256"/>
    </row>
    <row r="93" spans="1:34" hidden="1" x14ac:dyDescent="0.5">
      <c r="A93" s="164"/>
      <c r="B93" s="172" t="s">
        <v>149</v>
      </c>
      <c r="C93" s="327">
        <v>17410.271742980407</v>
      </c>
      <c r="D93" s="327">
        <v>19372.484825376403</v>
      </c>
      <c r="E93" s="327">
        <v>20196.911081007562</v>
      </c>
      <c r="F93" s="327">
        <v>18979.045773073736</v>
      </c>
      <c r="G93" s="327">
        <f>C93+D93+E93+F93</f>
        <v>75958.713422438115</v>
      </c>
      <c r="H93" s="327">
        <v>18305.315812747518</v>
      </c>
      <c r="I93" s="327">
        <v>20129.601494531445</v>
      </c>
      <c r="J93" s="327">
        <v>19119.021666580204</v>
      </c>
      <c r="K93" s="327">
        <v>18239.227283938799</v>
      </c>
      <c r="L93" s="327">
        <f>H93+I93+J93+K93</f>
        <v>75793.166257797973</v>
      </c>
      <c r="M93" s="327">
        <v>18914.344019143853</v>
      </c>
      <c r="N93" s="327">
        <v>18910.595438868673</v>
      </c>
      <c r="O93" s="327">
        <v>17997.144426475701</v>
      </c>
      <c r="P93" s="327">
        <v>17159.237901694589</v>
      </c>
      <c r="Q93" s="327">
        <v>72981.321786182816</v>
      </c>
      <c r="R93" s="251"/>
      <c r="S93" s="251"/>
      <c r="T93" s="251"/>
      <c r="U93" s="251"/>
      <c r="V93" s="251"/>
      <c r="W93" s="251"/>
      <c r="X93" s="251"/>
      <c r="Y93" s="251"/>
      <c r="Z93" s="251"/>
      <c r="AA93" s="251"/>
      <c r="AB93" s="327"/>
      <c r="AC93" s="327"/>
      <c r="AD93" s="327"/>
      <c r="AE93" s="327"/>
      <c r="AF93" s="327"/>
      <c r="AG93" s="327"/>
      <c r="AH93" s="327"/>
    </row>
    <row r="94" spans="1:34" hidden="1" x14ac:dyDescent="0.5">
      <c r="A94" s="164"/>
      <c r="B94" s="172"/>
      <c r="C94" s="370">
        <f>C93/$C$67</f>
        <v>9.5120943999062499E-2</v>
      </c>
      <c r="D94" s="370">
        <f>D93/$D$67</f>
        <v>0.1024690163568469</v>
      </c>
      <c r="E94" s="370">
        <f>E93/$E$67</f>
        <v>0.10500356692925504</v>
      </c>
      <c r="F94" s="370">
        <f>F93/$F$67</f>
        <v>9.5914318499425069E-2</v>
      </c>
      <c r="G94" s="370">
        <f>+G93/$G$67</f>
        <v>9.9642813845336034E-2</v>
      </c>
      <c r="H94" s="256">
        <f>+H93/$H$67</f>
        <v>8.8443013401494491E-2</v>
      </c>
      <c r="I94" s="256">
        <f>+I93/$I$67</f>
        <v>9.5804149665566204E-2</v>
      </c>
      <c r="J94" s="256">
        <f>+J93/$J$67</f>
        <v>8.2721922719320384E-2</v>
      </c>
      <c r="K94" s="256">
        <f>+K93/$K$67</f>
        <v>7.7645782658964754E-2</v>
      </c>
      <c r="L94" s="256">
        <f>+L93/$L$67</f>
        <v>8.5825089295353221E-2</v>
      </c>
      <c r="M94" s="256">
        <f>+M93/$M$67</f>
        <v>7.8950232368187795E-2</v>
      </c>
      <c r="N94" s="256">
        <f>+N93/$N$67</f>
        <v>7.7658712568605973E-2</v>
      </c>
      <c r="O94" s="256">
        <f>+O93/$O$67</f>
        <v>7.158996478199664E-2</v>
      </c>
      <c r="P94" s="256">
        <f>+P93/$P$67</f>
        <v>6.680073305652072E-2</v>
      </c>
      <c r="Q94" s="256">
        <f>+Q93/$Q$67</f>
        <v>7.3618415554390512E-2</v>
      </c>
      <c r="R94" s="252"/>
      <c r="S94" s="252"/>
      <c r="T94" s="252"/>
      <c r="U94" s="252"/>
      <c r="V94" s="252"/>
      <c r="W94" s="252"/>
      <c r="X94" s="252"/>
      <c r="Y94" s="252"/>
      <c r="Z94" s="252"/>
      <c r="AA94" s="252"/>
      <c r="AB94" s="256"/>
      <c r="AC94" s="256"/>
      <c r="AD94" s="256"/>
      <c r="AE94" s="256"/>
      <c r="AF94" s="256"/>
      <c r="AG94" s="256"/>
      <c r="AH94" s="256"/>
    </row>
    <row r="95" spans="1:34" hidden="1" x14ac:dyDescent="0.5">
      <c r="A95" s="164"/>
      <c r="B95" s="172" t="s">
        <v>87</v>
      </c>
      <c r="C95" s="327">
        <v>22274.810192991354</v>
      </c>
      <c r="D95" s="327">
        <v>20927.645273326867</v>
      </c>
      <c r="E95" s="327">
        <v>22045.096551340244</v>
      </c>
      <c r="F95" s="327">
        <v>22445.043933137891</v>
      </c>
      <c r="G95" s="327">
        <f>C95+D95+E95+F95</f>
        <v>87692.595950796356</v>
      </c>
      <c r="H95" s="327">
        <v>22041.640142077915</v>
      </c>
      <c r="I95" s="327">
        <v>22544.661708458822</v>
      </c>
      <c r="J95" s="327">
        <v>23756.90679042659</v>
      </c>
      <c r="K95" s="327">
        <v>23380.70133182123</v>
      </c>
      <c r="L95" s="327">
        <f>H95+I95+J95+K95</f>
        <v>91723.909972784561</v>
      </c>
      <c r="M95" s="327">
        <v>23872.89008237336</v>
      </c>
      <c r="N95" s="327">
        <v>23491.633729172969</v>
      </c>
      <c r="O95" s="327">
        <v>23757.629003696387</v>
      </c>
      <c r="P95" s="327">
        <v>24353.12647592483</v>
      </c>
      <c r="Q95" s="327">
        <v>95475.27929116755</v>
      </c>
      <c r="R95" s="251"/>
      <c r="S95" s="251"/>
      <c r="T95" s="251"/>
      <c r="U95" s="251"/>
      <c r="V95" s="251"/>
      <c r="W95" s="251"/>
      <c r="X95" s="251"/>
      <c r="Y95" s="251"/>
      <c r="Z95" s="251"/>
      <c r="AA95" s="251"/>
      <c r="AB95" s="327"/>
      <c r="AC95" s="327"/>
      <c r="AD95" s="327"/>
      <c r="AE95" s="327"/>
      <c r="AF95" s="327"/>
      <c r="AG95" s="327"/>
      <c r="AH95" s="327"/>
    </row>
    <row r="96" spans="1:34" hidden="1" x14ac:dyDescent="0.5">
      <c r="A96" s="164"/>
      <c r="B96" s="172"/>
      <c r="C96" s="370">
        <f>C95/$C$67</f>
        <v>0.1216983286783878</v>
      </c>
      <c r="D96" s="370">
        <f>D95/$D$67</f>
        <v>0.11069489769395932</v>
      </c>
      <c r="E96" s="370">
        <f>E95/$E$67</f>
        <v>0.11461226728711557</v>
      </c>
      <c r="F96" s="370">
        <f>F95/$F$67</f>
        <v>0.11343041785540312</v>
      </c>
      <c r="G96" s="370">
        <f>+G95/$G$67</f>
        <v>0.11503534775983046</v>
      </c>
      <c r="H96" s="256">
        <f>+H95/$H$67</f>
        <v>0.10649524402737515</v>
      </c>
      <c r="I96" s="256">
        <f>+I95/$I$67</f>
        <v>0.10729830618174507</v>
      </c>
      <c r="J96" s="256">
        <f>+J95/$J$67</f>
        <v>0.10278857578800379</v>
      </c>
      <c r="K96" s="256">
        <f>+K95/$K$67</f>
        <v>9.9533430104431317E-2</v>
      </c>
      <c r="L96" s="256">
        <f>+L95/$L$67</f>
        <v>0.10386441354299858</v>
      </c>
      <c r="M96" s="182">
        <f>+M95/$M$67</f>
        <v>9.9647665147463857E-2</v>
      </c>
      <c r="N96" s="182">
        <f>+N95/$N$67</f>
        <v>9.6471316169722557E-2</v>
      </c>
      <c r="O96" s="256">
        <f>+O95/$O$67</f>
        <v>9.4504315983390028E-2</v>
      </c>
      <c r="P96" s="256">
        <f>+P95/$P$67</f>
        <v>9.4806465772543633E-2</v>
      </c>
      <c r="Q96" s="256">
        <f>+Q95/$Q$67</f>
        <v>9.6308735084589592E-2</v>
      </c>
      <c r="R96" s="252"/>
      <c r="S96" s="252"/>
      <c r="T96" s="252"/>
      <c r="U96" s="252"/>
      <c r="V96" s="252"/>
      <c r="W96" s="252"/>
      <c r="X96" s="252"/>
      <c r="Y96" s="252"/>
      <c r="Z96" s="252"/>
      <c r="AA96" s="252"/>
      <c r="AB96" s="256"/>
      <c r="AC96" s="256"/>
      <c r="AD96" s="256"/>
      <c r="AE96" s="256"/>
      <c r="AF96" s="256"/>
      <c r="AG96" s="256"/>
      <c r="AH96" s="256"/>
    </row>
    <row r="97" spans="1:34" x14ac:dyDescent="0.5">
      <c r="A97" s="164"/>
      <c r="B97" s="172"/>
      <c r="C97" s="350"/>
      <c r="D97" s="346"/>
      <c r="E97" s="346"/>
      <c r="F97" s="346"/>
      <c r="G97" s="346"/>
      <c r="H97" s="346"/>
      <c r="I97" s="346"/>
      <c r="J97" s="346"/>
      <c r="K97" s="346"/>
      <c r="L97" s="346"/>
      <c r="M97" s="346"/>
      <c r="N97" s="346"/>
      <c r="O97" s="346"/>
      <c r="P97" s="346"/>
      <c r="Q97" s="346"/>
      <c r="R97" s="346"/>
      <c r="S97" s="346"/>
      <c r="T97" s="346"/>
      <c r="U97" s="346"/>
      <c r="V97" s="346"/>
      <c r="W97" s="350"/>
      <c r="X97" s="346"/>
      <c r="Y97" s="346"/>
      <c r="Z97" s="346"/>
      <c r="AA97" s="346"/>
      <c r="AB97" s="346"/>
      <c r="AC97" s="346"/>
      <c r="AD97" s="346"/>
      <c r="AE97" s="346"/>
      <c r="AF97" s="346"/>
      <c r="AG97" s="346"/>
      <c r="AH97" s="346"/>
    </row>
    <row r="98" spans="1:34" x14ac:dyDescent="0.5">
      <c r="A98" s="169"/>
      <c r="B98" s="170" t="s">
        <v>88</v>
      </c>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row>
    <row r="99" spans="1:34" x14ac:dyDescent="0.5">
      <c r="A99" s="164"/>
      <c r="B99" s="172" t="s">
        <v>89</v>
      </c>
      <c r="C99" s="254">
        <v>0.82105973846635671</v>
      </c>
      <c r="D99" s="254">
        <v>0.81400847363493545</v>
      </c>
      <c r="E99" s="253">
        <v>0.82404533520497025</v>
      </c>
      <c r="F99" s="253">
        <v>0.82643961529096666</v>
      </c>
      <c r="G99" s="253">
        <v>0.82145591153024466</v>
      </c>
      <c r="H99" s="186">
        <v>0.82715136756968299</v>
      </c>
      <c r="I99" s="186">
        <v>0.82854382424611639</v>
      </c>
      <c r="J99" s="186">
        <v>0.82929942368598675</v>
      </c>
      <c r="K99" s="291">
        <v>0.82836862801966649</v>
      </c>
      <c r="L99" s="186">
        <v>0.82955389576860017</v>
      </c>
      <c r="M99" s="186">
        <v>0.81855634816945144</v>
      </c>
      <c r="N99" s="186">
        <v>0.81270507455576591</v>
      </c>
      <c r="O99" s="186">
        <f>'[3]Segment Information'!$G$96</f>
        <v>0.83038839740325865</v>
      </c>
      <c r="P99" s="186">
        <f>'[4]Segment Information 10K'!$M$83</f>
        <v>0.83745990220810362</v>
      </c>
      <c r="Q99" s="186">
        <f>'[4]Segment Information 10K'!$E$83</f>
        <v>0.8250177032035233</v>
      </c>
      <c r="R99" s="361">
        <f t="shared" ref="R99:AA101" si="56">H99</f>
        <v>0.82715136756968299</v>
      </c>
      <c r="S99" s="361">
        <f t="shared" si="56"/>
        <v>0.82854382424611639</v>
      </c>
      <c r="T99" s="361">
        <f t="shared" si="56"/>
        <v>0.82929942368598675</v>
      </c>
      <c r="U99" s="361">
        <f t="shared" si="56"/>
        <v>0.82836862801966649</v>
      </c>
      <c r="V99" s="361">
        <f t="shared" si="56"/>
        <v>0.82955389576860017</v>
      </c>
      <c r="W99" s="361">
        <f t="shared" si="56"/>
        <v>0.81855634816945144</v>
      </c>
      <c r="X99" s="361">
        <f t="shared" si="56"/>
        <v>0.81270507455576591</v>
      </c>
      <c r="Y99" s="361">
        <f t="shared" si="56"/>
        <v>0.83038839740325865</v>
      </c>
      <c r="Z99" s="361">
        <f t="shared" si="56"/>
        <v>0.83745990220810362</v>
      </c>
      <c r="AA99" s="361">
        <f t="shared" si="56"/>
        <v>0.8250177032035233</v>
      </c>
      <c r="AB99" s="384">
        <v>0.84507458179113126</v>
      </c>
      <c r="AC99" s="384">
        <v>0.84968513033042214</v>
      </c>
      <c r="AD99" s="384">
        <f>'[49]Leadsheet Q3_2020'!$C$10</f>
        <v>0.84610925274915805</v>
      </c>
      <c r="AE99" s="384">
        <f>[50]Sheet1!$C$25</f>
        <v>0.85892786847547209</v>
      </c>
      <c r="AF99" s="384">
        <f>[50]Sheet1!$C$31</f>
        <v>0.85000351799429719</v>
      </c>
      <c r="AG99" s="384">
        <f>'[51]Leadsheet Q1''21'!$C$9</f>
        <v>0.85828202509147322</v>
      </c>
      <c r="AH99" s="384">
        <f>'[52]Leadsheet Q2''21'!$C$9</f>
        <v>0.85539427073740448</v>
      </c>
    </row>
    <row r="100" spans="1:34" x14ac:dyDescent="0.5">
      <c r="A100" s="164"/>
      <c r="B100" s="172" t="s">
        <v>90</v>
      </c>
      <c r="C100" s="254">
        <v>0.14249703777966138</v>
      </c>
      <c r="D100" s="254">
        <v>0.15313371099721249</v>
      </c>
      <c r="E100" s="253">
        <v>0.1394577451974317</v>
      </c>
      <c r="F100" s="253">
        <v>0.135860522684847</v>
      </c>
      <c r="G100" s="253">
        <v>0.14265249070671021</v>
      </c>
      <c r="H100" s="186">
        <v>0.13536065090615684</v>
      </c>
      <c r="I100" s="186">
        <v>0.13078738958269875</v>
      </c>
      <c r="J100" s="186">
        <v>0.12937211193991105</v>
      </c>
      <c r="K100" s="291">
        <v>0.13174300264266617</v>
      </c>
      <c r="L100" s="186">
        <v>0.12967211406933662</v>
      </c>
      <c r="M100" s="186">
        <v>0.12147028254436018</v>
      </c>
      <c r="N100" s="186">
        <v>0.12383525865573757</v>
      </c>
      <c r="O100" s="186">
        <f>'[3]Segment Information'!G98</f>
        <v>0.11091840631364562</v>
      </c>
      <c r="P100" s="186">
        <f>'[4]Segment Information 10K'!$M$85</f>
        <v>0.10081285620853966</v>
      </c>
      <c r="Q100" s="186">
        <f>'[4]Segment Information 10K'!E85</f>
        <v>0.114022752903628</v>
      </c>
      <c r="R100" s="361">
        <f t="shared" si="56"/>
        <v>0.13536065090615684</v>
      </c>
      <c r="S100" s="361">
        <f t="shared" si="56"/>
        <v>0.13078738958269875</v>
      </c>
      <c r="T100" s="361">
        <f t="shared" si="56"/>
        <v>0.12937211193991105</v>
      </c>
      <c r="U100" s="361">
        <f t="shared" si="56"/>
        <v>0.13174300264266617</v>
      </c>
      <c r="V100" s="361">
        <f t="shared" si="56"/>
        <v>0.12967211406933662</v>
      </c>
      <c r="W100" s="361">
        <f t="shared" si="56"/>
        <v>0.12147028254436018</v>
      </c>
      <c r="X100" s="361">
        <f t="shared" si="56"/>
        <v>0.12383525865573757</v>
      </c>
      <c r="Y100" s="361">
        <f t="shared" si="56"/>
        <v>0.11091840631364562</v>
      </c>
      <c r="Z100" s="361">
        <f t="shared" si="56"/>
        <v>0.10081285620853966</v>
      </c>
      <c r="AA100" s="361">
        <f t="shared" si="56"/>
        <v>0.114022752903628</v>
      </c>
      <c r="AB100" s="384">
        <v>9.4629318894951228E-2</v>
      </c>
      <c r="AC100" s="384">
        <v>8.4639484341920146E-2</v>
      </c>
      <c r="AD100" s="384">
        <f>'[49]Leadsheet Q3_2020'!$D$10</f>
        <v>9.5027448940333908E-2</v>
      </c>
      <c r="AE100" s="384">
        <f>[50]Sheet1!$D$25</f>
        <v>9.4985781730874436E-2</v>
      </c>
      <c r="AF100" s="384">
        <f>[50]Sheet1!$D$31</f>
        <v>9.2503463849838291E-2</v>
      </c>
      <c r="AG100" s="384">
        <f>'[51]Leadsheet Q1''21'!$D$9</f>
        <v>9.4679987238737287E-2</v>
      </c>
      <c r="AH100" s="384">
        <f>'[52]Leadsheet Q2''21'!$D$9</f>
        <v>9.5157845905182364E-2</v>
      </c>
    </row>
    <row r="101" spans="1:34" x14ac:dyDescent="0.5">
      <c r="A101" s="164"/>
      <c r="B101" s="172" t="s">
        <v>141</v>
      </c>
      <c r="C101" s="255">
        <v>3.6443223753981881E-2</v>
      </c>
      <c r="D101" s="254">
        <v>3.2857815367852025E-2</v>
      </c>
      <c r="E101" s="253">
        <v>3.6496919597598043E-2</v>
      </c>
      <c r="F101" s="253">
        <v>3.7699862024186348E-2</v>
      </c>
      <c r="G101" s="253">
        <v>3.5891597763045076E-2</v>
      </c>
      <c r="H101" s="203">
        <v>3.7487981524160156E-2</v>
      </c>
      <c r="I101" s="203">
        <v>4.0668786171184891E-2</v>
      </c>
      <c r="J101" s="203">
        <v>4.1328464374102217E-2</v>
      </c>
      <c r="K101" s="292">
        <v>3.9888369337667325E-2</v>
      </c>
      <c r="L101" s="203">
        <v>4.0773990162063248E-2</v>
      </c>
      <c r="M101" s="203">
        <v>5.9973369286188342E-2</v>
      </c>
      <c r="N101" s="203">
        <v>6.345966678849653E-2</v>
      </c>
      <c r="O101" s="186">
        <f>'[3]Segment Information'!G99</f>
        <v>5.8693196283095724E-2</v>
      </c>
      <c r="P101" s="203">
        <f>'[4]Segment Information 10K'!$M$86</f>
        <v>6.1727241583356691E-2</v>
      </c>
      <c r="Q101" s="203">
        <f>'[4]Segment Information 10K'!E86</f>
        <v>6.095954389284871E-2</v>
      </c>
      <c r="R101" s="361">
        <v>3.7999999999999999E-2</v>
      </c>
      <c r="S101" s="361">
        <v>0.04</v>
      </c>
      <c r="T101" s="361">
        <v>4.2000000000000003E-2</v>
      </c>
      <c r="U101" s="361">
        <f t="shared" si="56"/>
        <v>3.9888369337667325E-2</v>
      </c>
      <c r="V101" s="361">
        <v>0.04</v>
      </c>
      <c r="W101" s="361">
        <f t="shared" si="56"/>
        <v>5.9973369286188342E-2</v>
      </c>
      <c r="X101" s="361">
        <f t="shared" si="56"/>
        <v>6.345966678849653E-2</v>
      </c>
      <c r="Y101" s="361">
        <f t="shared" si="56"/>
        <v>5.8693196283095724E-2</v>
      </c>
      <c r="Z101" s="361">
        <f t="shared" si="56"/>
        <v>6.1727241583356691E-2</v>
      </c>
      <c r="AA101" s="361">
        <f t="shared" si="56"/>
        <v>6.095954389284871E-2</v>
      </c>
      <c r="AB101" s="384">
        <v>6.0296099313917398E-2</v>
      </c>
      <c r="AC101" s="384">
        <v>6.5000000000000002E-2</v>
      </c>
      <c r="AD101" s="384">
        <f>'[49]Leadsheet Q3_2020'!$E$10</f>
        <v>5.8863298310508079E-2</v>
      </c>
      <c r="AE101" s="384">
        <f>[50]Sheet1!$E$25</f>
        <v>4.6086349793653482E-2</v>
      </c>
      <c r="AF101" s="384">
        <f>[50]Sheet1!$E$31</f>
        <v>5.749301815586453E-2</v>
      </c>
      <c r="AG101" s="384">
        <f>'[51]Leadsheet Q1''21'!$E$9</f>
        <v>4.7037987669789338E-2</v>
      </c>
      <c r="AH101" s="384">
        <f>'[52]Leadsheet Q2''21'!$E$9</f>
        <v>5.0447883357413167E-2</v>
      </c>
    </row>
    <row r="102" spans="1:34" x14ac:dyDescent="0.5">
      <c r="A102" s="164"/>
      <c r="B102" s="165"/>
      <c r="C102" s="168"/>
      <c r="K102" s="163"/>
      <c r="L102" s="163"/>
      <c r="M102" s="163"/>
      <c r="N102" s="163"/>
      <c r="O102" s="163"/>
    </row>
    <row r="103" spans="1:34" x14ac:dyDescent="0.5">
      <c r="B103" s="187"/>
      <c r="K103" s="163"/>
      <c r="L103" s="163"/>
      <c r="M103" s="163"/>
      <c r="N103" s="163"/>
      <c r="O103" s="163"/>
    </row>
    <row r="104" spans="1:34" x14ac:dyDescent="0.5">
      <c r="B104" s="176" t="s">
        <v>265</v>
      </c>
      <c r="K104" s="163"/>
      <c r="L104" s="163"/>
      <c r="M104" s="163"/>
      <c r="N104" s="163"/>
      <c r="O104" s="163"/>
    </row>
    <row r="105" spans="1:34" x14ac:dyDescent="0.5">
      <c r="B105" s="176" t="s">
        <v>172</v>
      </c>
      <c r="K105" s="163"/>
      <c r="L105" s="163"/>
      <c r="M105" s="163"/>
      <c r="N105" s="163"/>
      <c r="O105" s="163"/>
    </row>
    <row r="106" spans="1:34" x14ac:dyDescent="0.5">
      <c r="K106" s="281"/>
      <c r="L106" s="163"/>
      <c r="M106" s="163"/>
      <c r="N106" s="163"/>
      <c r="O106" s="163"/>
    </row>
    <row r="107" spans="1:34" x14ac:dyDescent="0.5">
      <c r="K107" s="163"/>
      <c r="L107" s="163"/>
      <c r="M107" s="163"/>
      <c r="N107" s="163"/>
      <c r="O107" s="163"/>
      <c r="AB107" s="362">
        <f>ROUND(AB17+AB61-'Income Statement'!Q8,0)</f>
        <v>0</v>
      </c>
      <c r="AC107" s="362">
        <f>ROUND(AC17+AC61-'Income Statement'!R8,0)</f>
        <v>0</v>
      </c>
      <c r="AD107" s="362">
        <f>ROUND(AD17+AD61-'Income Statement'!S8,0)</f>
        <v>0</v>
      </c>
      <c r="AE107" s="362">
        <f>ROUND(AE17+AE61-'Income Statement'!T8,0)</f>
        <v>0</v>
      </c>
      <c r="AF107" s="362">
        <f>ROUND(AF17+AF61-'Income Statement'!U8,0)</f>
        <v>0</v>
      </c>
      <c r="AG107" s="362">
        <f>ROUND(AG17+AG61-'Income Statement'!V8,0)</f>
        <v>0</v>
      </c>
      <c r="AH107" s="362">
        <f>ROUND(AH17+AH61-'Income Statement'!W8,0)</f>
        <v>0</v>
      </c>
    </row>
    <row r="108" spans="1:34" x14ac:dyDescent="0.5">
      <c r="C108" s="261">
        <f>C20+C64-'Income Statement'!B13</f>
        <v>0</v>
      </c>
      <c r="D108" s="261">
        <f>D20+D64-'Income Statement'!C13</f>
        <v>0</v>
      </c>
      <c r="E108" s="261">
        <f>E20+E64-'Income Statement'!D13</f>
        <v>0</v>
      </c>
      <c r="F108" s="261">
        <f>F20+F64-'Income Statement'!E13</f>
        <v>0</v>
      </c>
      <c r="G108" s="261">
        <f>G20+G64-'Income Statement'!F13</f>
        <v>0</v>
      </c>
      <c r="H108" s="261"/>
      <c r="I108" s="261">
        <f>I20+I64-'Income Statement'!H13</f>
        <v>0</v>
      </c>
      <c r="J108" s="261">
        <f>J20+J64-'Income Statement'!I13</f>
        <v>0</v>
      </c>
      <c r="K108" s="290">
        <f>K20+K64-'Income Statement'!J13</f>
        <v>0</v>
      </c>
      <c r="L108" s="290">
        <f>L20+L64-'Income Statement'!K13</f>
        <v>0</v>
      </c>
      <c r="M108" s="290">
        <f>M20+M64-'Income Statement'!L13</f>
        <v>0</v>
      </c>
      <c r="N108" s="290">
        <f>N20+N64-'Income Statement'!M13</f>
        <v>0</v>
      </c>
      <c r="O108" s="290">
        <f>O20+O64-'Income Statement'!N13</f>
        <v>0</v>
      </c>
      <c r="P108" s="290">
        <f>P20+P64-'Income Statement'!O13</f>
        <v>0</v>
      </c>
      <c r="Q108" s="290">
        <f>Q20+Q64-'Income Statement'!P13</f>
        <v>0</v>
      </c>
      <c r="R108" s="290">
        <f>R20+R64-'Income Statement'!G13</f>
        <v>0</v>
      </c>
      <c r="S108" s="290">
        <f>S20+S64-'Income Statement'!H13</f>
        <v>0</v>
      </c>
      <c r="T108" s="290">
        <f>T20+T64-'Income Statement'!I13</f>
        <v>0</v>
      </c>
      <c r="U108" s="290">
        <f>U20+U64-'Income Statement'!J13</f>
        <v>0</v>
      </c>
      <c r="V108" s="290">
        <f>V20+V64-'Income Statement'!K13</f>
        <v>0</v>
      </c>
      <c r="W108" s="290">
        <f>W20+W64-'Income Statement'!L13</f>
        <v>0</v>
      </c>
      <c r="X108" s="290">
        <f>X20+X64-'Income Statement'!M13</f>
        <v>0</v>
      </c>
      <c r="Y108" s="290">
        <f>Y20+Y64-'Income Statement'!N13</f>
        <v>0</v>
      </c>
      <c r="Z108" s="290">
        <f>Z20+Z64-'Income Statement'!O13</f>
        <v>0</v>
      </c>
      <c r="AA108" s="290">
        <f>AA20+AA64-'Income Statement'!P13</f>
        <v>0</v>
      </c>
      <c r="AB108" s="290">
        <f>AB20+AB64-'Income Statement'!Q13</f>
        <v>0</v>
      </c>
      <c r="AC108" s="290">
        <f>AC20+AC64-'Income Statement'!R13</f>
        <v>0</v>
      </c>
      <c r="AD108" s="290">
        <f>ROUND(AD20+AD64-'Income Statement'!S13,0)</f>
        <v>0</v>
      </c>
      <c r="AE108" s="290">
        <f>ROUND(AE20+AE64-'Income Statement'!T13,0)</f>
        <v>0</v>
      </c>
      <c r="AF108" s="290">
        <f>ROUND(AF20+AF64-'Income Statement'!U13,0)</f>
        <v>0</v>
      </c>
      <c r="AG108" s="290">
        <f>AG20+AG64-'Income Statement'!V13</f>
        <v>0</v>
      </c>
      <c r="AH108" s="290">
        <f>AH20+AH64-'Income Statement'!W13</f>
        <v>0</v>
      </c>
    </row>
    <row r="110" spans="1:34" x14ac:dyDescent="0.5">
      <c r="N110" s="315"/>
      <c r="O110" s="315"/>
    </row>
  </sheetData>
  <mergeCells count="7">
    <mergeCell ref="AG2:AH2"/>
    <mergeCell ref="AB2:AF2"/>
    <mergeCell ref="W2:AA2"/>
    <mergeCell ref="M3:Q3"/>
    <mergeCell ref="C2:G2"/>
    <mergeCell ref="H3:L3"/>
    <mergeCell ref="R2:V2"/>
  </mergeCells>
  <pageMargins left="0.7" right="0.7" top="0.35" bottom="0.35" header="0.3" footer="0.3"/>
  <pageSetup paperSize="5" scale="38" fitToHeight="2" orientation="landscape" r:id="rId1"/>
  <ignoredErrors>
    <ignoredError sqref="L94 L92 L9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GY45"/>
  <sheetViews>
    <sheetView showGridLines="0" view="pageBreakPreview" zoomScale="85" zoomScaleNormal="85" zoomScaleSheetLayoutView="85" workbookViewId="0">
      <pane xSplit="2" ySplit="4" topLeftCell="G8" activePane="bottomRight" state="frozen"/>
      <selection activeCell="I106" sqref="I106"/>
      <selection pane="topRight" activeCell="I106" sqref="I106"/>
      <selection pane="bottomLeft" activeCell="I106" sqref="I106"/>
      <selection pane="bottomRight" activeCell="B24" sqref="B24"/>
    </sheetView>
  </sheetViews>
  <sheetFormatPr defaultColWidth="9.1796875" defaultRowHeight="12.5" outlineLevelCol="1" x14ac:dyDescent="0.25"/>
  <cols>
    <col min="1" max="1" width="2.453125" style="7" customWidth="1"/>
    <col min="2" max="2" width="30.54296875" style="2" customWidth="1"/>
    <col min="3" max="3" width="10" style="24" hidden="1" customWidth="1" outlineLevel="1"/>
    <col min="4" max="4" width="10.26953125" style="2" hidden="1" customWidth="1" outlineLevel="1"/>
    <col min="5" max="5" width="10.7265625" style="2" hidden="1" customWidth="1" outlineLevel="1"/>
    <col min="6" max="6" width="9.1796875" style="2" hidden="1" customWidth="1" outlineLevel="1"/>
    <col min="7" max="7" width="9.1796875" style="2" customWidth="1" collapsed="1"/>
    <col min="8" max="11" width="0" style="2" hidden="1" customWidth="1" outlineLevel="1"/>
    <col min="12" max="12" width="9.1796875" style="2" customWidth="1" collapsed="1"/>
    <col min="13" max="16" width="9.1796875" style="2" hidden="1" customWidth="1" outlineLevel="1"/>
    <col min="17" max="17" width="9.1796875" style="2" customWidth="1" collapsed="1"/>
    <col min="18" max="21" width="9.1796875" style="2" customWidth="1" outlineLevel="1"/>
    <col min="22" max="16384" width="9.1796875" style="2"/>
  </cols>
  <sheetData>
    <row r="2" spans="1:207" x14ac:dyDescent="0.25">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row>
    <row r="3" spans="1:207" ht="23.25" customHeight="1" x14ac:dyDescent="0.25">
      <c r="A3" s="57"/>
      <c r="B3" s="56"/>
      <c r="D3" s="56"/>
      <c r="G3" s="152">
        <v>2017</v>
      </c>
      <c r="H3" s="152">
        <v>2018</v>
      </c>
      <c r="I3" s="152">
        <v>2018</v>
      </c>
      <c r="J3" s="152">
        <v>2018</v>
      </c>
      <c r="K3" s="152">
        <v>2018</v>
      </c>
      <c r="L3" s="152">
        <v>2018</v>
      </c>
      <c r="M3" s="152">
        <v>2019</v>
      </c>
      <c r="N3" s="152">
        <v>2019</v>
      </c>
      <c r="O3" s="152">
        <v>2019</v>
      </c>
      <c r="P3" s="152">
        <v>2019</v>
      </c>
      <c r="Q3" s="152">
        <v>2019</v>
      </c>
      <c r="R3" s="152">
        <v>2020</v>
      </c>
      <c r="S3" s="152">
        <v>2020</v>
      </c>
      <c r="T3" s="152">
        <v>2020</v>
      </c>
      <c r="U3" s="152">
        <v>2020</v>
      </c>
      <c r="V3" s="152">
        <v>2020</v>
      </c>
      <c r="W3" s="152">
        <v>2021</v>
      </c>
      <c r="X3" s="152">
        <v>2021</v>
      </c>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row>
    <row r="4" spans="1:207" ht="15.75" customHeight="1" x14ac:dyDescent="0.3">
      <c r="A4" s="57"/>
      <c r="B4" s="56"/>
      <c r="C4" s="159" t="s">
        <v>9</v>
      </c>
      <c r="D4" s="159" t="s">
        <v>10</v>
      </c>
      <c r="E4" s="159" t="s">
        <v>11</v>
      </c>
      <c r="F4" s="159" t="s">
        <v>12</v>
      </c>
      <c r="G4" s="151" t="s">
        <v>13</v>
      </c>
      <c r="H4" s="151" t="s">
        <v>9</v>
      </c>
      <c r="I4" s="151" t="s">
        <v>10</v>
      </c>
      <c r="J4" s="151" t="s">
        <v>11</v>
      </c>
      <c r="K4" s="151" t="s">
        <v>12</v>
      </c>
      <c r="L4" s="151" t="s">
        <v>13</v>
      </c>
      <c r="M4" s="151" t="s">
        <v>9</v>
      </c>
      <c r="N4" s="151" t="s">
        <v>10</v>
      </c>
      <c r="O4" s="151" t="s">
        <v>11</v>
      </c>
      <c r="P4" s="151" t="s">
        <v>12</v>
      </c>
      <c r="Q4" s="151" t="s">
        <v>13</v>
      </c>
      <c r="R4" s="151" t="s">
        <v>9</v>
      </c>
      <c r="S4" s="151" t="s">
        <v>10</v>
      </c>
      <c r="T4" s="151" t="s">
        <v>11</v>
      </c>
      <c r="U4" s="151" t="s">
        <v>12</v>
      </c>
      <c r="V4" s="151" t="s">
        <v>13</v>
      </c>
      <c r="W4" s="151" t="s">
        <v>9</v>
      </c>
      <c r="X4" s="151" t="s">
        <v>10</v>
      </c>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row>
    <row r="5" spans="1:207" x14ac:dyDescent="0.25">
      <c r="A5" s="57"/>
      <c r="B5" s="56"/>
      <c r="C5" s="94"/>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row>
    <row r="6" spans="1:207" s="74" customFormat="1" ht="13" x14ac:dyDescent="0.3">
      <c r="A6" s="84"/>
      <c r="B6" s="74" t="s">
        <v>0</v>
      </c>
      <c r="C6" s="80">
        <v>26428</v>
      </c>
      <c r="D6" s="80">
        <v>26317</v>
      </c>
      <c r="E6" s="80">
        <v>27358</v>
      </c>
      <c r="F6" s="80">
        <v>27756</v>
      </c>
      <c r="G6" s="80">
        <v>27756</v>
      </c>
      <c r="H6" s="80">
        <v>27095</v>
      </c>
      <c r="I6" s="80">
        <v>27094</v>
      </c>
      <c r="J6" s="80">
        <v>28812</v>
      </c>
      <c r="K6" s="80">
        <v>29152</v>
      </c>
      <c r="L6" s="80">
        <v>29152</v>
      </c>
      <c r="M6" s="80">
        <v>29122</v>
      </c>
      <c r="N6" s="80">
        <v>30019</v>
      </c>
      <c r="O6" s="80">
        <f>'[53]Headcount Details'!$K$35</f>
        <v>31496</v>
      </c>
      <c r="P6" s="80">
        <f>'[54]Headcount Details'!$L$35</f>
        <v>31728</v>
      </c>
      <c r="Q6" s="80">
        <f>P6</f>
        <v>31728</v>
      </c>
      <c r="R6" s="80">
        <f>'[55]Headcount Details'!$J$36</f>
        <v>32780</v>
      </c>
      <c r="S6" s="80">
        <f>'[56]Additional Details'!$C$9</f>
        <v>31622</v>
      </c>
      <c r="T6" s="80">
        <f>'[57]Additional Details'!$C$9</f>
        <v>31816</v>
      </c>
      <c r="U6" s="80">
        <f>'[58]Additional Details'!$C$9</f>
        <v>31936</v>
      </c>
      <c r="V6" s="80">
        <f>U6</f>
        <v>31936</v>
      </c>
      <c r="W6" s="80">
        <f>'[59]Additional Details'!$C$9</f>
        <v>31631</v>
      </c>
      <c r="X6" s="80">
        <f>'[60]Additional Details'!$C$9</f>
        <v>32994</v>
      </c>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row>
    <row r="7" spans="1:207" s="8" customFormat="1" ht="13" x14ac:dyDescent="0.3">
      <c r="A7" s="6"/>
      <c r="B7" s="1"/>
      <c r="C7" s="143"/>
      <c r="D7" s="143"/>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row>
    <row r="8" spans="1:207" s="75" customFormat="1" ht="15" x14ac:dyDescent="0.3">
      <c r="A8" s="84"/>
      <c r="B8" s="74" t="s">
        <v>82</v>
      </c>
      <c r="C8" s="80">
        <v>22394</v>
      </c>
      <c r="D8" s="80">
        <v>23293</v>
      </c>
      <c r="E8" s="80">
        <v>22775</v>
      </c>
      <c r="F8" s="80">
        <v>24215</v>
      </c>
      <c r="G8" s="80">
        <f>F8</f>
        <v>24215</v>
      </c>
      <c r="H8" s="80">
        <v>24849</v>
      </c>
      <c r="I8" s="80">
        <v>24617</v>
      </c>
      <c r="J8" s="80">
        <v>25488</v>
      </c>
      <c r="K8" s="80">
        <v>25931</v>
      </c>
      <c r="L8" s="80">
        <f>K8</f>
        <v>25931</v>
      </c>
      <c r="M8" s="80">
        <v>26024</v>
      </c>
      <c r="N8" s="80">
        <v>27124</v>
      </c>
      <c r="O8" s="80">
        <v>27469</v>
      </c>
      <c r="P8" s="80">
        <v>27738</v>
      </c>
      <c r="Q8" s="80">
        <f>P8</f>
        <v>27738</v>
      </c>
      <c r="R8" s="80">
        <v>29116</v>
      </c>
      <c r="S8" s="354" t="s">
        <v>257</v>
      </c>
      <c r="T8" s="354" t="s">
        <v>257</v>
      </c>
      <c r="U8" s="354" t="s">
        <v>257</v>
      </c>
      <c r="V8" s="354" t="str">
        <f>U8</f>
        <v>NA(1)</v>
      </c>
      <c r="W8" s="354" t="str">
        <f>V8</f>
        <v>NA(1)</v>
      </c>
      <c r="X8" s="354" t="s">
        <v>266</v>
      </c>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row>
    <row r="9" spans="1:207" ht="13" x14ac:dyDescent="0.3">
      <c r="A9" s="6"/>
      <c r="B9" s="56"/>
      <c r="C9" s="94"/>
      <c r="D9" s="94"/>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row>
    <row r="10" spans="1:207" s="75" customFormat="1" ht="15" x14ac:dyDescent="0.3">
      <c r="A10" s="84"/>
      <c r="B10" s="74" t="s">
        <v>232</v>
      </c>
      <c r="C10" s="95">
        <v>1.1094043047244797</v>
      </c>
      <c r="D10" s="95">
        <v>1.0632378826256816</v>
      </c>
      <c r="E10" s="95">
        <v>1.1343578485181121</v>
      </c>
      <c r="F10" s="95">
        <v>1.0824282469543671</v>
      </c>
      <c r="G10" s="95">
        <v>1.0824282469543671</v>
      </c>
      <c r="H10" s="95">
        <v>1.0272043140569036</v>
      </c>
      <c r="I10" s="95">
        <v>1.032416622659138</v>
      </c>
      <c r="J10" s="95">
        <v>1.0606167608286252</v>
      </c>
      <c r="K10" s="95">
        <v>1.0550306582854498</v>
      </c>
      <c r="L10" s="95">
        <v>1.0550306582854498</v>
      </c>
      <c r="M10" s="95">
        <v>1.0547908930218257</v>
      </c>
      <c r="N10" s="95">
        <v>1.0407279531042619</v>
      </c>
      <c r="O10" s="95">
        <v>1.08</v>
      </c>
      <c r="P10" s="95">
        <v>1.0774978729540701</v>
      </c>
      <c r="Q10" s="95">
        <f>P10</f>
        <v>1.0774978729540701</v>
      </c>
      <c r="R10" s="95">
        <v>1.06</v>
      </c>
      <c r="S10" s="354" t="s">
        <v>257</v>
      </c>
      <c r="T10" s="354" t="s">
        <v>257</v>
      </c>
      <c r="U10" s="354" t="s">
        <v>257</v>
      </c>
      <c r="V10" s="354" t="str">
        <f>U10</f>
        <v>NA(1)</v>
      </c>
      <c r="W10" s="354" t="str">
        <f>V10</f>
        <v>NA(1)</v>
      </c>
      <c r="X10" s="354" t="s">
        <v>266</v>
      </c>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row>
    <row r="11" spans="1:207" ht="13" x14ac:dyDescent="0.3">
      <c r="A11" s="6"/>
      <c r="B11" s="56"/>
      <c r="C11" s="94"/>
      <c r="D11" s="94"/>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row>
    <row r="12" spans="1:207" s="75" customFormat="1" ht="13" x14ac:dyDescent="0.3">
      <c r="A12" s="84"/>
      <c r="B12" s="74" t="s">
        <v>233</v>
      </c>
      <c r="C12" s="96"/>
      <c r="D12" s="96"/>
      <c r="E12" s="96"/>
      <c r="F12" s="96"/>
      <c r="G12" s="96"/>
      <c r="H12" s="96"/>
      <c r="I12" s="96"/>
      <c r="J12" s="96"/>
      <c r="K12" s="96"/>
      <c r="L12" s="96"/>
      <c r="M12" s="96"/>
      <c r="N12" s="96"/>
      <c r="O12" s="96"/>
      <c r="P12" s="96"/>
      <c r="Q12" s="96"/>
      <c r="R12" s="96"/>
      <c r="S12" s="96"/>
      <c r="T12" s="96"/>
      <c r="U12" s="96"/>
      <c r="V12" s="96"/>
      <c r="W12" s="96"/>
      <c r="X12" s="9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row>
    <row r="13" spans="1:207" ht="13" x14ac:dyDescent="0.3">
      <c r="A13" s="6"/>
      <c r="B13" s="81" t="s">
        <v>50</v>
      </c>
      <c r="C13" s="10">
        <v>7.0543868104712068E-2</v>
      </c>
      <c r="D13" s="10">
        <v>6.8413258321300074E-2</v>
      </c>
      <c r="E13" s="10">
        <v>7.8682951663760131E-2</v>
      </c>
      <c r="F13" s="259">
        <v>9.0865388386000639E-2</v>
      </c>
      <c r="G13" s="259">
        <v>7.7344020427689564E-2</v>
      </c>
      <c r="H13" s="278">
        <v>8.0392074175461611E-2</v>
      </c>
      <c r="I13" s="278">
        <v>8.3199807659539757E-2</v>
      </c>
      <c r="J13" s="278">
        <v>7.85834865138509E-2</v>
      </c>
      <c r="K13" s="97">
        <v>8.6041315523410405E-2</v>
      </c>
      <c r="L13" s="259">
        <v>8.2089428257938343E-2</v>
      </c>
      <c r="M13" s="148">
        <v>7.9081549855751734E-2</v>
      </c>
      <c r="N13" s="148">
        <v>8.4175051580166541E-2</v>
      </c>
      <c r="O13" s="148">
        <f>'[61]Top 10 20 30 Q3''19VsQ2''19'!H9</f>
        <v>7.5242799743906075E-2</v>
      </c>
      <c r="P13" s="148">
        <f>'[62]Top 10 20 30 Q4''19VsQ3''19'!N5</f>
        <v>8.1402448811873057E-2</v>
      </c>
      <c r="Q13" s="148">
        <f>'[63]YTD_Dec''19_ Top10,20&amp;30_Clients'!R5</f>
        <v>7.996062015913441E-2</v>
      </c>
      <c r="R13" s="148">
        <f>'[64]ClientWise Summary_Q''1''2020'!$M$4</f>
        <v>8.0666291683971769E-2</v>
      </c>
      <c r="S13" s="148">
        <f>'[65]Top 10,20 30_Q-2,Q-1 &amp; H-1''2020'!$L$4</f>
        <v>8.9891554169399771E-2</v>
      </c>
      <c r="T13" s="357">
        <f>'[66]Top 10,20 30_Q-3,Q-2 &amp; YTD''2020'!$M$4</f>
        <v>8.4717007371973033E-2</v>
      </c>
      <c r="U13" s="357">
        <f>'[67]Top 10,20 30_Q-4,Q-3 &amp; YTD''2020'!$Q$4</f>
        <v>8.7893571549537419E-2</v>
      </c>
      <c r="V13" s="357">
        <f>'[67]Top 10,20 30_Q-4,Q-3 &amp; YTD''2020'!$O$4</f>
        <v>8.2128349430730371E-2</v>
      </c>
      <c r="W13" s="357">
        <f>[68]Summary!$O4</f>
        <v>8.2573813172722055E-2</v>
      </c>
      <c r="X13" s="357">
        <f>[69]Summary!$N4</f>
        <v>7.2942283209148681E-2</v>
      </c>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row>
    <row r="14" spans="1:207" ht="13" x14ac:dyDescent="0.3">
      <c r="A14" s="6"/>
      <c r="B14" s="81" t="s">
        <v>47</v>
      </c>
      <c r="C14" s="10">
        <v>0.16718845169265559</v>
      </c>
      <c r="D14" s="10">
        <v>0.16609294905650634</v>
      </c>
      <c r="E14" s="10">
        <v>0.17151675219019799</v>
      </c>
      <c r="F14" s="259">
        <v>0.18004267933978224</v>
      </c>
      <c r="G14" s="259">
        <v>0.17074782349225345</v>
      </c>
      <c r="H14" s="278">
        <v>0.16875311796250148</v>
      </c>
      <c r="I14" s="278">
        <v>0.17246104394198541</v>
      </c>
      <c r="J14" s="278">
        <v>0.15646660865059261</v>
      </c>
      <c r="K14" s="97">
        <v>0.16347290863176006</v>
      </c>
      <c r="L14" s="259">
        <v>0.16387840170410725</v>
      </c>
      <c r="M14" s="148">
        <v>0.15658657950420171</v>
      </c>
      <c r="N14" s="148">
        <v>0.15782506406378663</v>
      </c>
      <c r="O14" s="148">
        <f>'[61]Top 10 20 30 Q3''19VsQ2''19'!H10</f>
        <v>0.14878314416660995</v>
      </c>
      <c r="P14" s="148">
        <f>'[62]Top 10 20 30 Q4''19VsQ3''19'!N6</f>
        <v>0.16350984859168816</v>
      </c>
      <c r="Q14" s="148">
        <f>'[63]YTD_Dec''19_ Top10,20&amp;30_Clients'!R6</f>
        <v>0.15225578197830744</v>
      </c>
      <c r="R14" s="148">
        <f>'[64]ClientWise Summary_Q''1''2020'!$M$5</f>
        <v>0.17756147197119954</v>
      </c>
      <c r="S14" s="148">
        <f>'[65]Top 10,20 30_Q-2,Q-1 &amp; H-1''2020'!$L$5</f>
        <v>0.1974545126171123</v>
      </c>
      <c r="T14" s="357">
        <f>'[66]Top 10,20 30_Q-3,Q-2 &amp; YTD''2020'!$M$5</f>
        <v>0.19667141217386097</v>
      </c>
      <c r="U14" s="357">
        <f>'[67]Top 10,20 30_Q-4,Q-3 &amp; YTD''2020'!$Q$5</f>
        <v>0.20412117815548159</v>
      </c>
      <c r="V14" s="357">
        <f>'[67]Top 10,20 30_Q-4,Q-3 &amp; YTD''2020'!$O$5</f>
        <v>0.19182918602069332</v>
      </c>
      <c r="W14" s="357">
        <f>[68]Summary!$O5</f>
        <v>0.19682799792728145</v>
      </c>
      <c r="X14" s="357">
        <f>[69]Summary!$N5</f>
        <v>0.18612988897315338</v>
      </c>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row>
    <row r="15" spans="1:207" ht="13" x14ac:dyDescent="0.3">
      <c r="A15" s="6"/>
      <c r="B15" s="81" t="s">
        <v>48</v>
      </c>
      <c r="C15" s="10">
        <v>0.24154938838377771</v>
      </c>
      <c r="D15" s="10">
        <v>0.2470451552352449</v>
      </c>
      <c r="E15" s="10">
        <v>0.24654080328190808</v>
      </c>
      <c r="F15" s="259">
        <v>0.25623991335447316</v>
      </c>
      <c r="G15" s="259">
        <v>0.24560333276201043</v>
      </c>
      <c r="H15" s="278">
        <v>0.24735224929156971</v>
      </c>
      <c r="I15" s="278">
        <v>0.24907263736585927</v>
      </c>
      <c r="J15" s="278">
        <v>0.22620406291789719</v>
      </c>
      <c r="K15" s="97">
        <v>0.23435108111157243</v>
      </c>
      <c r="L15" s="259">
        <v>0.23670661738731769</v>
      </c>
      <c r="M15" s="148">
        <v>0.22627728301993461</v>
      </c>
      <c r="N15" s="148">
        <v>0.22404913040086827</v>
      </c>
      <c r="O15" s="148">
        <f>'[61]Top 10 20 30 Q3''19VsQ2''19'!H11</f>
        <v>0.21674863331481722</v>
      </c>
      <c r="P15" s="148">
        <f>'[62]Top 10 20 30 Q4''19VsQ3''19'!N7</f>
        <v>0.22833874714387031</v>
      </c>
      <c r="Q15" s="148">
        <f>'[63]YTD_Dec''19_ Top10,20&amp;30_Clients'!R7</f>
        <v>0.21954984667495586</v>
      </c>
      <c r="R15" s="148">
        <f>'[64]ClientWise Summary_Q''1''2020'!$M$6</f>
        <v>0.24349506187494788</v>
      </c>
      <c r="S15" s="148">
        <f>'[65]Top 10,20 30_Q-2,Q-1 &amp; H-1''2020'!$L$6</f>
        <v>0.26353252217925593</v>
      </c>
      <c r="T15" s="357">
        <f>'[66]Top 10,20 30_Q-3,Q-2 &amp; YTD''2020'!$M$6</f>
        <v>0.25893702285417286</v>
      </c>
      <c r="U15" s="357">
        <f>'[67]Top 10,20 30_Q-4,Q-3 &amp; YTD''2020'!$Q$6</f>
        <v>0.26637160193390208</v>
      </c>
      <c r="V15" s="357">
        <f>'[67]Top 10,20 30_Q-4,Q-3 &amp; YTD''2020'!$O$6</f>
        <v>0.25396202207835289</v>
      </c>
      <c r="W15" s="357">
        <f>[68]Summary!$O6</f>
        <v>0.26503966246249155</v>
      </c>
      <c r="X15" s="357">
        <f>[69]Summary!$N6</f>
        <v>0.24937191673295264</v>
      </c>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row>
    <row r="16" spans="1:207" ht="13" x14ac:dyDescent="0.3">
      <c r="A16" s="6"/>
      <c r="B16" s="81" t="s">
        <v>49</v>
      </c>
      <c r="C16" s="279">
        <v>0.38800000000000001</v>
      </c>
      <c r="D16" s="97">
        <v>0.39117560568524334</v>
      </c>
      <c r="E16" s="10">
        <v>0.38341186844162889</v>
      </c>
      <c r="F16" s="259">
        <v>0.38267699470046296</v>
      </c>
      <c r="G16" s="259">
        <v>0.38605801267864925</v>
      </c>
      <c r="H16" s="259">
        <v>0.39566771616851942</v>
      </c>
      <c r="I16" s="259">
        <v>0.38953687892037764</v>
      </c>
      <c r="J16" s="259">
        <v>0.36698213657314627</v>
      </c>
      <c r="K16" s="148">
        <v>0.37112622445702192</v>
      </c>
      <c r="L16" s="259">
        <v>0.372235222510376</v>
      </c>
      <c r="M16" s="148">
        <v>0.36560196961153252</v>
      </c>
      <c r="N16" s="148">
        <v>0.36501842011120145</v>
      </c>
      <c r="O16" s="148">
        <f>'[61]Top 10 20 30 Q3''19VsQ2''19'!H12</f>
        <v>0.35706193682575654</v>
      </c>
      <c r="P16" s="279">
        <f>'[62]Top 10 20 30 Q4''19VsQ3''19'!N8</f>
        <v>0.36199840679369394</v>
      </c>
      <c r="Q16" s="360">
        <f>'[63]YTD_Dec''19_ Top10,20&amp;30_Clients'!R8</f>
        <v>0.36146546649661448</v>
      </c>
      <c r="R16" s="148">
        <f>'[64]ClientWise Summary_Q''1''2020'!$M$7</f>
        <v>0.37293535284921092</v>
      </c>
      <c r="S16" s="148">
        <f>'[65]Top 10,20 30_Q-2,Q-1 &amp; H-1''2020'!$L$7</f>
        <v>0.38745042926556528</v>
      </c>
      <c r="T16" s="357">
        <f>'[66]Top 10,20 30_Q-3,Q-2 &amp; YTD''2020'!$M$7</f>
        <v>0.38677134006324027</v>
      </c>
      <c r="U16" s="357">
        <f>'[67]Top 10,20 30_Q-4,Q-3 &amp; YTD''2020'!$Q$7</f>
        <v>0.37850956690687021</v>
      </c>
      <c r="V16" s="357">
        <f>'[67]Top 10,20 30_Q-4,Q-3 &amp; YTD''2020'!$O$7</f>
        <v>0.37386473773063189</v>
      </c>
      <c r="W16" s="357">
        <f>[68]Summary!$O7</f>
        <v>0.39280543210797381</v>
      </c>
      <c r="X16" s="357">
        <f>[69]Summary!$N7</f>
        <v>0.37829173543400607</v>
      </c>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row>
    <row r="17" spans="1:207" ht="13" x14ac:dyDescent="0.3">
      <c r="A17" s="6"/>
      <c r="B17" s="56"/>
      <c r="C17" s="94"/>
      <c r="D17" s="94"/>
      <c r="E17" s="56"/>
      <c r="F17" s="56"/>
      <c r="G17" s="56"/>
      <c r="H17" s="56"/>
      <c r="I17" s="56"/>
      <c r="J17" s="56"/>
      <c r="K17" s="284"/>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row>
    <row r="18" spans="1:207" s="75" customFormat="1" ht="13" x14ac:dyDescent="0.3">
      <c r="A18" s="84"/>
      <c r="B18" s="85" t="s">
        <v>171</v>
      </c>
      <c r="C18" s="98">
        <v>0.309</v>
      </c>
      <c r="D18" s="98">
        <v>0.35313642061404282</v>
      </c>
      <c r="E18" s="98">
        <v>0.315</v>
      </c>
      <c r="F18" s="98">
        <v>0.308</v>
      </c>
      <c r="G18" s="98">
        <v>0.32</v>
      </c>
      <c r="H18" s="98">
        <v>0.34771793917908539</v>
      </c>
      <c r="I18" s="98">
        <v>0.32887684750491686</v>
      </c>
      <c r="J18" s="98">
        <v>0.32664985108232508</v>
      </c>
      <c r="K18" s="98">
        <v>0.29138218163140767</v>
      </c>
      <c r="L18" s="98">
        <v>0.3182750662449782</v>
      </c>
      <c r="M18" s="98">
        <v>0.31946164643712327</v>
      </c>
      <c r="N18" s="98">
        <v>0.37242299219705011</v>
      </c>
      <c r="O18" s="98">
        <f>[53]Summary!$AD$4</f>
        <v>0.34489076991892847</v>
      </c>
      <c r="P18" s="98">
        <f>[54]Summary!$AE$4</f>
        <v>0.30887759596046266</v>
      </c>
      <c r="Q18" s="98">
        <f>[54]Summary!$AF$4</f>
        <v>0.33160055826371893</v>
      </c>
      <c r="R18" s="98">
        <f>[55]Summary!$AG$4</f>
        <v>0.31995558781720007</v>
      </c>
      <c r="S18" s="98">
        <f>[56]Summary!$AH$4</f>
        <v>0.14480475861212913</v>
      </c>
      <c r="T18" s="98">
        <f>[57]Summary!$AI$4</f>
        <v>0.2187065381701101</v>
      </c>
      <c r="U18" s="98">
        <f>[58]Summary!$AJ$4</f>
        <v>0.22339677692447238</v>
      </c>
      <c r="V18" s="98">
        <f>[58]Summary!$RJ$11</f>
        <v>0.23403179596651874</v>
      </c>
      <c r="W18" s="98">
        <f>[59]Summary!$AL$4</f>
        <v>0.26809255500268453</v>
      </c>
      <c r="X18" s="98">
        <f>[60]Summary!$AM$4</f>
        <v>0.29480874988485051</v>
      </c>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row>
    <row r="19" spans="1:207" s="38" customFormat="1" ht="13" x14ac:dyDescent="0.3">
      <c r="A19" s="82"/>
      <c r="B19" s="83"/>
      <c r="C19" s="99"/>
      <c r="D19" s="99"/>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row>
    <row r="20" spans="1:207" ht="13" x14ac:dyDescent="0.3">
      <c r="B20" s="141" t="s">
        <v>145</v>
      </c>
      <c r="D20" s="24"/>
      <c r="AK20" s="56"/>
      <c r="AL20" s="56"/>
      <c r="AM20" s="56"/>
      <c r="AN20" s="56"/>
      <c r="AO20" s="56"/>
      <c r="AP20" s="56"/>
      <c r="AQ20" s="56"/>
      <c r="AR20" s="56"/>
      <c r="AS20" s="56"/>
      <c r="AT20" s="56"/>
      <c r="AU20" s="56"/>
      <c r="AV20" s="56"/>
      <c r="AW20" s="56"/>
      <c r="AX20" s="56"/>
      <c r="AY20" s="56"/>
      <c r="AZ20" s="56"/>
    </row>
    <row r="21" spans="1:207" x14ac:dyDescent="0.25">
      <c r="B21" s="139" t="s">
        <v>144</v>
      </c>
      <c r="C21" s="142">
        <f>(64.85+66.69+67.85)/3</f>
        <v>66.463333333333324</v>
      </c>
      <c r="D21" s="142">
        <v>64.45</v>
      </c>
      <c r="E21" s="142">
        <f>+(64.18+63.9+65.28)/3</f>
        <v>64.453333333333333</v>
      </c>
      <c r="F21" s="142">
        <f>+(64.74+64.46+63.87)/3</f>
        <v>64.356666666666669</v>
      </c>
      <c r="G21" s="305">
        <f>AVERAGE(C21:F21)</f>
        <v>64.930833333333339</v>
      </c>
      <c r="H21" s="305">
        <v>64.64</v>
      </c>
      <c r="I21" s="305">
        <v>67.510000000000005</v>
      </c>
      <c r="J21" s="305">
        <v>70.67</v>
      </c>
      <c r="K21" s="305">
        <v>71.099999999999994</v>
      </c>
      <c r="L21" s="305">
        <f>AVERAGE(H21:K21)</f>
        <v>68.47999999999999</v>
      </c>
      <c r="M21" s="305">
        <v>70.316666666666677</v>
      </c>
      <c r="N21" s="305">
        <v>69.416666666666671</v>
      </c>
      <c r="O21" s="305">
        <f>'[70]Rate Summary'!$N$172</f>
        <v>70.353333333333339</v>
      </c>
      <c r="P21" s="305">
        <f>'[71]Rate Summary'!$T$172</f>
        <v>71.346666666666664</v>
      </c>
      <c r="Q21" s="305">
        <f>'[71]Rate Summary'!$U$172</f>
        <v>70.358333333333348</v>
      </c>
      <c r="R21" s="328">
        <f>'[72]Rate Summary'!$F$185</f>
        <v>73.081666666666663</v>
      </c>
      <c r="S21" s="328">
        <f>'[73]Rate Summary'!$J$185</f>
        <v>75.408333333333331</v>
      </c>
      <c r="T21" s="355">
        <f>'[74]Rate Summary'!$N$185</f>
        <v>74.061666666666667</v>
      </c>
      <c r="U21" s="355">
        <f>'[75]Rate Summary'!$T$185</f>
        <v>73.73833333333333</v>
      </c>
      <c r="V21" s="355">
        <f>'[75]Rate Summary'!$U$185</f>
        <v>74.072500000000005</v>
      </c>
      <c r="W21" s="328">
        <f>'[76]Rate Summary'!$F$202</f>
        <v>73.173333333333346</v>
      </c>
      <c r="X21" s="328">
        <f>'[77]Rate Summary'!$J$202</f>
        <v>73.665000000000006</v>
      </c>
      <c r="AK21" s="56"/>
      <c r="AL21" s="56"/>
      <c r="AM21" s="56"/>
      <c r="AN21" s="56"/>
      <c r="AO21" s="56"/>
      <c r="AP21" s="56"/>
      <c r="AQ21" s="56"/>
      <c r="AR21" s="56"/>
      <c r="AS21" s="56"/>
      <c r="AT21" s="56"/>
      <c r="AU21" s="56"/>
      <c r="AV21" s="56"/>
      <c r="AW21" s="56"/>
      <c r="AX21" s="56"/>
      <c r="AY21" s="56"/>
      <c r="AZ21" s="56"/>
    </row>
    <row r="22" spans="1:207" ht="13" x14ac:dyDescent="0.3">
      <c r="B22" s="34" t="s">
        <v>146</v>
      </c>
      <c r="C22" s="102">
        <v>1.1734384099723827E-2</v>
      </c>
      <c r="D22" s="102">
        <v>3.0292391794974449E-2</v>
      </c>
      <c r="E22" s="102">
        <v>-5.1719679337924873E-5</v>
      </c>
      <c r="F22" s="102">
        <v>1.4997931319817859E-3</v>
      </c>
      <c r="G22" s="258"/>
      <c r="H22" s="306">
        <f>-(H21/F21-1)</f>
        <v>-4.4025482985445841E-3</v>
      </c>
      <c r="I22" s="306">
        <f>-(I21/H21-1)</f>
        <v>-4.4399752475247523E-2</v>
      </c>
      <c r="J22" s="306">
        <f>-(J21/I21-1)</f>
        <v>-4.6807880314027495E-2</v>
      </c>
      <c r="K22" s="307">
        <f>-(K21/J21-1)</f>
        <v>-6.0846186500636001E-3</v>
      </c>
      <c r="L22" s="258"/>
      <c r="M22" s="306">
        <f>-(M21/K21-1)</f>
        <v>1.1017346460384214E-2</v>
      </c>
      <c r="N22" s="306">
        <f>-(N21/M21-1)</f>
        <v>1.2799241526428196E-2</v>
      </c>
      <c r="O22" s="306">
        <f>-(O21/N21-1)</f>
        <v>-1.3493397358943504E-2</v>
      </c>
      <c r="P22" s="306">
        <f>-(P21/O21-1)</f>
        <v>-1.4119207808206191E-2</v>
      </c>
      <c r="Q22" s="306"/>
      <c r="R22" s="306">
        <f>-(R21/P21-1)</f>
        <v>-2.4317884507568666E-2</v>
      </c>
      <c r="S22" s="306">
        <f>-(S21/R21-1)</f>
        <v>-3.1836529909462064E-2</v>
      </c>
      <c r="T22" s="306">
        <f>-(T21/S21-1)</f>
        <v>1.7858326886948772E-2</v>
      </c>
      <c r="U22" s="306">
        <f>-(U21/T21-1)</f>
        <v>4.365731259986072E-3</v>
      </c>
      <c r="V22" s="306"/>
      <c r="W22" s="306">
        <f>-(W21/U21-1)</f>
        <v>7.662229053183367E-3</v>
      </c>
      <c r="X22" s="306">
        <f>-(X21/W21-1)</f>
        <v>-6.7192055393585637E-3</v>
      </c>
      <c r="AK22" s="56"/>
      <c r="AL22" s="56"/>
      <c r="AM22" s="56"/>
      <c r="AN22" s="56"/>
      <c r="AO22" s="56"/>
      <c r="AP22" s="56"/>
      <c r="AQ22" s="56"/>
      <c r="AR22" s="56"/>
      <c r="AS22" s="56"/>
      <c r="AT22" s="56"/>
      <c r="AU22" s="56"/>
      <c r="AV22" s="56"/>
      <c r="AW22" s="56"/>
      <c r="AX22" s="56"/>
      <c r="AY22" s="56"/>
      <c r="AZ22" s="56"/>
    </row>
    <row r="23" spans="1:207" ht="13" x14ac:dyDescent="0.3">
      <c r="B23" s="34" t="s">
        <v>147</v>
      </c>
      <c r="C23" s="102">
        <v>1.5503875968992498E-2</v>
      </c>
      <c r="D23" s="102">
        <v>3.8968139569561022E-2</v>
      </c>
      <c r="E23" s="102">
        <v>3.4165834165834186E-2</v>
      </c>
      <c r="F23" s="102">
        <v>4.9431342622224372E-2</v>
      </c>
      <c r="G23" s="307">
        <v>3.4521641079018006E-2</v>
      </c>
      <c r="H23" s="307">
        <f t="shared" ref="H23:X23" si="0">-(H21/C21-1)</f>
        <v>2.7433672701740131E-2</v>
      </c>
      <c r="I23" s="307">
        <f t="shared" si="0"/>
        <v>-4.7478665632273209E-2</v>
      </c>
      <c r="J23" s="307">
        <f t="shared" si="0"/>
        <v>-9.6452213487794758E-2</v>
      </c>
      <c r="K23" s="307">
        <f t="shared" si="0"/>
        <v>-0.1047806495053607</v>
      </c>
      <c r="L23" s="307">
        <f t="shared" si="0"/>
        <v>-5.466072872415495E-2</v>
      </c>
      <c r="M23" s="307">
        <f t="shared" si="0"/>
        <v>-8.7819719471947444E-2</v>
      </c>
      <c r="N23" s="307">
        <f t="shared" si="0"/>
        <v>-2.8242729472176986E-2</v>
      </c>
      <c r="O23" s="307">
        <f t="shared" si="0"/>
        <v>4.4809207112871396E-3</v>
      </c>
      <c r="P23" s="307">
        <f t="shared" si="0"/>
        <v>-3.469292076887065E-3</v>
      </c>
      <c r="Q23" s="307">
        <f t="shared" si="0"/>
        <v>-2.7428933021807156E-2</v>
      </c>
      <c r="R23" s="307">
        <f t="shared" si="0"/>
        <v>-3.9322114245081474E-2</v>
      </c>
      <c r="S23" s="307">
        <f t="shared" si="0"/>
        <v>-8.631452581032395E-2</v>
      </c>
      <c r="T23" s="307">
        <f t="shared" si="0"/>
        <v>-5.2710129820903839E-2</v>
      </c>
      <c r="U23" s="307">
        <f t="shared" si="0"/>
        <v>-3.3521771631470632E-2</v>
      </c>
      <c r="V23" s="307">
        <f t="shared" si="0"/>
        <v>-5.278929290536527E-2</v>
      </c>
      <c r="W23" s="307">
        <f t="shared" si="0"/>
        <v>-1.2543045451438584E-3</v>
      </c>
      <c r="X23" s="307">
        <f t="shared" si="0"/>
        <v>2.3118576638302413E-2</v>
      </c>
      <c r="AK23" s="56"/>
      <c r="AL23" s="56"/>
      <c r="AM23" s="56"/>
      <c r="AN23" s="56"/>
      <c r="AO23" s="56"/>
      <c r="AP23" s="56"/>
      <c r="AQ23" s="56"/>
      <c r="AR23" s="56"/>
      <c r="AS23" s="56"/>
      <c r="AT23" s="56"/>
      <c r="AU23" s="56"/>
      <c r="AV23" s="56"/>
      <c r="AW23" s="56"/>
      <c r="AX23" s="56"/>
      <c r="AY23" s="56"/>
      <c r="AZ23" s="56"/>
    </row>
    <row r="24" spans="1:207" ht="13" x14ac:dyDescent="0.3">
      <c r="B24" s="34"/>
      <c r="C24" s="102"/>
      <c r="D24" s="102"/>
      <c r="G24" s="258"/>
      <c r="H24" s="258"/>
      <c r="I24" s="258"/>
      <c r="J24" s="258"/>
      <c r="K24" s="31"/>
      <c r="L24" s="258"/>
      <c r="M24" s="258"/>
      <c r="N24" s="258"/>
      <c r="O24" s="258"/>
      <c r="P24" s="258"/>
      <c r="Q24" s="258"/>
      <c r="AK24" s="56"/>
      <c r="AL24" s="56"/>
      <c r="AM24" s="56"/>
      <c r="AN24" s="56"/>
      <c r="AO24" s="56"/>
      <c r="AP24" s="56"/>
      <c r="AQ24" s="56"/>
      <c r="AR24" s="56"/>
      <c r="AS24" s="56"/>
      <c r="AT24" s="56"/>
      <c r="AU24" s="56"/>
      <c r="AV24" s="56"/>
      <c r="AW24" s="56"/>
      <c r="AX24" s="56"/>
      <c r="AY24" s="56"/>
      <c r="AZ24" s="56"/>
    </row>
    <row r="25" spans="1:207" x14ac:dyDescent="0.25">
      <c r="B25" s="142" t="s">
        <v>142</v>
      </c>
      <c r="C25" s="142">
        <f>+ROUND((1.24+1.25+1.24)/3,2)</f>
        <v>1.24</v>
      </c>
      <c r="D25" s="142">
        <v>1.29</v>
      </c>
      <c r="E25" s="142">
        <f>+(1.31+1.29+1.34)/3</f>
        <v>1.3133333333333335</v>
      </c>
      <c r="F25" s="142">
        <f>+(1.32+1.34+1.35)/3</f>
        <v>1.3366666666666667</v>
      </c>
      <c r="G25" s="305">
        <f>AVERAGE(C25:F25)</f>
        <v>1.2950000000000002</v>
      </c>
      <c r="H25" s="305">
        <v>1.4</v>
      </c>
      <c r="I25" s="305">
        <v>1.34</v>
      </c>
      <c r="J25" s="305">
        <v>1.31</v>
      </c>
      <c r="K25" s="305">
        <v>1.28</v>
      </c>
      <c r="L25" s="305">
        <f>AVERAGE(H25:K25)</f>
        <v>1.3325000000000002</v>
      </c>
      <c r="M25" s="305">
        <v>1.3152666666666666</v>
      </c>
      <c r="N25" s="305">
        <v>1.2756666666666667</v>
      </c>
      <c r="O25" s="305">
        <f>'[70]Rate Summary'!$N$175</f>
        <v>1.2212333333333334</v>
      </c>
      <c r="P25" s="305">
        <f>'[71]Rate Summary'!$T$175</f>
        <v>1.3024</v>
      </c>
      <c r="Q25" s="305">
        <f>'[71]Rate Summary'!$U$175</f>
        <v>1.2786416666666667</v>
      </c>
      <c r="R25" s="328">
        <f>'[72]Rate Summary'!$F$188</f>
        <v>1.2763666666666669</v>
      </c>
      <c r="S25" s="328">
        <f>'[73]Rate Summary'!$J$188</f>
        <v>1.2370666666666665</v>
      </c>
      <c r="T25" s="355">
        <f>'[74]Rate Summary'!$N$188</f>
        <v>1.3096333333333332</v>
      </c>
      <c r="U25" s="355">
        <f>'[75]Rate Summary'!$T$188</f>
        <v>1.3313333333333333</v>
      </c>
      <c r="V25" s="355">
        <f>'[75]Rate Summary'!$U$188</f>
        <v>1.2886</v>
      </c>
      <c r="W25" s="328">
        <f>'[76]Rate Summary'!$F$205</f>
        <v>1.3805333333333332</v>
      </c>
      <c r="X25" s="328">
        <f>'[77]Rate Summary'!$J$205</f>
        <v>1.3984333333333332</v>
      </c>
      <c r="AK25" s="56"/>
      <c r="AL25" s="56"/>
      <c r="AM25" s="56"/>
      <c r="AN25" s="56"/>
      <c r="AO25" s="56"/>
      <c r="AP25" s="56"/>
      <c r="AQ25" s="56"/>
      <c r="AR25" s="56"/>
      <c r="AS25" s="56"/>
      <c r="AT25" s="56"/>
      <c r="AU25" s="56"/>
      <c r="AV25" s="56"/>
      <c r="AW25" s="56"/>
      <c r="AX25" s="56"/>
      <c r="AY25" s="56"/>
      <c r="AZ25" s="56"/>
    </row>
    <row r="26" spans="1:207" ht="13" x14ac:dyDescent="0.3">
      <c r="B26" s="34" t="s">
        <v>165</v>
      </c>
      <c r="C26" s="102">
        <v>7.8066914498141071E-2</v>
      </c>
      <c r="D26" s="102">
        <v>-4.0322580645161255E-2</v>
      </c>
      <c r="E26" s="102">
        <v>-1.8087855297157729E-2</v>
      </c>
      <c r="F26" s="102">
        <v>-1.7766497461928932E-2</v>
      </c>
      <c r="H26" s="260">
        <f>-(H25/F25-1)</f>
        <v>-4.7381546134663166E-2</v>
      </c>
      <c r="I26" s="260">
        <f>-(I25/H25-1)</f>
        <v>4.2857142857142705E-2</v>
      </c>
      <c r="J26" s="260">
        <f>-(J25/I25-1)</f>
        <v>2.2388059701492602E-2</v>
      </c>
      <c r="K26" s="102">
        <f>-(K25/J25-1)</f>
        <v>2.2900763358778664E-2</v>
      </c>
      <c r="M26" s="260">
        <f>-(M25/K25-1)</f>
        <v>-2.7552083333333144E-2</v>
      </c>
      <c r="N26" s="306">
        <f>-(N25/M25-1)</f>
        <v>3.0107962897257701E-2</v>
      </c>
      <c r="O26" s="306">
        <f>-(O25/N25-1)</f>
        <v>4.2670499085445512E-2</v>
      </c>
      <c r="P26" s="306">
        <f>-(P25/O25-1)</f>
        <v>-6.6462865409285588E-2</v>
      </c>
      <c r="Q26" s="306"/>
      <c r="R26" s="260">
        <f>-(R25/P25-1)</f>
        <v>1.9988738738738632E-2</v>
      </c>
      <c r="S26" s="306">
        <f>-(S25/R25-1)</f>
        <v>3.0790525188686857E-2</v>
      </c>
      <c r="T26" s="306">
        <f>-(T25/S25-1)</f>
        <v>-5.8660271610260883E-2</v>
      </c>
      <c r="U26" s="306">
        <f>-(U25/T25-1)</f>
        <v>-1.6569523276235065E-2</v>
      </c>
      <c r="V26" s="306"/>
      <c r="W26" s="260">
        <f>-(W25/U25-1)</f>
        <v>-3.6955433149724604E-2</v>
      </c>
      <c r="X26" s="260">
        <f>-(X25/W25-1)</f>
        <v>-1.2966003476917232E-2</v>
      </c>
      <c r="AK26" s="56"/>
      <c r="AL26" s="56"/>
      <c r="AM26" s="56"/>
      <c r="AN26" s="56"/>
      <c r="AO26" s="56"/>
      <c r="AP26" s="56"/>
      <c r="AQ26" s="56"/>
      <c r="AR26" s="56"/>
      <c r="AS26" s="56"/>
      <c r="AT26" s="56"/>
      <c r="AU26" s="56"/>
      <c r="AV26" s="56"/>
      <c r="AW26" s="56"/>
      <c r="AX26" s="56"/>
      <c r="AY26" s="56"/>
      <c r="AZ26" s="56"/>
    </row>
    <row r="27" spans="1:207" ht="13" x14ac:dyDescent="0.3">
      <c r="B27" s="34" t="s">
        <v>166</v>
      </c>
      <c r="C27" s="102">
        <v>0.12470588235294122</v>
      </c>
      <c r="D27" s="102">
        <v>9.367681498829028E-2</v>
      </c>
      <c r="E27" s="102">
        <v>-2.5445292620867033E-3</v>
      </c>
      <c r="F27" s="102">
        <v>-8.6720867208672114E-2</v>
      </c>
      <c r="G27" s="102">
        <v>3.7174721189590754E-2</v>
      </c>
      <c r="H27" s="102">
        <f t="shared" ref="H27:X27" si="1">-(H25/C25-1)</f>
        <v>-0.12903225806451601</v>
      </c>
      <c r="I27" s="102">
        <f t="shared" si="1"/>
        <v>-3.8759689922480689E-2</v>
      </c>
      <c r="J27" s="102">
        <f t="shared" si="1"/>
        <v>2.5380710659899108E-3</v>
      </c>
      <c r="K27" s="102">
        <f t="shared" si="1"/>
        <v>4.239401496259354E-2</v>
      </c>
      <c r="L27" s="102">
        <f t="shared" si="1"/>
        <v>-2.8957528957529011E-2</v>
      </c>
      <c r="M27" s="102">
        <f t="shared" si="1"/>
        <v>6.0523809523809535E-2</v>
      </c>
      <c r="N27" s="102">
        <f t="shared" si="1"/>
        <v>4.8009950248756206E-2</v>
      </c>
      <c r="O27" s="102">
        <f t="shared" si="1"/>
        <v>6.7760814249363865E-2</v>
      </c>
      <c r="P27" s="102">
        <f t="shared" si="1"/>
        <v>-1.7500000000000071E-2</v>
      </c>
      <c r="Q27" s="102">
        <f t="shared" si="1"/>
        <v>4.0419011882426692E-2</v>
      </c>
      <c r="R27" s="102">
        <f t="shared" si="1"/>
        <v>2.9575751431902053E-2</v>
      </c>
      <c r="S27" s="102">
        <f t="shared" si="1"/>
        <v>3.0258688267572609E-2</v>
      </c>
      <c r="T27" s="102">
        <f t="shared" si="1"/>
        <v>-7.238583945192012E-2</v>
      </c>
      <c r="U27" s="102">
        <f t="shared" si="1"/>
        <v>-2.2215397215397115E-2</v>
      </c>
      <c r="V27" s="102">
        <f t="shared" si="1"/>
        <v>-7.7882127518134059E-3</v>
      </c>
      <c r="W27" s="102">
        <f t="shared" si="1"/>
        <v>-8.1611867018359208E-2</v>
      </c>
      <c r="X27" s="379">
        <f t="shared" si="1"/>
        <v>-0.13044298340159521</v>
      </c>
      <c r="AK27" s="56"/>
      <c r="AL27" s="56"/>
      <c r="AM27" s="56"/>
      <c r="AN27" s="56"/>
      <c r="AO27" s="56"/>
      <c r="AP27" s="56"/>
      <c r="AQ27" s="56"/>
      <c r="AR27" s="56"/>
      <c r="AS27" s="56"/>
      <c r="AT27" s="56"/>
      <c r="AU27" s="56"/>
      <c r="AV27" s="56"/>
      <c r="AW27" s="56"/>
      <c r="AX27" s="56"/>
      <c r="AY27" s="56"/>
      <c r="AZ27" s="56"/>
    </row>
    <row r="28" spans="1:207" ht="13" x14ac:dyDescent="0.3">
      <c r="B28" s="140"/>
      <c r="D28" s="24"/>
      <c r="K28" s="24"/>
      <c r="AK28" s="56"/>
      <c r="AL28" s="56"/>
      <c r="AM28" s="56"/>
      <c r="AN28" s="56"/>
      <c r="AO28" s="56"/>
      <c r="AP28" s="56"/>
      <c r="AQ28" s="56"/>
      <c r="AR28" s="56"/>
      <c r="AS28" s="56"/>
      <c r="AT28" s="56"/>
      <c r="AU28" s="56"/>
      <c r="AV28" s="56"/>
      <c r="AW28" s="56"/>
      <c r="AX28" s="56"/>
      <c r="AY28" s="56"/>
      <c r="AZ28" s="56"/>
    </row>
    <row r="29" spans="1:207" x14ac:dyDescent="0.25">
      <c r="B29" s="139" t="s">
        <v>143</v>
      </c>
      <c r="C29" s="142">
        <f>+(50.21+50.16+49.77)/3</f>
        <v>50.046666666666674</v>
      </c>
      <c r="D29" s="142">
        <v>50.061999999999998</v>
      </c>
      <c r="E29" s="142">
        <f>+(50.46+51.17+50.815)/3</f>
        <v>50.814999999999998</v>
      </c>
      <c r="F29" s="142">
        <f>+(51.61+50.27+49.93)/3</f>
        <v>50.603333333333332</v>
      </c>
      <c r="G29" s="142">
        <f>AVERAGE(C29:F29)</f>
        <v>50.381749999999997</v>
      </c>
      <c r="H29" s="142">
        <v>51.85</v>
      </c>
      <c r="I29" s="142">
        <v>52.53</v>
      </c>
      <c r="J29" s="142">
        <v>53.53</v>
      </c>
      <c r="K29" s="142">
        <v>52.86</v>
      </c>
      <c r="L29" s="142">
        <f>AVERAGE(H29:K29)</f>
        <v>52.692499999999995</v>
      </c>
      <c r="M29" s="142">
        <v>52.106666666666662</v>
      </c>
      <c r="N29" s="142">
        <v>51.835000000000001</v>
      </c>
      <c r="O29" s="142">
        <f>'[70]Rate Summary'!$N$177</f>
        <v>51.589999999999996</v>
      </c>
      <c r="P29" s="142">
        <f>'[71]Rate Summary'!T177</f>
        <v>50.728333333333332</v>
      </c>
      <c r="Q29" s="142">
        <f>'[71]Rate Summary'!U177</f>
        <v>51.565000000000005</v>
      </c>
      <c r="R29" s="328">
        <f>'[72]Rate Summary'!$F$190</f>
        <v>50.826666666666661</v>
      </c>
      <c r="S29" s="328">
        <f>'[73]Rate Summary'!$J$190</f>
        <v>50.279999999999994</v>
      </c>
      <c r="T29" s="355">
        <f>'[74]Rate Summary'!$N$190</f>
        <v>48.71</v>
      </c>
      <c r="U29" s="355">
        <f>'[75]Rate Summary'!$T$190</f>
        <v>48.161000000000001</v>
      </c>
      <c r="V29" s="355">
        <f>'[75]Rate Summary'!$U$190</f>
        <v>49.494416666666666</v>
      </c>
      <c r="W29" s="328">
        <f>'[76]Rate Summary'!$F$207</f>
        <v>48.386666666666663</v>
      </c>
      <c r="X29" s="328">
        <f>'[77]Rate Summary'!$J$207</f>
        <v>48.198333333333331</v>
      </c>
      <c r="AK29" s="56"/>
      <c r="AL29" s="56"/>
      <c r="AM29" s="56"/>
      <c r="AN29" s="56"/>
      <c r="AO29" s="56"/>
      <c r="AP29" s="56"/>
      <c r="AQ29" s="56"/>
      <c r="AR29" s="56"/>
      <c r="AS29" s="56"/>
      <c r="AT29" s="56"/>
      <c r="AU29" s="56"/>
      <c r="AV29" s="56"/>
      <c r="AW29" s="56"/>
      <c r="AX29" s="56"/>
      <c r="AY29" s="56"/>
      <c r="AZ29" s="56"/>
    </row>
    <row r="30" spans="1:207" ht="13" x14ac:dyDescent="0.3">
      <c r="B30" s="34" t="s">
        <v>146</v>
      </c>
      <c r="C30" s="102">
        <v>-4.9884183383593461E-2</v>
      </c>
      <c r="D30" s="102">
        <v>-3.0638071133592959E-4</v>
      </c>
      <c r="E30" s="102">
        <v>-1.5041348727577786E-2</v>
      </c>
      <c r="F30" s="102">
        <v>4.165436714880788E-3</v>
      </c>
      <c r="H30" s="260">
        <f>-(H29/F29-1)</f>
        <v>-2.4636058230683044E-2</v>
      </c>
      <c r="I30" s="260">
        <f>-(I29/H29-1)</f>
        <v>-1.3114754098360715E-2</v>
      </c>
      <c r="J30" s="260">
        <f>-(J29/I29-1)</f>
        <v>-1.9036740909956107E-2</v>
      </c>
      <c r="K30" s="102">
        <f>-(K29/J29-1)</f>
        <v>1.2516345974220133E-2</v>
      </c>
      <c r="M30" s="260">
        <f>-(M29/K29-1)</f>
        <v>1.4251481901879304E-2</v>
      </c>
      <c r="N30" s="306">
        <f>-(N29/M29-1)</f>
        <v>5.2136642784031961E-3</v>
      </c>
      <c r="O30" s="306">
        <f>-(O29/N29-1)</f>
        <v>4.7265361242404547E-3</v>
      </c>
      <c r="P30" s="306">
        <f>-(P29/O29-1)</f>
        <v>1.6702203269367444E-2</v>
      </c>
      <c r="Q30" s="306"/>
      <c r="R30" s="260">
        <f>-(R29/P29-1)</f>
        <v>-1.9384302000853282E-3</v>
      </c>
      <c r="S30" s="306">
        <f>-(S29/R29-1)</f>
        <v>1.0755508919202517E-2</v>
      </c>
      <c r="T30" s="306">
        <f>-(T29/S29-1)</f>
        <v>3.122513922036585E-2</v>
      </c>
      <c r="U30" s="306">
        <f>-(U29/T29-1)</f>
        <v>1.1270786286183498E-2</v>
      </c>
      <c r="V30" s="306"/>
      <c r="W30" s="260">
        <f>-(W29/U29-1)</f>
        <v>-4.6856723628383445E-3</v>
      </c>
      <c r="X30" s="260">
        <f>-(X29/W29-1)</f>
        <v>3.8922568200605578E-3</v>
      </c>
      <c r="AK30" s="56"/>
      <c r="AL30" s="56"/>
      <c r="AM30" s="56"/>
      <c r="AN30" s="56"/>
      <c r="AO30" s="56"/>
      <c r="AP30" s="56"/>
      <c r="AQ30" s="56"/>
      <c r="AR30" s="56"/>
      <c r="AS30" s="56"/>
      <c r="AT30" s="56"/>
      <c r="AU30" s="56"/>
      <c r="AV30" s="56"/>
      <c r="AW30" s="56"/>
      <c r="AX30" s="56"/>
      <c r="AY30" s="56"/>
      <c r="AZ30" s="56"/>
    </row>
    <row r="31" spans="1:207" ht="13" x14ac:dyDescent="0.3">
      <c r="B31" s="34" t="s">
        <v>147</v>
      </c>
      <c r="C31" s="102">
        <v>-6.2787569901607165E-2</v>
      </c>
      <c r="D31" s="102">
        <v>-6.7382111509896481E-2</v>
      </c>
      <c r="E31" s="102">
        <v>-7.2121808847316782E-2</v>
      </c>
      <c r="F31" s="102">
        <v>-2.6714459623968789E-2</v>
      </c>
      <c r="G31" s="102">
        <v>-5.691359643372218E-2</v>
      </c>
      <c r="H31" s="102">
        <f t="shared" ref="H31:X31" si="2">-(H29/C29-1)</f>
        <v>-3.6033035833222149E-2</v>
      </c>
      <c r="I31" s="102">
        <f t="shared" si="2"/>
        <v>-4.9298869401941614E-2</v>
      </c>
      <c r="J31" s="102">
        <f t="shared" si="2"/>
        <v>-5.3429105579061442E-2</v>
      </c>
      <c r="K31" s="102">
        <f t="shared" si="2"/>
        <v>-4.459521770634356E-2</v>
      </c>
      <c r="L31" s="102">
        <f t="shared" si="2"/>
        <v>-4.5864822083393264E-2</v>
      </c>
      <c r="M31" s="102">
        <f t="shared" si="2"/>
        <v>-4.9501767920281381E-3</v>
      </c>
      <c r="N31" s="102">
        <f t="shared" si="2"/>
        <v>1.3230534932419546E-2</v>
      </c>
      <c r="O31" s="102">
        <f t="shared" si="2"/>
        <v>3.6241359985055177E-2</v>
      </c>
      <c r="P31" s="102">
        <f t="shared" si="2"/>
        <v>4.0326649009963411E-2</v>
      </c>
      <c r="Q31" s="102">
        <f t="shared" si="2"/>
        <v>2.1397732125065017E-2</v>
      </c>
      <c r="R31" s="102">
        <f t="shared" si="2"/>
        <v>2.4564994882292801E-2</v>
      </c>
      <c r="S31" s="102">
        <f t="shared" si="2"/>
        <v>2.9999035400791074E-2</v>
      </c>
      <c r="T31" s="102">
        <f t="shared" si="2"/>
        <v>5.5824772242682563E-2</v>
      </c>
      <c r="U31" s="102">
        <f t="shared" si="2"/>
        <v>5.0609455596806407E-2</v>
      </c>
      <c r="V31" s="102">
        <f t="shared" si="2"/>
        <v>4.0154820776366451E-2</v>
      </c>
      <c r="W31" s="102">
        <f t="shared" si="2"/>
        <v>4.8006295907660035E-2</v>
      </c>
      <c r="X31" s="102">
        <f t="shared" si="2"/>
        <v>4.1401485017236728E-2</v>
      </c>
      <c r="AK31" s="56"/>
      <c r="AL31" s="56"/>
      <c r="AM31" s="56"/>
      <c r="AN31" s="56"/>
      <c r="AO31" s="56"/>
      <c r="AP31" s="56"/>
      <c r="AQ31" s="56"/>
      <c r="AR31" s="56"/>
      <c r="AS31" s="56"/>
      <c r="AT31" s="56"/>
      <c r="AU31" s="56"/>
      <c r="AV31" s="56"/>
      <c r="AW31" s="56"/>
      <c r="AX31" s="56"/>
      <c r="AY31" s="56"/>
      <c r="AZ31" s="56"/>
    </row>
    <row r="33" spans="1:24" ht="13" x14ac:dyDescent="0.3">
      <c r="A33" s="138"/>
      <c r="C33" s="102"/>
    </row>
    <row r="34" spans="1:24" ht="13" x14ac:dyDescent="0.3">
      <c r="A34" s="138"/>
      <c r="B34" s="365" t="s">
        <v>269</v>
      </c>
      <c r="C34" s="365"/>
      <c r="D34" s="365"/>
      <c r="E34" s="365"/>
      <c r="F34" s="365"/>
      <c r="G34" s="365"/>
      <c r="H34" s="365"/>
      <c r="I34" s="365"/>
      <c r="J34" s="365"/>
      <c r="K34" s="365"/>
      <c r="L34" s="365"/>
      <c r="M34" s="365"/>
      <c r="N34" s="365"/>
      <c r="O34" s="365"/>
      <c r="P34" s="365"/>
      <c r="Q34" s="365"/>
      <c r="R34" s="365"/>
      <c r="S34" s="365"/>
      <c r="W34" s="365"/>
      <c r="X34" s="365"/>
    </row>
    <row r="35" spans="1:24" x14ac:dyDescent="0.25">
      <c r="C35" s="28"/>
    </row>
    <row r="36" spans="1:24" x14ac:dyDescent="0.25">
      <c r="C36" s="66"/>
    </row>
    <row r="38" spans="1:24" x14ac:dyDescent="0.25">
      <c r="C38" s="66"/>
    </row>
    <row r="42" spans="1:24" x14ac:dyDescent="0.25">
      <c r="C42" s="66"/>
    </row>
    <row r="44" spans="1:24" x14ac:dyDescent="0.25">
      <c r="C44" s="66"/>
    </row>
    <row r="45" spans="1:24" x14ac:dyDescent="0.25">
      <c r="C45" s="102"/>
    </row>
  </sheetData>
  <customSheetViews>
    <customSheetView guid="{168DC811-186D-42DC-8A72-3741D1063270}" scale="80" showGridLines="0" hiddenRows="1">
      <pane xSplit="2" ySplit="4" topLeftCell="C5" activePane="bottomRight" state="frozen"/>
      <selection pane="bottomRight" activeCell="A7" sqref="A7"/>
      <pageMargins left="0.45" right="0.45" top="0.75" bottom="0.75" header="0.3" footer="0.3"/>
      <printOptions horizontalCentered="1"/>
      <pageSetup scale="65" orientation="landscape" horizontalDpi="300" verticalDpi="300" r:id="rId1"/>
    </customSheetView>
  </customSheetViews>
  <phoneticPr fontId="0" type="noConversion"/>
  <pageMargins left="0.25" right="0.25" top="0.5" bottom="0.25" header="0.3" footer="0.3"/>
  <pageSetup paperSize="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vt:lpstr>
      <vt:lpstr>Income Statement</vt:lpstr>
      <vt:lpstr>Balance Sheet</vt:lpstr>
      <vt:lpstr>Cashflow</vt:lpstr>
      <vt:lpstr>Revenues and Margins</vt:lpstr>
      <vt:lpstr>Other Metrics</vt:lpstr>
      <vt:lpstr>'Balance Sheet'!Print_Area</vt:lpstr>
      <vt:lpstr>Cashflow!Print_Area</vt:lpstr>
      <vt:lpstr>'Income Statement'!Print_Area</vt:lpstr>
      <vt:lpstr>'Other Metrics'!Print_Area</vt:lpstr>
      <vt:lpstr>'Revenues and Margins'!Print_Area</vt:lpstr>
      <vt:lpstr>'Income Statement'!Print_Titles</vt:lpstr>
      <vt:lpstr>'Other Metrics'!Print_Titles</vt:lpstr>
      <vt:lpstr>'Revenues and Margins'!Print_Titles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rahul13232</dc:creator>
  <cp:lastModifiedBy>Steven Barlow</cp:lastModifiedBy>
  <cp:lastPrinted>2021-07-29T12:52:43Z</cp:lastPrinted>
  <dcterms:created xsi:type="dcterms:W3CDTF">2009-03-23T17:27:54Z</dcterms:created>
  <dcterms:modified xsi:type="dcterms:W3CDTF">2021-07-29T13:05:55Z</dcterms:modified>
</cp:coreProperties>
</file>