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Financial Planning &amp; Budgeting\2019\Q3\Fact Sheet\"/>
    </mc:Choice>
  </mc:AlternateContent>
  <bookViews>
    <workbookView xWindow="0" yWindow="0" windowWidth="20490" windowHeight="7620" tabRatio="889"/>
  </bookViews>
  <sheets>
    <sheet name="Contents" sheetId="9" r:id="rId1"/>
    <sheet name="Income Statement" sheetId="2" r:id="rId2"/>
    <sheet name="Balance Sheet" sheetId="6" r:id="rId3"/>
    <sheet name="Cashflow" sheetId="7" r:id="rId4"/>
    <sheet name="Revenues and Margins" sheetId="8" r:id="rId5"/>
    <sheet name="Other Metrics" sheetId="5" r:id="rId6"/>
  </sheets>
  <definedNames>
    <definedName name="_xlnm._FilterDatabase" localSheetId="1" hidden="1">'Income Statement'!$K$7:$K$118</definedName>
    <definedName name="_xlnm.Print_Area" localSheetId="2">'Balance Sheet'!$A$1:$Y$60</definedName>
    <definedName name="_xlnm.Print_Area" localSheetId="3">Cashflow!$A$1:$AI$88</definedName>
    <definedName name="_xlnm.Print_Area" localSheetId="1">'Income Statement'!$A$1:$AE$128</definedName>
    <definedName name="_xlnm.Print_Area" localSheetId="5">'Other Metrics'!$A$1:$AD$33</definedName>
    <definedName name="_xlnm.Print_Area" localSheetId="4">'Revenues and Margins'!$A$1:$V$102</definedName>
    <definedName name="_xlnm.Print_Titles" localSheetId="1">'Income Statement'!$A:$A,'Income Statement'!$4:$5</definedName>
    <definedName name="_xlnm.Print_Titles" localSheetId="5">'Other Metrics'!$B:$B</definedName>
    <definedName name="_xlnm.Print_Titles" localSheetId="4">'Revenues and Margins'!$1:$4</definedName>
    <definedName name="Z_168DC811_186D_42DC_8A72_3741D1063270_.wvu.PrintArea" localSheetId="5" hidden="1">'Other Metrics'!$A$1:$B$19</definedName>
    <definedName name="Z_168DC811_186D_42DC_8A72_3741D1063270_.wvu.PrintTitles" localSheetId="1" hidden="1">'Income Statement'!$A:$A,'Income Statement'!$4:$5</definedName>
    <definedName name="Z_168DC811_186D_42DC_8A72_3741D1063270_.wvu.PrintTitles" localSheetId="5" hidden="1">'Other Metrics'!$B:$B</definedName>
    <definedName name="Z_168DC811_186D_42DC_8A72_3741D1063270_.wvu.Rows" localSheetId="5" hidden="1">'Other Metrics'!#REF!</definedName>
  </definedNames>
  <calcPr calcId="162913" iterate="1"/>
  <customWorkbookViews>
    <customWorkbookView name="rahul13232 - Personal View" guid="{168DC811-186D-42DC-8A72-3741D1063270}" mergeInterval="0" personalView="1" maximized="1" xWindow="1" yWindow="1" windowWidth="1276" windowHeight="803"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6" i="2" l="1"/>
  <c r="AE85" i="2"/>
  <c r="AE84" i="2"/>
  <c r="AE96" i="2" s="1"/>
  <c r="AH80" i="7" l="1"/>
  <c r="AD86" i="2"/>
  <c r="AD85" i="2"/>
  <c r="AD84" i="2"/>
  <c r="AD96" i="2" s="1"/>
  <c r="AD74" i="2"/>
  <c r="AD87" i="2" s="1"/>
  <c r="AD83" i="2"/>
  <c r="AD95" i="2"/>
  <c r="AD57" i="2"/>
  <c r="AD53" i="2"/>
  <c r="AD27" i="2"/>
  <c r="AD21" i="2"/>
  <c r="AD18" i="2"/>
  <c r="AD64" i="2"/>
  <c r="AD66" i="2" s="1"/>
  <c r="AD81" i="2" l="1"/>
  <c r="AD82" i="2"/>
  <c r="AH88" i="7"/>
  <c r="AH72" i="7"/>
  <c r="AH75" i="7" s="1"/>
  <c r="X15" i="6"/>
  <c r="X25" i="6" s="1"/>
  <c r="AH51" i="7"/>
  <c r="AH54" i="7" s="1"/>
  <c r="AH39" i="7"/>
  <c r="AH42" i="7" s="1"/>
  <c r="X56" i="6"/>
  <c r="X58" i="6" s="1"/>
  <c r="X36" i="6"/>
  <c r="X45" i="6" s="1"/>
  <c r="AD24" i="2"/>
  <c r="AD94" i="2"/>
  <c r="AD10" i="2"/>
  <c r="AD13" i="2"/>
  <c r="AD29" i="2"/>
  <c r="AH79" i="7" l="1"/>
  <c r="AH82" i="7" s="1"/>
  <c r="X60" i="6"/>
  <c r="X66" i="6" s="1"/>
  <c r="AD31" i="2"/>
  <c r="AD14" i="2"/>
  <c r="AH84" i="7" l="1"/>
  <c r="AH89" i="7" s="1"/>
  <c r="AI80" i="7"/>
  <c r="AD68" i="2"/>
  <c r="AD39" i="2"/>
  <c r="AD43" i="2" s="1"/>
  <c r="AD33" i="2"/>
  <c r="AD80" i="2" l="1"/>
  <c r="AD88" i="2" s="1"/>
  <c r="AD75" i="2"/>
  <c r="AD56" i="2"/>
  <c r="AD58" i="2" s="1"/>
  <c r="AD52" i="2"/>
  <c r="AD54" i="2" s="1"/>
  <c r="AD46" i="2"/>
  <c r="AD47" i="2" l="1"/>
  <c r="AD49" i="2"/>
  <c r="AD93" i="2"/>
  <c r="AD113" i="2" s="1"/>
  <c r="AD78" i="2"/>
  <c r="AD76" i="2"/>
  <c r="AD89" i="2"/>
  <c r="AD91" i="2"/>
  <c r="AD116" i="2" l="1"/>
  <c r="AD114" i="2"/>
  <c r="AD118" i="2" l="1"/>
  <c r="V51" i="8" l="1"/>
  <c r="V48" i="8"/>
  <c r="V45" i="8"/>
  <c r="V20" i="8"/>
  <c r="V36" i="8"/>
  <c r="V33" i="8"/>
  <c r="V30" i="8"/>
  <c r="V27" i="8"/>
  <c r="V24" i="8"/>
  <c r="V39" i="8" l="1"/>
  <c r="V42" i="8"/>
  <c r="V55" i="8"/>
  <c r="V58" i="8"/>
  <c r="V17" i="8"/>
  <c r="V18" i="8" s="1"/>
  <c r="AD22" i="5"/>
  <c r="AD31" i="5"/>
  <c r="AD26" i="5"/>
  <c r="V60" i="8" l="1"/>
  <c r="V21" i="8"/>
  <c r="AD27" i="5"/>
  <c r="AD30" i="5"/>
  <c r="AD23" i="5"/>
  <c r="V86" i="8" l="1"/>
  <c r="V84" i="8"/>
  <c r="V82" i="8"/>
  <c r="V92" i="8"/>
  <c r="V90" i="8"/>
  <c r="V88" i="8"/>
  <c r="AG39" i="7"/>
  <c r="AF39" i="7"/>
  <c r="AE39" i="7"/>
  <c r="AD39" i="7"/>
  <c r="AC39" i="7"/>
  <c r="AB39" i="7"/>
  <c r="AA39" i="7"/>
  <c r="Z39" i="7"/>
  <c r="Q39" i="7"/>
  <c r="K39" i="7"/>
  <c r="F39" i="7"/>
  <c r="Y17" i="2" l="1"/>
  <c r="U55" i="8"/>
  <c r="U48" i="8"/>
  <c r="U42" i="8"/>
  <c r="U36" i="8"/>
  <c r="U30" i="8"/>
  <c r="U17" i="8"/>
  <c r="AC30" i="5"/>
  <c r="AC26" i="5"/>
  <c r="AC22" i="5"/>
  <c r="U33" i="8"/>
  <c r="AC31" i="5"/>
  <c r="AC27" i="5"/>
  <c r="AC23" i="5"/>
  <c r="AC74" i="2"/>
  <c r="AC87" i="2" s="1"/>
  <c r="AC101" i="2" s="1"/>
  <c r="AC111" i="2" s="1"/>
  <c r="AC85" i="2"/>
  <c r="AC84" i="2"/>
  <c r="AC96" i="2"/>
  <c r="AC86" i="2"/>
  <c r="AC53" i="2"/>
  <c r="AC57" i="2"/>
  <c r="W36" i="6"/>
  <c r="AC95" i="2"/>
  <c r="AC94" i="2"/>
  <c r="AB31" i="5"/>
  <c r="AB27" i="5"/>
  <c r="AB23" i="5"/>
  <c r="T51" i="8"/>
  <c r="T48" i="8"/>
  <c r="T39" i="8"/>
  <c r="T20" i="8"/>
  <c r="T33" i="8"/>
  <c r="T27" i="8"/>
  <c r="T24" i="8"/>
  <c r="AG72" i="7"/>
  <c r="AG75" i="7" s="1"/>
  <c r="AG51" i="7"/>
  <c r="AG54" i="7" s="1"/>
  <c r="AG88" i="7"/>
  <c r="W15" i="6"/>
  <c r="W25" i="6"/>
  <c r="T17" i="8"/>
  <c r="T60" i="8" s="1"/>
  <c r="T36" i="8"/>
  <c r="W45" i="6"/>
  <c r="W60" i="6" s="1"/>
  <c r="W66" i="6" s="1"/>
  <c r="AG42" i="7"/>
  <c r="T45" i="8"/>
  <c r="T42" i="8"/>
  <c r="T55" i="8"/>
  <c r="T30" i="8"/>
  <c r="T58" i="8"/>
  <c r="V36" i="2"/>
  <c r="V35" i="2"/>
  <c r="F36" i="6"/>
  <c r="J36" i="6"/>
  <c r="K36" i="6"/>
  <c r="L36" i="6"/>
  <c r="M36" i="6"/>
  <c r="N36" i="6"/>
  <c r="O36" i="6"/>
  <c r="P36" i="6"/>
  <c r="Q36" i="6"/>
  <c r="R36" i="6"/>
  <c r="S36" i="6"/>
  <c r="T36" i="6"/>
  <c r="U36" i="6"/>
  <c r="AA112" i="2"/>
  <c r="AA102" i="2"/>
  <c r="AE13" i="7"/>
  <c r="AE22" i="7"/>
  <c r="Z29" i="2"/>
  <c r="Y29" i="2"/>
  <c r="X29" i="2"/>
  <c r="W29" i="2"/>
  <c r="U29" i="2"/>
  <c r="T29" i="2"/>
  <c r="S29" i="2"/>
  <c r="Q29" i="2"/>
  <c r="K29" i="2"/>
  <c r="F29" i="2"/>
  <c r="AA110" i="2"/>
  <c r="Q36" i="8"/>
  <c r="AB72" i="2"/>
  <c r="AB30" i="5"/>
  <c r="AB26" i="5"/>
  <c r="AB22" i="5"/>
  <c r="R18" i="2"/>
  <c r="V12" i="2"/>
  <c r="V17" i="2"/>
  <c r="AA98" i="2"/>
  <c r="AA57" i="2"/>
  <c r="AA53" i="2"/>
  <c r="AE70" i="7"/>
  <c r="AE69" i="7"/>
  <c r="AE68" i="7"/>
  <c r="AE67" i="7"/>
  <c r="AE65" i="7"/>
  <c r="AE64" i="7"/>
  <c r="AE63" i="7"/>
  <c r="AE30" i="7"/>
  <c r="AE27" i="7"/>
  <c r="AE24" i="7"/>
  <c r="AE18" i="7"/>
  <c r="AE16" i="7"/>
  <c r="AB85" i="2"/>
  <c r="AA85" i="2"/>
  <c r="AA84" i="2"/>
  <c r="AA96" i="2"/>
  <c r="AB84" i="2"/>
  <c r="AB96" i="2"/>
  <c r="S91" i="8"/>
  <c r="S89" i="8"/>
  <c r="S87" i="8"/>
  <c r="S85" i="8"/>
  <c r="S83" i="8"/>
  <c r="S81" i="8"/>
  <c r="AA29" i="5"/>
  <c r="AA25" i="5"/>
  <c r="Z22" i="5"/>
  <c r="AA8" i="5"/>
  <c r="AA21" i="5"/>
  <c r="Z26" i="5"/>
  <c r="Z30" i="5"/>
  <c r="AC88" i="7"/>
  <c r="AB88" i="7"/>
  <c r="AC26" i="7"/>
  <c r="AB26" i="7"/>
  <c r="AC19" i="7"/>
  <c r="AB19" i="7"/>
  <c r="AC17" i="7"/>
  <c r="AB17" i="7"/>
  <c r="AC12" i="7"/>
  <c r="AB12" i="7"/>
  <c r="AE26" i="7"/>
  <c r="AE17" i="7"/>
  <c r="Y30" i="5"/>
  <c r="Y26" i="5"/>
  <c r="Y22" i="5"/>
  <c r="Z85" i="2"/>
  <c r="Z84" i="2"/>
  <c r="Z96" i="2"/>
  <c r="X31" i="5"/>
  <c r="X27" i="5"/>
  <c r="X23" i="5"/>
  <c r="X30" i="5"/>
  <c r="X26" i="5"/>
  <c r="X22" i="5"/>
  <c r="R25" i="5"/>
  <c r="D23" i="6"/>
  <c r="C23" i="6"/>
  <c r="F23" i="6"/>
  <c r="E23" i="6"/>
  <c r="J23" i="6"/>
  <c r="I23" i="6"/>
  <c r="H23" i="6"/>
  <c r="G23" i="6"/>
  <c r="M23" i="6"/>
  <c r="L23" i="6"/>
  <c r="K23" i="6"/>
  <c r="Q23" i="6"/>
  <c r="P23" i="6"/>
  <c r="O23" i="6"/>
  <c r="N23" i="6"/>
  <c r="R23" i="6"/>
  <c r="N55" i="8"/>
  <c r="Y99" i="2"/>
  <c r="Y86" i="2"/>
  <c r="Y85" i="2"/>
  <c r="Y84" i="2"/>
  <c r="Y96" i="2"/>
  <c r="V99" i="2"/>
  <c r="V86" i="2"/>
  <c r="W99" i="2"/>
  <c r="W86" i="2"/>
  <c r="X85" i="2"/>
  <c r="X97" i="2"/>
  <c r="X107" i="2"/>
  <c r="X84" i="2"/>
  <c r="U86" i="2"/>
  <c r="AB97" i="2"/>
  <c r="X53" i="2"/>
  <c r="W108" i="2"/>
  <c r="V108" i="2"/>
  <c r="X57" i="2"/>
  <c r="U99" i="2"/>
  <c r="X95" i="2"/>
  <c r="X96" i="2"/>
  <c r="X94" i="2"/>
  <c r="X64" i="2"/>
  <c r="X81" i="2"/>
  <c r="T99" i="2"/>
  <c r="T86" i="2"/>
  <c r="X99" i="2"/>
  <c r="X86" i="2"/>
  <c r="X21" i="2"/>
  <c r="X18" i="2"/>
  <c r="X24" i="2"/>
  <c r="X13" i="2"/>
  <c r="X83" i="2"/>
  <c r="X82" i="2"/>
  <c r="T108" i="2"/>
  <c r="U108" i="2"/>
  <c r="X66" i="2"/>
  <c r="X31" i="2"/>
  <c r="X14" i="2"/>
  <c r="X33" i="2"/>
  <c r="X68" i="2"/>
  <c r="X75" i="2"/>
  <c r="X39" i="2"/>
  <c r="X43" i="2"/>
  <c r="X80" i="2"/>
  <c r="X88" i="2"/>
  <c r="X76" i="2"/>
  <c r="X56" i="2"/>
  <c r="X46" i="2"/>
  <c r="X52" i="2"/>
  <c r="X54" i="2"/>
  <c r="X58" i="2"/>
  <c r="X47" i="2"/>
  <c r="X93" i="2"/>
  <c r="X113" i="2"/>
  <c r="X89" i="2"/>
  <c r="X116" i="2"/>
  <c r="X114" i="2"/>
  <c r="Y30" i="7"/>
  <c r="AA71" i="7"/>
  <c r="AA70" i="7"/>
  <c r="AA69" i="7"/>
  <c r="AA68" i="7"/>
  <c r="AA67" i="7"/>
  <c r="AA66" i="7"/>
  <c r="AA65" i="7"/>
  <c r="AA64" i="7"/>
  <c r="AA63" i="7"/>
  <c r="AA62" i="7"/>
  <c r="AA61" i="7"/>
  <c r="AA59" i="7"/>
  <c r="AA58" i="7"/>
  <c r="AA57" i="7"/>
  <c r="AA50" i="7"/>
  <c r="AA49" i="7"/>
  <c r="AA47" i="7"/>
  <c r="AA46" i="7"/>
  <c r="AA45" i="7"/>
  <c r="AA37" i="7"/>
  <c r="AA36" i="7"/>
  <c r="AA35" i="7"/>
  <c r="AA34" i="7"/>
  <c r="AA33" i="7"/>
  <c r="AA32" i="7"/>
  <c r="AA31" i="7"/>
  <c r="AA27" i="7"/>
  <c r="Y27" i="7" s="1"/>
  <c r="AA26" i="7"/>
  <c r="Y26" i="7" s="1"/>
  <c r="AA25" i="7"/>
  <c r="Y25" i="7" s="1"/>
  <c r="AA24" i="7"/>
  <c r="AA22" i="7"/>
  <c r="AA21" i="7"/>
  <c r="AA20" i="7"/>
  <c r="AA19" i="7"/>
  <c r="AA18" i="7"/>
  <c r="AA17" i="7"/>
  <c r="Y17" i="7" s="1"/>
  <c r="AA16" i="7"/>
  <c r="Y16" i="7" s="1"/>
  <c r="AA15" i="7"/>
  <c r="AA14" i="7"/>
  <c r="AA12" i="7"/>
  <c r="AA11" i="7"/>
  <c r="AA8" i="7"/>
  <c r="AA51" i="7"/>
  <c r="AA72" i="7"/>
  <c r="W71" i="7"/>
  <c r="W70" i="7"/>
  <c r="W69" i="7"/>
  <c r="W68" i="7"/>
  <c r="W67" i="7"/>
  <c r="W66" i="7"/>
  <c r="W65" i="7"/>
  <c r="W64" i="7"/>
  <c r="W63" i="7"/>
  <c r="W62" i="7"/>
  <c r="W61" i="7"/>
  <c r="W59" i="7"/>
  <c r="W58" i="7"/>
  <c r="W57" i="7"/>
  <c r="W40" i="7"/>
  <c r="W50" i="7"/>
  <c r="W49" i="7"/>
  <c r="W47" i="7"/>
  <c r="W46" i="7"/>
  <c r="W45" i="7"/>
  <c r="W37" i="7"/>
  <c r="W36" i="7"/>
  <c r="W35" i="7"/>
  <c r="W34" i="7"/>
  <c r="Y34" i="7" s="1"/>
  <c r="W33" i="7"/>
  <c r="W32" i="7"/>
  <c r="W31" i="7"/>
  <c r="W27" i="7"/>
  <c r="W25" i="7"/>
  <c r="W24" i="7"/>
  <c r="W22" i="7"/>
  <c r="Y22" i="7" s="1"/>
  <c r="W21" i="7"/>
  <c r="W20" i="7"/>
  <c r="W19" i="7"/>
  <c r="W18" i="7"/>
  <c r="W16" i="7"/>
  <c r="W15" i="7"/>
  <c r="W14" i="7"/>
  <c r="W11" i="7"/>
  <c r="W8" i="7"/>
  <c r="W51" i="7"/>
  <c r="W54" i="7" s="1"/>
  <c r="AA75" i="7"/>
  <c r="W72" i="7"/>
  <c r="AA54" i="7"/>
  <c r="W75" i="7"/>
  <c r="U71" i="7"/>
  <c r="U70" i="7"/>
  <c r="U69" i="7"/>
  <c r="U68" i="7"/>
  <c r="U67" i="7"/>
  <c r="U66" i="7"/>
  <c r="U65" i="7"/>
  <c r="U64" i="7"/>
  <c r="U63" i="7"/>
  <c r="U62" i="7"/>
  <c r="U61" i="7"/>
  <c r="U59" i="7"/>
  <c r="U58" i="7"/>
  <c r="U57" i="7"/>
  <c r="U50" i="7"/>
  <c r="U49" i="7"/>
  <c r="U47" i="7"/>
  <c r="U46" i="7"/>
  <c r="U45" i="7"/>
  <c r="X77" i="7"/>
  <c r="X71" i="7"/>
  <c r="X70" i="7"/>
  <c r="X69" i="7"/>
  <c r="X68" i="7"/>
  <c r="X67" i="7"/>
  <c r="X66" i="7"/>
  <c r="X65" i="7"/>
  <c r="X64" i="7"/>
  <c r="X63" i="7"/>
  <c r="X62" i="7"/>
  <c r="X61" i="7"/>
  <c r="X59" i="7"/>
  <c r="X58" i="7"/>
  <c r="X57" i="7"/>
  <c r="X50" i="7"/>
  <c r="X49" i="7"/>
  <c r="X47" i="7"/>
  <c r="X46" i="7"/>
  <c r="X45" i="7"/>
  <c r="X40" i="7"/>
  <c r="X37" i="7"/>
  <c r="X36" i="7"/>
  <c r="X35" i="7"/>
  <c r="X34" i="7"/>
  <c r="X33" i="7"/>
  <c r="X32" i="7"/>
  <c r="X30" i="7"/>
  <c r="X27" i="7"/>
  <c r="X24" i="7"/>
  <c r="X22" i="7"/>
  <c r="X21" i="7"/>
  <c r="X20" i="7"/>
  <c r="X19" i="7"/>
  <c r="X18" i="7"/>
  <c r="X16" i="7"/>
  <c r="X15" i="7"/>
  <c r="X14" i="7"/>
  <c r="X11" i="7"/>
  <c r="U37" i="7"/>
  <c r="U36" i="7"/>
  <c r="U35" i="7"/>
  <c r="U34" i="7"/>
  <c r="U33" i="7"/>
  <c r="U32" i="7"/>
  <c r="U29" i="7"/>
  <c r="U27" i="7"/>
  <c r="U25" i="7"/>
  <c r="U24" i="7"/>
  <c r="U22" i="7"/>
  <c r="U21" i="7"/>
  <c r="U20" i="7"/>
  <c r="U19" i="7"/>
  <c r="Y19" i="7" s="1"/>
  <c r="U18" i="7"/>
  <c r="U16" i="7"/>
  <c r="U15" i="7"/>
  <c r="Y15" i="7" s="1"/>
  <c r="U14" i="7"/>
  <c r="U11" i="7"/>
  <c r="U8" i="7"/>
  <c r="S71" i="7"/>
  <c r="S70" i="7"/>
  <c r="S69" i="7"/>
  <c r="S68" i="7"/>
  <c r="S67" i="7"/>
  <c r="S66" i="7"/>
  <c r="S65" i="7"/>
  <c r="S64" i="7"/>
  <c r="S63" i="7"/>
  <c r="S62" i="7"/>
  <c r="S61" i="7"/>
  <c r="S59" i="7"/>
  <c r="S58" i="7"/>
  <c r="S57" i="7"/>
  <c r="S50" i="7"/>
  <c r="S49" i="7"/>
  <c r="S47" i="7"/>
  <c r="S46" i="7"/>
  <c r="S45" i="7"/>
  <c r="S37" i="7"/>
  <c r="S36" i="7"/>
  <c r="S39" i="7" s="1"/>
  <c r="S42" i="7" s="1"/>
  <c r="S35" i="7"/>
  <c r="Y35" i="7" s="1"/>
  <c r="S34" i="7"/>
  <c r="S33" i="7"/>
  <c r="S32" i="7"/>
  <c r="S51" i="7"/>
  <c r="S54" i="7" s="1"/>
  <c r="Y46" i="7"/>
  <c r="Y59" i="7"/>
  <c r="Y64" i="7"/>
  <c r="Y68" i="7"/>
  <c r="U72" i="7"/>
  <c r="Y61" i="7"/>
  <c r="Y69" i="7"/>
  <c r="Y49" i="7"/>
  <c r="Y57" i="7"/>
  <c r="Y62" i="7"/>
  <c r="Y66" i="7"/>
  <c r="Y70" i="7"/>
  <c r="U51" i="7"/>
  <c r="S72" i="7"/>
  <c r="Y24" i="7"/>
  <c r="Y33" i="7"/>
  <c r="Y47" i="7"/>
  <c r="Y65" i="7"/>
  <c r="Y45" i="7"/>
  <c r="Y50" i="7"/>
  <c r="Y58" i="7"/>
  <c r="Y63" i="7"/>
  <c r="Y67" i="7"/>
  <c r="Y71" i="7"/>
  <c r="AA80" i="7"/>
  <c r="Y72" i="7"/>
  <c r="U75" i="7"/>
  <c r="Y51" i="7"/>
  <c r="U54" i="7"/>
  <c r="S75" i="7"/>
  <c r="Y54" i="7"/>
  <c r="Y75" i="7"/>
  <c r="Y8" i="7"/>
  <c r="Y77" i="7"/>
  <c r="X8" i="7"/>
  <c r="N50" i="8"/>
  <c r="L57" i="8"/>
  <c r="L50" i="8"/>
  <c r="L32" i="8"/>
  <c r="N26" i="8"/>
  <c r="N32" i="8"/>
  <c r="N38" i="8"/>
  <c r="N44" i="8"/>
  <c r="L26" i="8"/>
  <c r="L38" i="8"/>
  <c r="L44" i="8"/>
  <c r="J50" i="8"/>
  <c r="J44" i="8"/>
  <c r="J38" i="8"/>
  <c r="J32" i="8"/>
  <c r="J26" i="8"/>
  <c r="J27" i="8"/>
  <c r="M38" i="8"/>
  <c r="M26" i="8"/>
  <c r="M32" i="8"/>
  <c r="M44" i="8"/>
  <c r="M50" i="8"/>
  <c r="N57" i="8"/>
  <c r="K57" i="8"/>
  <c r="J57" i="8"/>
  <c r="N20" i="8"/>
  <c r="L20" i="8"/>
  <c r="K20" i="8"/>
  <c r="J20" i="8"/>
  <c r="N91" i="8"/>
  <c r="N89" i="8"/>
  <c r="N87" i="8"/>
  <c r="N85" i="8"/>
  <c r="N83" i="8"/>
  <c r="N81" i="8"/>
  <c r="M54" i="8"/>
  <c r="M47" i="8"/>
  <c r="M41" i="8"/>
  <c r="M35" i="8"/>
  <c r="M29" i="8"/>
  <c r="M23" i="8"/>
  <c r="M24" i="8"/>
  <c r="M30" i="8"/>
  <c r="M42" i="8"/>
  <c r="M36" i="8"/>
  <c r="M57" i="8"/>
  <c r="M20" i="8"/>
  <c r="V104" i="2"/>
  <c r="V103" i="2"/>
  <c r="V106" i="2"/>
  <c r="V98" i="2"/>
  <c r="V97" i="2"/>
  <c r="V105" i="2"/>
  <c r="V71" i="2"/>
  <c r="V70" i="2"/>
  <c r="V69" i="2"/>
  <c r="V44" i="2"/>
  <c r="V42" i="2"/>
  <c r="N58" i="8"/>
  <c r="N51" i="8"/>
  <c r="N45" i="8"/>
  <c r="N39" i="8"/>
  <c r="N33" i="8"/>
  <c r="N27" i="8"/>
  <c r="N17" i="8"/>
  <c r="N21" i="8"/>
  <c r="N18" i="8"/>
  <c r="N60" i="8"/>
  <c r="M17" i="8"/>
  <c r="N84" i="8"/>
  <c r="N86" i="8"/>
  <c r="N90" i="8"/>
  <c r="N82" i="8"/>
  <c r="N88" i="8"/>
  <c r="N92" i="8"/>
  <c r="M60" i="8"/>
  <c r="M86" i="8"/>
  <c r="M84" i="8"/>
  <c r="M82" i="8"/>
  <c r="M92" i="8"/>
  <c r="M90" i="8"/>
  <c r="M88" i="8"/>
  <c r="V41" i="2"/>
  <c r="X10" i="2"/>
  <c r="V23" i="2"/>
  <c r="V8" i="2"/>
  <c r="X9" i="2"/>
  <c r="V20" i="2"/>
  <c r="V29" i="2"/>
  <c r="W95" i="2"/>
  <c r="W94" i="2"/>
  <c r="W84" i="2"/>
  <c r="W83" i="2"/>
  <c r="W82" i="2"/>
  <c r="W81" i="2"/>
  <c r="W64" i="2"/>
  <c r="W57" i="2"/>
  <c r="W53" i="2"/>
  <c r="W24" i="2"/>
  <c r="W21" i="2"/>
  <c r="W18" i="2"/>
  <c r="W13" i="2"/>
  <c r="V84" i="2"/>
  <c r="N105" i="8"/>
  <c r="W96" i="2"/>
  <c r="V96" i="2"/>
  <c r="W66" i="2"/>
  <c r="W14" i="2"/>
  <c r="W31" i="2"/>
  <c r="W39" i="2"/>
  <c r="W33" i="2"/>
  <c r="W68" i="2"/>
  <c r="W75" i="2"/>
  <c r="W80" i="2"/>
  <c r="W88" i="2"/>
  <c r="W43" i="2"/>
  <c r="W76" i="2"/>
  <c r="W52" i="2"/>
  <c r="W46" i="2"/>
  <c r="W56" i="2"/>
  <c r="W54" i="2"/>
  <c r="W58" i="2"/>
  <c r="W47" i="2"/>
  <c r="W93" i="2"/>
  <c r="W113" i="2"/>
  <c r="W89" i="2"/>
  <c r="W114" i="2"/>
  <c r="W116" i="2"/>
  <c r="O36" i="8"/>
  <c r="O42" i="8"/>
  <c r="O24" i="8"/>
  <c r="O48" i="8"/>
  <c r="O30" i="8"/>
  <c r="O55" i="8"/>
  <c r="O20" i="8"/>
  <c r="O27" i="8"/>
  <c r="O51" i="8"/>
  <c r="O33" i="8"/>
  <c r="O58" i="8"/>
  <c r="O39" i="8"/>
  <c r="O45" i="8"/>
  <c r="O17" i="8"/>
  <c r="O21" i="8"/>
  <c r="O60" i="8"/>
  <c r="O84" i="8"/>
  <c r="O86" i="8"/>
  <c r="O92" i="8"/>
  <c r="O88" i="8"/>
  <c r="O82" i="8"/>
  <c r="O90" i="8"/>
  <c r="Q104" i="2"/>
  <c r="Q106" i="2"/>
  <c r="P106" i="2"/>
  <c r="P98" i="2"/>
  <c r="P97" i="2"/>
  <c r="P105" i="2"/>
  <c r="P104" i="2"/>
  <c r="P103" i="2"/>
  <c r="P84" i="2"/>
  <c r="P96" i="2"/>
  <c r="P70" i="2"/>
  <c r="P83" i="2"/>
  <c r="P69" i="2"/>
  <c r="P82" i="2"/>
  <c r="P61" i="2"/>
  <c r="P60" i="2"/>
  <c r="P44" i="2"/>
  <c r="P42" i="2"/>
  <c r="R8" i="2"/>
  <c r="R106" i="2"/>
  <c r="R104" i="2"/>
  <c r="R84" i="2"/>
  <c r="R96" i="2"/>
  <c r="R61" i="2"/>
  <c r="R60" i="2"/>
  <c r="R41" i="2"/>
  <c r="W10" i="2"/>
  <c r="P95" i="2"/>
  <c r="R64" i="2"/>
  <c r="R10" i="2"/>
  <c r="P94" i="2"/>
  <c r="V8" i="5"/>
  <c r="L58" i="8"/>
  <c r="L55" i="8"/>
  <c r="L51" i="8"/>
  <c r="L45" i="8"/>
  <c r="L42" i="8"/>
  <c r="L39" i="8"/>
  <c r="L36" i="8"/>
  <c r="L33" i="8"/>
  <c r="L30" i="8"/>
  <c r="L27" i="8"/>
  <c r="L24" i="8"/>
  <c r="L17" i="8"/>
  <c r="K58" i="8"/>
  <c r="K55" i="8"/>
  <c r="K51" i="8"/>
  <c r="K45" i="8"/>
  <c r="K42" i="8"/>
  <c r="K39" i="8"/>
  <c r="K36" i="8"/>
  <c r="K33" i="8"/>
  <c r="K30" i="8"/>
  <c r="K27" i="8"/>
  <c r="K24" i="8"/>
  <c r="K17" i="8"/>
  <c r="J58" i="8"/>
  <c r="J55" i="8"/>
  <c r="J51" i="8"/>
  <c r="J45" i="8"/>
  <c r="J42" i="8"/>
  <c r="J39" i="8"/>
  <c r="J36" i="8"/>
  <c r="J33" i="8"/>
  <c r="J30" i="8"/>
  <c r="J24" i="8"/>
  <c r="J17" i="8"/>
  <c r="K18" i="8"/>
  <c r="L18" i="8"/>
  <c r="J18" i="8"/>
  <c r="O18" i="8"/>
  <c r="L21" i="8"/>
  <c r="L60" i="8"/>
  <c r="K21" i="8"/>
  <c r="K60" i="8"/>
  <c r="J60" i="8"/>
  <c r="J21" i="8"/>
  <c r="K92" i="8"/>
  <c r="K90" i="8"/>
  <c r="K88" i="8"/>
  <c r="K86" i="8"/>
  <c r="K84" i="8"/>
  <c r="K82" i="8"/>
  <c r="L82" i="8"/>
  <c r="L92" i="8"/>
  <c r="L90" i="8"/>
  <c r="L88" i="8"/>
  <c r="L86" i="8"/>
  <c r="L84" i="8"/>
  <c r="J92" i="8"/>
  <c r="J90" i="8"/>
  <c r="J88" i="8"/>
  <c r="J86" i="8"/>
  <c r="J84" i="8"/>
  <c r="J82" i="8"/>
  <c r="V53" i="2"/>
  <c r="V57" i="2"/>
  <c r="U95" i="2"/>
  <c r="U94" i="2"/>
  <c r="U84" i="2"/>
  <c r="U83" i="2"/>
  <c r="U82" i="2"/>
  <c r="U57" i="2"/>
  <c r="U53" i="2"/>
  <c r="T95" i="2"/>
  <c r="T94" i="2"/>
  <c r="T84" i="2"/>
  <c r="T83" i="2"/>
  <c r="T82" i="2"/>
  <c r="T57" i="2"/>
  <c r="T53" i="2"/>
  <c r="S96" i="2"/>
  <c r="S95" i="2"/>
  <c r="S94" i="2"/>
  <c r="S83" i="2"/>
  <c r="S82" i="2"/>
  <c r="S57" i="2"/>
  <c r="S53" i="2"/>
  <c r="T10" i="2"/>
  <c r="T96" i="2"/>
  <c r="U96" i="2"/>
  <c r="U24" i="2"/>
  <c r="S81" i="2"/>
  <c r="T24" i="2"/>
  <c r="T18" i="2"/>
  <c r="T64" i="2"/>
  <c r="U18" i="2"/>
  <c r="T9" i="2"/>
  <c r="U9" i="2"/>
  <c r="T81" i="2"/>
  <c r="U21" i="2"/>
  <c r="U13" i="2"/>
  <c r="U64" i="2"/>
  <c r="U10" i="2"/>
  <c r="U81" i="2"/>
  <c r="S18" i="2"/>
  <c r="S24" i="2"/>
  <c r="S64" i="2"/>
  <c r="S21" i="2"/>
  <c r="T21" i="2"/>
  <c r="T13" i="2"/>
  <c r="S10" i="2"/>
  <c r="L105" i="8"/>
  <c r="K105" i="8"/>
  <c r="U66" i="2"/>
  <c r="U14" i="2"/>
  <c r="T66" i="2"/>
  <c r="S66" i="2"/>
  <c r="S13" i="2"/>
  <c r="U31" i="2"/>
  <c r="T14" i="2"/>
  <c r="T31" i="2"/>
  <c r="J105" i="8"/>
  <c r="S31" i="2"/>
  <c r="U33" i="2"/>
  <c r="S14" i="2"/>
  <c r="U68" i="2"/>
  <c r="U75" i="2"/>
  <c r="U32" i="2"/>
  <c r="U39" i="2"/>
  <c r="T68" i="2"/>
  <c r="T75" i="2"/>
  <c r="T33" i="2"/>
  <c r="T39" i="2"/>
  <c r="U80" i="2"/>
  <c r="U88" i="2"/>
  <c r="U76" i="2"/>
  <c r="T80" i="2"/>
  <c r="T88" i="2"/>
  <c r="S68" i="2"/>
  <c r="S75" i="2"/>
  <c r="S39" i="2"/>
  <c r="S33" i="2"/>
  <c r="T32" i="2"/>
  <c r="U77" i="2"/>
  <c r="T43" i="2"/>
  <c r="U43" i="2"/>
  <c r="T76" i="2"/>
  <c r="X78" i="2"/>
  <c r="T77" i="2"/>
  <c r="T46" i="2"/>
  <c r="S80" i="2"/>
  <c r="S88" i="2"/>
  <c r="S43" i="2"/>
  <c r="S76" i="2"/>
  <c r="T52" i="2"/>
  <c r="U46" i="2"/>
  <c r="U52" i="2"/>
  <c r="U56" i="2"/>
  <c r="T56" i="2"/>
  <c r="T89" i="2"/>
  <c r="S46" i="2"/>
  <c r="V43" i="2"/>
  <c r="U89" i="2"/>
  <c r="U58" i="2"/>
  <c r="U54" i="2"/>
  <c r="T93" i="2"/>
  <c r="T113" i="2"/>
  <c r="T47" i="2"/>
  <c r="U90" i="2"/>
  <c r="U48" i="2"/>
  <c r="T58" i="2"/>
  <c r="T54" i="2"/>
  <c r="S56" i="2"/>
  <c r="S52" i="2"/>
  <c r="U93" i="2"/>
  <c r="U113" i="2"/>
  <c r="U47" i="2"/>
  <c r="S47" i="2"/>
  <c r="X49" i="2"/>
  <c r="X91" i="2"/>
  <c r="T90" i="2"/>
  <c r="T48" i="2"/>
  <c r="S93" i="2"/>
  <c r="S113" i="2"/>
  <c r="S58" i="2"/>
  <c r="S89" i="2"/>
  <c r="S54" i="2"/>
  <c r="U116" i="2"/>
  <c r="T116" i="2"/>
  <c r="T114" i="2"/>
  <c r="U114" i="2"/>
  <c r="U29" i="5"/>
  <c r="U25" i="5"/>
  <c r="U21" i="5"/>
  <c r="W30" i="5"/>
  <c r="Z31" i="5"/>
  <c r="W22" i="5"/>
  <c r="Z23" i="5"/>
  <c r="W26" i="5"/>
  <c r="Z27" i="5"/>
  <c r="S116" i="2"/>
  <c r="S114" i="2"/>
  <c r="U117" i="2"/>
  <c r="X118" i="2"/>
  <c r="T117" i="2"/>
  <c r="C9" i="2"/>
  <c r="D9" i="2"/>
  <c r="E9" i="2"/>
  <c r="T31" i="7"/>
  <c r="U31" i="7"/>
  <c r="R31" i="7"/>
  <c r="R25" i="7"/>
  <c r="X25" i="7"/>
  <c r="S25" i="7"/>
  <c r="S31" i="7"/>
  <c r="X31" i="7"/>
  <c r="T29" i="5"/>
  <c r="Y31" i="5"/>
  <c r="T25" i="5"/>
  <c r="Y27" i="5"/>
  <c r="T21" i="5"/>
  <c r="Y23" i="5"/>
  <c r="T26" i="5"/>
  <c r="U26" i="5"/>
  <c r="U30" i="5"/>
  <c r="U22" i="5"/>
  <c r="Y31" i="7"/>
  <c r="T30" i="5"/>
  <c r="T22" i="5"/>
  <c r="E50" i="8"/>
  <c r="T17" i="7"/>
  <c r="U17" i="7"/>
  <c r="V17" i="7"/>
  <c r="W17" i="7"/>
  <c r="T72" i="7"/>
  <c r="X17" i="7"/>
  <c r="T75" i="7"/>
  <c r="T51" i="7"/>
  <c r="T54" i="7"/>
  <c r="T79" i="7" s="1"/>
  <c r="P15" i="6"/>
  <c r="P25" i="6"/>
  <c r="P45" i="6"/>
  <c r="P56" i="6"/>
  <c r="P58" i="6"/>
  <c r="R26" i="7"/>
  <c r="R12" i="7"/>
  <c r="R29" i="5"/>
  <c r="R21" i="5"/>
  <c r="R72" i="7"/>
  <c r="R51" i="7"/>
  <c r="R54" i="7" s="1"/>
  <c r="R79" i="7" s="1"/>
  <c r="O45" i="6"/>
  <c r="O56" i="6"/>
  <c r="O58" i="6"/>
  <c r="O15" i="6"/>
  <c r="O25" i="6"/>
  <c r="E91" i="8"/>
  <c r="D91" i="8"/>
  <c r="C91" i="8"/>
  <c r="E89" i="8"/>
  <c r="D89" i="8"/>
  <c r="C89" i="8"/>
  <c r="E87" i="8"/>
  <c r="D87" i="8"/>
  <c r="C87" i="8"/>
  <c r="E85" i="8"/>
  <c r="D85" i="8"/>
  <c r="C85" i="8"/>
  <c r="E83" i="8"/>
  <c r="D83" i="8"/>
  <c r="C83" i="8"/>
  <c r="E81" i="8"/>
  <c r="D81" i="8"/>
  <c r="C81" i="8"/>
  <c r="D48" i="8"/>
  <c r="D42" i="8"/>
  <c r="D36" i="8"/>
  <c r="D30" i="8"/>
  <c r="D51" i="8"/>
  <c r="C51" i="8"/>
  <c r="H45" i="8"/>
  <c r="G45" i="8"/>
  <c r="F45" i="8"/>
  <c r="E45" i="8"/>
  <c r="D45" i="8"/>
  <c r="C45" i="8"/>
  <c r="H39" i="8"/>
  <c r="G39" i="8"/>
  <c r="F39" i="8"/>
  <c r="E39" i="8"/>
  <c r="D39" i="8"/>
  <c r="C39" i="8"/>
  <c r="H33" i="8"/>
  <c r="G33" i="8"/>
  <c r="F33" i="8"/>
  <c r="E33" i="8"/>
  <c r="D33" i="8"/>
  <c r="C33" i="8"/>
  <c r="H27" i="8"/>
  <c r="G27" i="8"/>
  <c r="F27" i="8"/>
  <c r="E27" i="8"/>
  <c r="D27" i="8"/>
  <c r="C27" i="8"/>
  <c r="D24" i="8"/>
  <c r="I35" i="8"/>
  <c r="N36" i="8"/>
  <c r="F47" i="8"/>
  <c r="E47" i="8"/>
  <c r="I29" i="8"/>
  <c r="N30" i="8"/>
  <c r="G50" i="8"/>
  <c r="G47" i="8"/>
  <c r="I41" i="8"/>
  <c r="N42" i="8"/>
  <c r="F50" i="8"/>
  <c r="I23" i="8"/>
  <c r="N24" i="8"/>
  <c r="I26" i="8"/>
  <c r="I32" i="8"/>
  <c r="I38" i="8"/>
  <c r="I44" i="8"/>
  <c r="I60" i="8"/>
  <c r="I89" i="8"/>
  <c r="G60" i="8"/>
  <c r="G87" i="8"/>
  <c r="F60" i="8"/>
  <c r="F89" i="8"/>
  <c r="H57" i="8"/>
  <c r="I55" i="8"/>
  <c r="D55" i="8"/>
  <c r="H54" i="8"/>
  <c r="M55" i="8"/>
  <c r="H20" i="8"/>
  <c r="H50" i="8"/>
  <c r="I18" i="8"/>
  <c r="D18" i="8"/>
  <c r="H17" i="8"/>
  <c r="G6" i="5"/>
  <c r="H6" i="5"/>
  <c r="H10" i="5"/>
  <c r="L6" i="5"/>
  <c r="Q6" i="5"/>
  <c r="E8" i="5"/>
  <c r="E10" i="5"/>
  <c r="G8" i="5"/>
  <c r="L8" i="5"/>
  <c r="Q8" i="5"/>
  <c r="C10" i="5"/>
  <c r="D10" i="5"/>
  <c r="F10" i="5"/>
  <c r="I10" i="5"/>
  <c r="J10" i="5"/>
  <c r="K10" i="5"/>
  <c r="M10" i="5"/>
  <c r="N10" i="5"/>
  <c r="O10" i="5"/>
  <c r="P10" i="5"/>
  <c r="D21" i="5"/>
  <c r="E21" i="5"/>
  <c r="F21" i="5"/>
  <c r="H21" i="5"/>
  <c r="I21" i="5"/>
  <c r="J21" i="5"/>
  <c r="K21" i="5"/>
  <c r="M21" i="5"/>
  <c r="N21" i="5"/>
  <c r="S23" i="5"/>
  <c r="O21" i="5"/>
  <c r="P21" i="5"/>
  <c r="U23" i="5"/>
  <c r="D25" i="5"/>
  <c r="E25" i="5"/>
  <c r="F25" i="5"/>
  <c r="K27" i="5"/>
  <c r="H25" i="5"/>
  <c r="H27" i="5"/>
  <c r="I25" i="5"/>
  <c r="J25" i="5"/>
  <c r="K25" i="5"/>
  <c r="M25" i="5"/>
  <c r="N25" i="5"/>
  <c r="S27" i="5"/>
  <c r="O25" i="5"/>
  <c r="P25" i="5"/>
  <c r="E29" i="5"/>
  <c r="F29" i="5"/>
  <c r="H29" i="5"/>
  <c r="I29" i="5"/>
  <c r="J29" i="5"/>
  <c r="K29" i="5"/>
  <c r="M29" i="5"/>
  <c r="N29" i="5"/>
  <c r="S31" i="5"/>
  <c r="O29" i="5"/>
  <c r="T31" i="5"/>
  <c r="P29" i="5"/>
  <c r="Q10" i="2"/>
  <c r="Q70" i="2"/>
  <c r="O83" i="2"/>
  <c r="Q26" i="7"/>
  <c r="P26" i="7"/>
  <c r="M69" i="2"/>
  <c r="P70" i="7"/>
  <c r="P69" i="7"/>
  <c r="P68" i="7"/>
  <c r="P67" i="7"/>
  <c r="P65" i="7"/>
  <c r="P64" i="7"/>
  <c r="P63" i="7"/>
  <c r="P61" i="7"/>
  <c r="P58" i="7"/>
  <c r="P57" i="7"/>
  <c r="P46" i="7"/>
  <c r="P29" i="7"/>
  <c r="P25" i="7"/>
  <c r="P24" i="7"/>
  <c r="P22" i="7"/>
  <c r="P20" i="7"/>
  <c r="P18" i="7"/>
  <c r="P17" i="7"/>
  <c r="P16" i="7"/>
  <c r="P15" i="7"/>
  <c r="P12" i="7"/>
  <c r="Q98" i="2"/>
  <c r="R98" i="2"/>
  <c r="Q97" i="2"/>
  <c r="R97" i="2"/>
  <c r="Q105" i="2"/>
  <c r="R105" i="2"/>
  <c r="O72" i="7"/>
  <c r="O75" i="7"/>
  <c r="O51" i="7"/>
  <c r="O54" i="7"/>
  <c r="O79" i="7" s="1"/>
  <c r="O82" i="7" s="1"/>
  <c r="O39" i="7"/>
  <c r="O42" i="7"/>
  <c r="P77" i="7"/>
  <c r="P66" i="7"/>
  <c r="P71" i="7"/>
  <c r="P59" i="7"/>
  <c r="P62" i="7"/>
  <c r="P50" i="7"/>
  <c r="P49" i="7"/>
  <c r="P47" i="7"/>
  <c r="P45" i="7"/>
  <c r="P37" i="7"/>
  <c r="P36" i="7"/>
  <c r="P35" i="7"/>
  <c r="P34" i="7"/>
  <c r="P33" i="7"/>
  <c r="P32" i="7"/>
  <c r="P30" i="7"/>
  <c r="P31" i="7"/>
  <c r="P27" i="7"/>
  <c r="Q51" i="7"/>
  <c r="Q54" i="7"/>
  <c r="Q79" i="7" s="1"/>
  <c r="Q72" i="7"/>
  <c r="Q75" i="7"/>
  <c r="P21" i="7"/>
  <c r="P19" i="7"/>
  <c r="P14" i="7"/>
  <c r="P11" i="7"/>
  <c r="O94" i="2"/>
  <c r="Q65" i="2"/>
  <c r="O12" i="2"/>
  <c r="O41" i="2"/>
  <c r="P41" i="2"/>
  <c r="Q21" i="2"/>
  <c r="O20" i="2"/>
  <c r="O35" i="2"/>
  <c r="Q18" i="2"/>
  <c r="O17" i="2"/>
  <c r="Q64" i="2"/>
  <c r="O8" i="2"/>
  <c r="Q13" i="2"/>
  <c r="Q14" i="2"/>
  <c r="O23" i="2"/>
  <c r="Q24" i="2"/>
  <c r="O36" i="2"/>
  <c r="P36" i="2"/>
  <c r="P8" i="7"/>
  <c r="N56" i="6"/>
  <c r="N58" i="6"/>
  <c r="N15" i="6"/>
  <c r="N25" i="6"/>
  <c r="O84" i="2"/>
  <c r="O96" i="2"/>
  <c r="O57" i="2"/>
  <c r="P57" i="2"/>
  <c r="O53" i="2"/>
  <c r="P53" i="2"/>
  <c r="N72" i="7"/>
  <c r="N75" i="7"/>
  <c r="N51" i="7"/>
  <c r="N54" i="7" s="1"/>
  <c r="N79" i="7" s="1"/>
  <c r="N39" i="7"/>
  <c r="N42" i="7"/>
  <c r="N95" i="2"/>
  <c r="N94" i="2"/>
  <c r="N84" i="2"/>
  <c r="N96" i="2"/>
  <c r="N83" i="2"/>
  <c r="N82" i="2"/>
  <c r="N53" i="2"/>
  <c r="N57" i="2"/>
  <c r="M45" i="6"/>
  <c r="M56" i="6"/>
  <c r="M58" i="6"/>
  <c r="M15" i="6"/>
  <c r="M25" i="6"/>
  <c r="N21" i="2"/>
  <c r="N81" i="2"/>
  <c r="N29" i="2"/>
  <c r="N18" i="2"/>
  <c r="N24" i="2"/>
  <c r="N10" i="2"/>
  <c r="N9" i="2"/>
  <c r="N64" i="2"/>
  <c r="N66" i="2"/>
  <c r="N13" i="2"/>
  <c r="N14" i="2"/>
  <c r="M94" i="2"/>
  <c r="M84" i="2"/>
  <c r="M96" i="2"/>
  <c r="M57" i="2"/>
  <c r="M53" i="2"/>
  <c r="M83" i="2"/>
  <c r="M13" i="2"/>
  <c r="M21" i="2"/>
  <c r="L56" i="6"/>
  <c r="L58" i="6"/>
  <c r="M9" i="2"/>
  <c r="M10" i="2"/>
  <c r="L45" i="6"/>
  <c r="L15" i="6"/>
  <c r="L25" i="6"/>
  <c r="M18" i="2"/>
  <c r="M29" i="2"/>
  <c r="M24" i="2"/>
  <c r="M64" i="2"/>
  <c r="M66" i="2"/>
  <c r="L103" i="2"/>
  <c r="Q103" i="2"/>
  <c r="R103" i="2"/>
  <c r="M39" i="7"/>
  <c r="M42" i="7"/>
  <c r="M72" i="7"/>
  <c r="M75" i="7"/>
  <c r="M51" i="7"/>
  <c r="M54" i="7" s="1"/>
  <c r="M79" i="7" s="1"/>
  <c r="L53" i="2"/>
  <c r="L21" i="2"/>
  <c r="L10" i="2"/>
  <c r="L9" i="2"/>
  <c r="L18" i="2"/>
  <c r="L24" i="2"/>
  <c r="K56" i="6"/>
  <c r="K58" i="6"/>
  <c r="K45" i="6"/>
  <c r="K15" i="6"/>
  <c r="K25" i="6"/>
  <c r="L95" i="2"/>
  <c r="L94" i="2"/>
  <c r="L84" i="2"/>
  <c r="L96" i="2"/>
  <c r="L83" i="2"/>
  <c r="L82" i="2"/>
  <c r="L81" i="2"/>
  <c r="L64" i="2"/>
  <c r="L66" i="2"/>
  <c r="L57" i="2"/>
  <c r="L29" i="2"/>
  <c r="L13" i="2"/>
  <c r="L14" i="2"/>
  <c r="J12" i="2"/>
  <c r="K104" i="2"/>
  <c r="K103" i="2"/>
  <c r="J82" i="2"/>
  <c r="J36" i="2"/>
  <c r="J35" i="2"/>
  <c r="J17" i="2"/>
  <c r="J80" i="7"/>
  <c r="J67" i="7"/>
  <c r="J71" i="7"/>
  <c r="J77" i="7"/>
  <c r="J70" i="7"/>
  <c r="J69" i="7"/>
  <c r="J68" i="7"/>
  <c r="J66" i="7"/>
  <c r="J65" i="7"/>
  <c r="J64" i="7"/>
  <c r="J63" i="7"/>
  <c r="J62" i="7"/>
  <c r="J57" i="7"/>
  <c r="J46" i="7"/>
  <c r="J31" i="7"/>
  <c r="J25" i="7"/>
  <c r="J24" i="7"/>
  <c r="J20" i="7"/>
  <c r="J18" i="7"/>
  <c r="J17" i="7"/>
  <c r="J16" i="7"/>
  <c r="J15" i="7"/>
  <c r="J12" i="7"/>
  <c r="J59" i="7"/>
  <c r="J58" i="7"/>
  <c r="J50" i="7"/>
  <c r="J49" i="7"/>
  <c r="J47" i="7"/>
  <c r="J45" i="7"/>
  <c r="J34" i="7"/>
  <c r="J33" i="7"/>
  <c r="J32" i="7"/>
  <c r="J30" i="7"/>
  <c r="J26" i="7"/>
  <c r="J22" i="7"/>
  <c r="J21" i="7"/>
  <c r="J19" i="7"/>
  <c r="J14" i="7"/>
  <c r="J56" i="6"/>
  <c r="J58" i="6"/>
  <c r="K51" i="7"/>
  <c r="K54" i="7"/>
  <c r="K42" i="7"/>
  <c r="K72" i="7"/>
  <c r="K75" i="7"/>
  <c r="J61" i="7"/>
  <c r="J45" i="6"/>
  <c r="J15" i="6"/>
  <c r="J25" i="6"/>
  <c r="K95" i="2"/>
  <c r="K65" i="2"/>
  <c r="K71" i="2"/>
  <c r="K84" i="2"/>
  <c r="K96" i="2"/>
  <c r="K21" i="2"/>
  <c r="J20" i="2"/>
  <c r="J21" i="2"/>
  <c r="J23" i="2"/>
  <c r="J81" i="2"/>
  <c r="K24" i="2"/>
  <c r="K10" i="2"/>
  <c r="K18" i="2"/>
  <c r="K94" i="2"/>
  <c r="J9" i="2"/>
  <c r="J14" i="2"/>
  <c r="K13" i="2"/>
  <c r="K14" i="2"/>
  <c r="J95" i="2"/>
  <c r="J94" i="2"/>
  <c r="K83" i="2"/>
  <c r="J83" i="2"/>
  <c r="K82" i="2"/>
  <c r="K81" i="2"/>
  <c r="J71" i="2"/>
  <c r="J84" i="2"/>
  <c r="J96" i="2"/>
  <c r="K64" i="2"/>
  <c r="J64" i="2"/>
  <c r="J66" i="2"/>
  <c r="J57" i="2"/>
  <c r="J53" i="2"/>
  <c r="I82" i="2"/>
  <c r="I81" i="2"/>
  <c r="I29" i="2"/>
  <c r="I24" i="2"/>
  <c r="I21" i="2"/>
  <c r="I18" i="2"/>
  <c r="I13" i="2"/>
  <c r="I14" i="2"/>
  <c r="H9" i="2"/>
  <c r="I9" i="2"/>
  <c r="I36" i="6"/>
  <c r="I45" i="6"/>
  <c r="I15" i="6"/>
  <c r="I25" i="6"/>
  <c r="I56" i="6"/>
  <c r="I58" i="6"/>
  <c r="I95" i="2"/>
  <c r="I94" i="2"/>
  <c r="I84" i="2"/>
  <c r="I96" i="2"/>
  <c r="I83" i="2"/>
  <c r="I64" i="2"/>
  <c r="I66" i="2"/>
  <c r="I57" i="2"/>
  <c r="I53" i="2"/>
  <c r="G37" i="7"/>
  <c r="J37" i="7"/>
  <c r="G35" i="7"/>
  <c r="J35" i="7"/>
  <c r="H57" i="2"/>
  <c r="H53" i="2"/>
  <c r="H24" i="2"/>
  <c r="H21" i="2"/>
  <c r="H18" i="2"/>
  <c r="H29" i="2"/>
  <c r="H13" i="2"/>
  <c r="H14" i="2"/>
  <c r="H95" i="2"/>
  <c r="H94" i="2"/>
  <c r="H84" i="2"/>
  <c r="H96" i="2"/>
  <c r="H83" i="2"/>
  <c r="H82" i="2"/>
  <c r="H81" i="2"/>
  <c r="H64" i="2"/>
  <c r="H66" i="2"/>
  <c r="H56" i="6"/>
  <c r="H58" i="6"/>
  <c r="H36" i="6"/>
  <c r="H45" i="6"/>
  <c r="H15" i="6"/>
  <c r="H25" i="6"/>
  <c r="H72" i="7"/>
  <c r="H75" i="7"/>
  <c r="H51" i="7"/>
  <c r="H54" i="7"/>
  <c r="G33" i="6"/>
  <c r="G36" i="6"/>
  <c r="G45" i="6"/>
  <c r="G36" i="7"/>
  <c r="J36" i="7"/>
  <c r="G53" i="6"/>
  <c r="G56" i="6"/>
  <c r="G58" i="6"/>
  <c r="G13" i="6"/>
  <c r="G15" i="6"/>
  <c r="G25" i="6"/>
  <c r="G41" i="2"/>
  <c r="J41" i="2"/>
  <c r="E84" i="7"/>
  <c r="D84" i="7"/>
  <c r="C84" i="7"/>
  <c r="B84" i="7"/>
  <c r="F72" i="7"/>
  <c r="F75" i="7"/>
  <c r="E72" i="7"/>
  <c r="E75" i="7"/>
  <c r="D72" i="7"/>
  <c r="D75" i="7"/>
  <c r="C72" i="7"/>
  <c r="C75" i="7"/>
  <c r="B72" i="7"/>
  <c r="B75" i="7"/>
  <c r="G51" i="7"/>
  <c r="G54" i="7"/>
  <c r="F51" i="7"/>
  <c r="F54" i="7"/>
  <c r="E51" i="7"/>
  <c r="E54" i="7"/>
  <c r="D51" i="7"/>
  <c r="D54" i="7"/>
  <c r="C51" i="7"/>
  <c r="C54" i="7"/>
  <c r="B51" i="7"/>
  <c r="B54" i="7"/>
  <c r="E39" i="7"/>
  <c r="E42" i="7"/>
  <c r="D39" i="7"/>
  <c r="D42" i="7"/>
  <c r="C39" i="7"/>
  <c r="C42" i="7"/>
  <c r="B39" i="7"/>
  <c r="B42" i="7"/>
  <c r="G72" i="7"/>
  <c r="G75" i="7"/>
  <c r="G95" i="2"/>
  <c r="G94" i="2"/>
  <c r="G84" i="2"/>
  <c r="G96" i="2"/>
  <c r="G83" i="2"/>
  <c r="G82" i="2"/>
  <c r="G57" i="2"/>
  <c r="G53" i="2"/>
  <c r="F21" i="6"/>
  <c r="F22" i="6"/>
  <c r="E61" i="2"/>
  <c r="E57" i="2"/>
  <c r="E58" i="2"/>
  <c r="F56" i="6"/>
  <c r="F58" i="6"/>
  <c r="F13" i="2"/>
  <c r="F14" i="2"/>
  <c r="E53" i="2"/>
  <c r="E54" i="2"/>
  <c r="E12" i="2"/>
  <c r="F45" i="6"/>
  <c r="E83" i="2"/>
  <c r="F95" i="2"/>
  <c r="F94" i="2"/>
  <c r="E94" i="2"/>
  <c r="F81" i="2"/>
  <c r="F71" i="2"/>
  <c r="F84" i="2"/>
  <c r="F96" i="2"/>
  <c r="F83" i="2"/>
  <c r="F82" i="2"/>
  <c r="E71" i="2"/>
  <c r="E84" i="2"/>
  <c r="E96" i="2"/>
  <c r="F15" i="6"/>
  <c r="F64" i="2"/>
  <c r="F66" i="2"/>
  <c r="E64" i="2"/>
  <c r="E66" i="2"/>
  <c r="D57" i="2"/>
  <c r="E41" i="2"/>
  <c r="E36" i="2"/>
  <c r="E35" i="2"/>
  <c r="E17" i="2"/>
  <c r="E20" i="2"/>
  <c r="E21" i="2"/>
  <c r="E23" i="2"/>
  <c r="E81" i="2"/>
  <c r="D29" i="2"/>
  <c r="F24" i="2"/>
  <c r="F21" i="2"/>
  <c r="D21" i="2"/>
  <c r="F18" i="2"/>
  <c r="E14" i="2"/>
  <c r="D94" i="2"/>
  <c r="D71" i="2"/>
  <c r="D84" i="2"/>
  <c r="D96" i="2"/>
  <c r="D64" i="2"/>
  <c r="D66" i="2"/>
  <c r="D53" i="2"/>
  <c r="D24" i="2"/>
  <c r="D18" i="2"/>
  <c r="D95" i="2"/>
  <c r="D83" i="2"/>
  <c r="D82" i="2"/>
  <c r="D56" i="6"/>
  <c r="D58" i="6"/>
  <c r="D36" i="6"/>
  <c r="D45" i="6"/>
  <c r="D15" i="6"/>
  <c r="D25" i="6"/>
  <c r="C95" i="2"/>
  <c r="C83" i="2"/>
  <c r="C94" i="2"/>
  <c r="C82" i="2"/>
  <c r="C71" i="2"/>
  <c r="C84" i="2"/>
  <c r="C96" i="2"/>
  <c r="C53" i="2"/>
  <c r="C57" i="2"/>
  <c r="C81" i="2"/>
  <c r="C29" i="2"/>
  <c r="C21" i="2"/>
  <c r="C64" i="2"/>
  <c r="C66" i="2"/>
  <c r="C18" i="2"/>
  <c r="C24" i="2"/>
  <c r="C13" i="2"/>
  <c r="C14" i="2"/>
  <c r="B66" i="2"/>
  <c r="C56" i="6"/>
  <c r="C58" i="6"/>
  <c r="C36" i="6"/>
  <c r="C45" i="6"/>
  <c r="B94" i="2"/>
  <c r="B95" i="2"/>
  <c r="B53" i="2"/>
  <c r="B24" i="2"/>
  <c r="B21" i="2"/>
  <c r="B84" i="2"/>
  <c r="B96" i="2"/>
  <c r="B82" i="2"/>
  <c r="B57" i="2"/>
  <c r="B13" i="2"/>
  <c r="B14" i="2"/>
  <c r="B83" i="2"/>
  <c r="B29" i="2"/>
  <c r="C15" i="6"/>
  <c r="C25" i="6"/>
  <c r="B18" i="2"/>
  <c r="B81" i="2"/>
  <c r="D81" i="2"/>
  <c r="D13" i="2"/>
  <c r="D14" i="2"/>
  <c r="E36" i="6"/>
  <c r="E45" i="6"/>
  <c r="E15" i="6"/>
  <c r="E25" i="6"/>
  <c r="E56" i="6"/>
  <c r="E58" i="6"/>
  <c r="E82" i="2"/>
  <c r="E95" i="2"/>
  <c r="G9" i="2"/>
  <c r="G64" i="2"/>
  <c r="G66" i="2"/>
  <c r="G21" i="2"/>
  <c r="G13" i="2"/>
  <c r="G14" i="2"/>
  <c r="G29" i="2"/>
  <c r="G18" i="2"/>
  <c r="G81" i="2"/>
  <c r="G24" i="2"/>
  <c r="J11" i="7"/>
  <c r="N45" i="6"/>
  <c r="O82" i="2"/>
  <c r="O95" i="2"/>
  <c r="G10" i="5"/>
  <c r="G89" i="8"/>
  <c r="H47" i="8"/>
  <c r="M48" i="8"/>
  <c r="M18" i="8"/>
  <c r="E24" i="2"/>
  <c r="G25" i="5"/>
  <c r="Q42" i="7"/>
  <c r="K31" i="5"/>
  <c r="G29" i="5"/>
  <c r="H22" i="5"/>
  <c r="K26" i="5"/>
  <c r="O22" i="5"/>
  <c r="O29" i="2"/>
  <c r="S30" i="5"/>
  <c r="W31" i="5"/>
  <c r="V29" i="5"/>
  <c r="AA31" i="5"/>
  <c r="H23" i="5"/>
  <c r="P27" i="5"/>
  <c r="U27" i="5"/>
  <c r="W23" i="5"/>
  <c r="V21" i="5"/>
  <c r="AA23" i="5"/>
  <c r="P31" i="5"/>
  <c r="U31" i="5"/>
  <c r="R31" i="5"/>
  <c r="S26" i="5"/>
  <c r="W27" i="5"/>
  <c r="V25" i="5"/>
  <c r="AA27" i="5"/>
  <c r="P8" i="2"/>
  <c r="I36" i="8"/>
  <c r="L48" i="8"/>
  <c r="K48" i="8"/>
  <c r="I30" i="8"/>
  <c r="I24" i="8"/>
  <c r="I42" i="8"/>
  <c r="J48" i="8"/>
  <c r="R75" i="7"/>
  <c r="Q71" i="2"/>
  <c r="Q84" i="2"/>
  <c r="Q96" i="2"/>
  <c r="R65" i="2"/>
  <c r="R66" i="2"/>
  <c r="Q83" i="2"/>
  <c r="R70" i="2"/>
  <c r="S9" i="2"/>
  <c r="G51" i="8"/>
  <c r="I87" i="8"/>
  <c r="F51" i="8"/>
  <c r="F83" i="8"/>
  <c r="O26" i="5"/>
  <c r="H30" i="5"/>
  <c r="N27" i="5"/>
  <c r="N26" i="5"/>
  <c r="K30" i="5"/>
  <c r="M26" i="5"/>
  <c r="M22" i="5"/>
  <c r="N60" i="6"/>
  <c r="N66" i="6"/>
  <c r="Q66" i="2"/>
  <c r="K66" i="2"/>
  <c r="Q31" i="2"/>
  <c r="G85" i="8"/>
  <c r="I27" i="8"/>
  <c r="G81" i="8"/>
  <c r="I33" i="8"/>
  <c r="F87" i="8"/>
  <c r="J60" i="6"/>
  <c r="J66" i="6"/>
  <c r="N30" i="5"/>
  <c r="O30" i="5"/>
  <c r="I91" i="8"/>
  <c r="J23" i="5"/>
  <c r="L31" i="2"/>
  <c r="N31" i="2"/>
  <c r="M60" i="6"/>
  <c r="M64" i="6"/>
  <c r="R27" i="5"/>
  <c r="P22" i="5"/>
  <c r="C31" i="2"/>
  <c r="C33" i="2"/>
  <c r="M31" i="2"/>
  <c r="O18" i="2"/>
  <c r="I83" i="8"/>
  <c r="J22" i="5"/>
  <c r="I45" i="8"/>
  <c r="Q94" i="2"/>
  <c r="I60" i="6"/>
  <c r="I66" i="6"/>
  <c r="J31" i="5"/>
  <c r="E60" i="6"/>
  <c r="E66" i="6"/>
  <c r="B31" i="2"/>
  <c r="B68" i="2"/>
  <c r="F53" i="2"/>
  <c r="D60" i="6"/>
  <c r="D66" i="6"/>
  <c r="F31" i="2"/>
  <c r="H60" i="6"/>
  <c r="H66" i="6"/>
  <c r="K53" i="2"/>
  <c r="I31" i="2"/>
  <c r="J24" i="2"/>
  <c r="M14" i="2"/>
  <c r="N23" i="5"/>
  <c r="K22" i="5"/>
  <c r="G91" i="8"/>
  <c r="O23" i="5"/>
  <c r="T23" i="5"/>
  <c r="K31" i="2"/>
  <c r="Q53" i="2"/>
  <c r="R53" i="2"/>
  <c r="Q25" i="5"/>
  <c r="R26" i="5"/>
  <c r="T27" i="5"/>
  <c r="T12" i="7"/>
  <c r="O81" i="2"/>
  <c r="F57" i="2"/>
  <c r="F25" i="6"/>
  <c r="Q57" i="2"/>
  <c r="R57" i="2"/>
  <c r="O21" i="2"/>
  <c r="I27" i="5"/>
  <c r="I26" i="5"/>
  <c r="O27" i="5"/>
  <c r="O31" i="5"/>
  <c r="P26" i="5"/>
  <c r="K23" i="5"/>
  <c r="G83" i="8"/>
  <c r="J27" i="5"/>
  <c r="N22" i="5"/>
  <c r="L21" i="5"/>
  <c r="L10" i="5"/>
  <c r="E51" i="8"/>
  <c r="O60" i="6"/>
  <c r="O66" i="6"/>
  <c r="R39" i="7"/>
  <c r="T26" i="7"/>
  <c r="F60" i="6"/>
  <c r="G60" i="6"/>
  <c r="G66" i="6"/>
  <c r="I81" i="8"/>
  <c r="I85" i="8"/>
  <c r="F81" i="8"/>
  <c r="H31" i="5"/>
  <c r="I22" i="5"/>
  <c r="H60" i="8"/>
  <c r="H89" i="8"/>
  <c r="R23" i="5"/>
  <c r="S22" i="5"/>
  <c r="G21" i="5"/>
  <c r="G31" i="2"/>
  <c r="D31" i="2"/>
  <c r="D68" i="2"/>
  <c r="I30" i="5"/>
  <c r="J26" i="5"/>
  <c r="L29" i="5"/>
  <c r="F91" i="8"/>
  <c r="M31" i="5"/>
  <c r="M27" i="5"/>
  <c r="P23" i="5"/>
  <c r="I39" i="8"/>
  <c r="K60" i="6"/>
  <c r="K66" i="6"/>
  <c r="K57" i="2"/>
  <c r="H31" i="2"/>
  <c r="J72" i="7"/>
  <c r="J75" i="7"/>
  <c r="P51" i="7"/>
  <c r="P54" i="7"/>
  <c r="L25" i="5"/>
  <c r="N31" i="5"/>
  <c r="Q10" i="5"/>
  <c r="P60" i="6"/>
  <c r="P66" i="6"/>
  <c r="E18" i="2"/>
  <c r="E29" i="2"/>
  <c r="E31" i="2"/>
  <c r="J18" i="2"/>
  <c r="J29" i="2"/>
  <c r="J31" i="2"/>
  <c r="P72" i="7"/>
  <c r="P75" i="7"/>
  <c r="C60" i="6"/>
  <c r="C66" i="6"/>
  <c r="M82" i="2"/>
  <c r="M95" i="2"/>
  <c r="M81" i="2"/>
  <c r="Q69" i="2"/>
  <c r="R69" i="2"/>
  <c r="K79" i="7"/>
  <c r="L60" i="6"/>
  <c r="L64" i="6"/>
  <c r="O9" i="2"/>
  <c r="O64" i="2"/>
  <c r="O66" i="2"/>
  <c r="O13" i="2"/>
  <c r="O24" i="2"/>
  <c r="O10" i="2"/>
  <c r="H51" i="8"/>
  <c r="I50" i="8"/>
  <c r="J51" i="7"/>
  <c r="J54" i="7"/>
  <c r="I31" i="5"/>
  <c r="J30" i="5"/>
  <c r="Q21" i="5"/>
  <c r="P30" i="5"/>
  <c r="H26" i="5"/>
  <c r="I23" i="5"/>
  <c r="M23" i="5"/>
  <c r="Q29" i="5"/>
  <c r="M30" i="5"/>
  <c r="F85" i="8"/>
  <c r="B80" i="2"/>
  <c r="B75" i="2"/>
  <c r="D80" i="2"/>
  <c r="D88" i="2"/>
  <c r="D89" i="2"/>
  <c r="D75" i="2"/>
  <c r="H33" i="2"/>
  <c r="M39" i="2"/>
  <c r="M43" i="2"/>
  <c r="M52" i="2"/>
  <c r="M54" i="2"/>
  <c r="N39" i="2"/>
  <c r="N43" i="2"/>
  <c r="N46" i="2"/>
  <c r="N47" i="2"/>
  <c r="N33" i="2"/>
  <c r="L68" i="2"/>
  <c r="G68" i="2"/>
  <c r="I47" i="8"/>
  <c r="N48" i="8"/>
  <c r="L31" i="5"/>
  <c r="L27" i="5"/>
  <c r="F66" i="6"/>
  <c r="V27" i="5"/>
  <c r="V23" i="5"/>
  <c r="V31" i="5"/>
  <c r="M66" i="6"/>
  <c r="P10" i="2"/>
  <c r="P9" i="2"/>
  <c r="P64" i="2"/>
  <c r="P66" i="2"/>
  <c r="V26" i="7"/>
  <c r="U26" i="7"/>
  <c r="R42" i="7"/>
  <c r="V12" i="7"/>
  <c r="U12" i="7"/>
  <c r="U39" i="7" s="1"/>
  <c r="U42" i="7" s="1"/>
  <c r="U79" i="7" s="1"/>
  <c r="L66" i="6"/>
  <c r="R94" i="2"/>
  <c r="R83" i="2"/>
  <c r="R95" i="2"/>
  <c r="R82" i="2"/>
  <c r="Q39" i="2"/>
  <c r="Q43" i="2"/>
  <c r="Q52" i="2"/>
  <c r="Q54" i="2"/>
  <c r="Q32" i="2"/>
  <c r="K39" i="2"/>
  <c r="K43" i="2"/>
  <c r="K56" i="2"/>
  <c r="K58" i="2"/>
  <c r="K32" i="2"/>
  <c r="F39" i="2"/>
  <c r="F43" i="2"/>
  <c r="F46" i="2"/>
  <c r="F93" i="2"/>
  <c r="F113" i="2"/>
  <c r="F33" i="2"/>
  <c r="L33" i="2"/>
  <c r="Q68" i="2"/>
  <c r="M32" i="2"/>
  <c r="G39" i="2"/>
  <c r="G43" i="2"/>
  <c r="G56" i="2"/>
  <c r="G58" i="2"/>
  <c r="Q33" i="2"/>
  <c r="M68" i="2"/>
  <c r="M33" i="2"/>
  <c r="C68" i="2"/>
  <c r="B76" i="2"/>
  <c r="N68" i="2"/>
  <c r="B33" i="2"/>
  <c r="F68" i="2"/>
  <c r="K33" i="2"/>
  <c r="K68" i="2"/>
  <c r="C39" i="2"/>
  <c r="C43" i="2"/>
  <c r="C56" i="2"/>
  <c r="C58" i="2"/>
  <c r="N32" i="2"/>
  <c r="H87" i="8"/>
  <c r="H91" i="8"/>
  <c r="L39" i="2"/>
  <c r="L43" i="2"/>
  <c r="L56" i="2"/>
  <c r="L58" i="2"/>
  <c r="I68" i="2"/>
  <c r="L32" i="2"/>
  <c r="H83" i="8"/>
  <c r="I39" i="2"/>
  <c r="I43" i="2"/>
  <c r="I52" i="2"/>
  <c r="I54" i="2"/>
  <c r="I33" i="2"/>
  <c r="C32" i="2"/>
  <c r="B39" i="2"/>
  <c r="B43" i="2"/>
  <c r="B46" i="2"/>
  <c r="L23" i="5"/>
  <c r="T39" i="7"/>
  <c r="T42" i="7"/>
  <c r="D39" i="2"/>
  <c r="D43" i="2"/>
  <c r="D32" i="2"/>
  <c r="Q27" i="5"/>
  <c r="H39" i="2"/>
  <c r="H43" i="2"/>
  <c r="H52" i="2"/>
  <c r="H54" i="2"/>
  <c r="G33" i="2"/>
  <c r="D33" i="2"/>
  <c r="H68" i="2"/>
  <c r="H81" i="8"/>
  <c r="H85" i="8"/>
  <c r="Q81" i="2"/>
  <c r="Q82" i="2"/>
  <c r="Q95" i="2"/>
  <c r="R22" i="5"/>
  <c r="Q23" i="5"/>
  <c r="E39" i="2"/>
  <c r="E43" i="2"/>
  <c r="E46" i="2"/>
  <c r="E33" i="2"/>
  <c r="E32" i="2"/>
  <c r="E68" i="2"/>
  <c r="O14" i="2"/>
  <c r="O31" i="2"/>
  <c r="R30" i="5"/>
  <c r="Q31" i="5"/>
  <c r="J33" i="2"/>
  <c r="J68" i="2"/>
  <c r="J39" i="2"/>
  <c r="J43" i="2"/>
  <c r="I80" i="2"/>
  <c r="I88" i="2"/>
  <c r="I75" i="2"/>
  <c r="C80" i="2"/>
  <c r="C75" i="2"/>
  <c r="C77" i="2"/>
  <c r="H80" i="2"/>
  <c r="H88" i="2"/>
  <c r="H89" i="2"/>
  <c r="H75" i="2"/>
  <c r="F80" i="2"/>
  <c r="F88" i="2"/>
  <c r="F89" i="2"/>
  <c r="F75" i="2"/>
  <c r="F76" i="2"/>
  <c r="B88" i="2"/>
  <c r="B89" i="2"/>
  <c r="N80" i="2"/>
  <c r="N88" i="2"/>
  <c r="N89" i="2"/>
  <c r="N75" i="2"/>
  <c r="Q80" i="2"/>
  <c r="Q88" i="2"/>
  <c r="Q75" i="2"/>
  <c r="Q76" i="2"/>
  <c r="J80" i="2"/>
  <c r="J88" i="2"/>
  <c r="J89" i="2"/>
  <c r="J75" i="2"/>
  <c r="E80" i="2"/>
  <c r="E75" i="2"/>
  <c r="E76" i="2"/>
  <c r="K80" i="2"/>
  <c r="K88" i="2"/>
  <c r="K89" i="2"/>
  <c r="K75" i="2"/>
  <c r="K76" i="2"/>
  <c r="M80" i="2"/>
  <c r="M88" i="2"/>
  <c r="T91" i="2"/>
  <c r="M75" i="2"/>
  <c r="M76" i="2"/>
  <c r="G80" i="2"/>
  <c r="G75" i="2"/>
  <c r="L80" i="2"/>
  <c r="L88" i="2"/>
  <c r="M90" i="2"/>
  <c r="L75" i="2"/>
  <c r="S78" i="2"/>
  <c r="N52" i="2"/>
  <c r="N54" i="2"/>
  <c r="M56" i="2"/>
  <c r="M58" i="2"/>
  <c r="M46" i="2"/>
  <c r="M47" i="2"/>
  <c r="U49" i="2"/>
  <c r="N56" i="2"/>
  <c r="N58" i="2"/>
  <c r="I51" i="8"/>
  <c r="N93" i="2"/>
  <c r="I48" i="8"/>
  <c r="S32" i="2"/>
  <c r="Q46" i="2"/>
  <c r="Q47" i="2"/>
  <c r="Q56" i="2"/>
  <c r="Q58" i="2"/>
  <c r="W12" i="7"/>
  <c r="Y12" i="7"/>
  <c r="X12" i="7"/>
  <c r="W26" i="7"/>
  <c r="X26" i="7"/>
  <c r="K52" i="2"/>
  <c r="K54" i="2"/>
  <c r="K46" i="2"/>
  <c r="K47" i="2"/>
  <c r="F8" i="7"/>
  <c r="F42" i="7"/>
  <c r="F79" i="7" s="1"/>
  <c r="F82" i="7" s="1"/>
  <c r="F47" i="2"/>
  <c r="C52" i="2"/>
  <c r="C54" i="2"/>
  <c r="G52" i="2"/>
  <c r="G54" i="2"/>
  <c r="B56" i="2"/>
  <c r="B58" i="2"/>
  <c r="D76" i="2"/>
  <c r="B52" i="2"/>
  <c r="B54" i="2"/>
  <c r="L52" i="2"/>
  <c r="L54" i="2"/>
  <c r="L46" i="2"/>
  <c r="G46" i="2"/>
  <c r="G47" i="2"/>
  <c r="C46" i="2"/>
  <c r="C47" i="2"/>
  <c r="H46" i="2"/>
  <c r="H8" i="7"/>
  <c r="H39" i="7" s="1"/>
  <c r="H42" i="7" s="1"/>
  <c r="H79" i="7" s="1"/>
  <c r="I46" i="2"/>
  <c r="I93" i="2"/>
  <c r="I113" i="2"/>
  <c r="I56" i="2"/>
  <c r="I58" i="2"/>
  <c r="H56" i="2"/>
  <c r="H58" i="2"/>
  <c r="D56" i="2"/>
  <c r="D58" i="2"/>
  <c r="D52" i="2"/>
  <c r="D54" i="2"/>
  <c r="D46" i="2"/>
  <c r="O39" i="2"/>
  <c r="O43" i="2"/>
  <c r="O68" i="2"/>
  <c r="O33" i="2"/>
  <c r="O32" i="2"/>
  <c r="J56" i="2"/>
  <c r="J58" i="2"/>
  <c r="J46" i="2"/>
  <c r="J52" i="2"/>
  <c r="J54" i="2"/>
  <c r="F114" i="2"/>
  <c r="F116" i="2"/>
  <c r="E93" i="2"/>
  <c r="E113" i="2"/>
  <c r="E47" i="2"/>
  <c r="B47" i="2"/>
  <c r="B93" i="2"/>
  <c r="B113" i="2"/>
  <c r="E77" i="2"/>
  <c r="L77" i="2"/>
  <c r="L78" i="2"/>
  <c r="L76" i="2"/>
  <c r="C76" i="2"/>
  <c r="N90" i="2"/>
  <c r="N113" i="2"/>
  <c r="N116" i="2"/>
  <c r="N78" i="2"/>
  <c r="M89" i="2"/>
  <c r="J90" i="2"/>
  <c r="U78" i="2"/>
  <c r="G76" i="2"/>
  <c r="Q78" i="2"/>
  <c r="N76" i="2"/>
  <c r="N77" i="2"/>
  <c r="H77" i="2"/>
  <c r="G77" i="2"/>
  <c r="D77" i="2"/>
  <c r="K78" i="2"/>
  <c r="J76" i="2"/>
  <c r="M77" i="2"/>
  <c r="J77" i="2"/>
  <c r="U91" i="2"/>
  <c r="N91" i="2"/>
  <c r="S91" i="2"/>
  <c r="L89" i="2"/>
  <c r="I89" i="2"/>
  <c r="G88" i="2"/>
  <c r="G89" i="2"/>
  <c r="H76" i="2"/>
  <c r="E88" i="2"/>
  <c r="M78" i="2"/>
  <c r="T78" i="2"/>
  <c r="L90" i="2"/>
  <c r="C88" i="2"/>
  <c r="O80" i="2"/>
  <c r="O88" i="2"/>
  <c r="O89" i="2"/>
  <c r="O75" i="2"/>
  <c r="S77" i="2"/>
  <c r="I77" i="2"/>
  <c r="I76" i="2"/>
  <c r="N48" i="2"/>
  <c r="M93" i="2"/>
  <c r="T49" i="2"/>
  <c r="M91" i="2"/>
  <c r="K91" i="2"/>
  <c r="I90" i="2"/>
  <c r="Q93" i="2"/>
  <c r="Q113" i="2"/>
  <c r="Q49" i="2"/>
  <c r="G93" i="2"/>
  <c r="G113" i="2"/>
  <c r="K49" i="2"/>
  <c r="K93" i="2"/>
  <c r="K113" i="2"/>
  <c r="H47" i="2"/>
  <c r="G8" i="7"/>
  <c r="G39" i="7"/>
  <c r="G42" i="7"/>
  <c r="G79" i="7" s="1"/>
  <c r="L49" i="2"/>
  <c r="L93" i="2"/>
  <c r="L113" i="2"/>
  <c r="S49" i="2"/>
  <c r="Q91" i="2"/>
  <c r="N49" i="2"/>
  <c r="L47" i="2"/>
  <c r="I47" i="2"/>
  <c r="M48" i="2"/>
  <c r="L48" i="2"/>
  <c r="C48" i="2"/>
  <c r="C93" i="2"/>
  <c r="C113" i="2"/>
  <c r="F52" i="2"/>
  <c r="F54" i="2"/>
  <c r="M49" i="2"/>
  <c r="H93" i="2"/>
  <c r="H113" i="2"/>
  <c r="E48" i="2"/>
  <c r="Q89" i="2"/>
  <c r="F56" i="2"/>
  <c r="F58" i="2"/>
  <c r="D47" i="2"/>
  <c r="D48" i="2"/>
  <c r="D93" i="2"/>
  <c r="D113" i="2"/>
  <c r="E114" i="2"/>
  <c r="E116" i="2"/>
  <c r="B114" i="2"/>
  <c r="B116" i="2"/>
  <c r="O52" i="2"/>
  <c r="O54" i="2"/>
  <c r="O46" i="2"/>
  <c r="O56" i="2"/>
  <c r="O58" i="2"/>
  <c r="I8" i="7"/>
  <c r="J93" i="2"/>
  <c r="J113" i="2"/>
  <c r="J47" i="2"/>
  <c r="N114" i="2"/>
  <c r="M113" i="2"/>
  <c r="M114" i="2"/>
  <c r="O77" i="2"/>
  <c r="M116" i="2"/>
  <c r="T118" i="2"/>
  <c r="S90" i="2"/>
  <c r="O90" i="2"/>
  <c r="O91" i="2"/>
  <c r="H90" i="2"/>
  <c r="E90" i="2"/>
  <c r="E89" i="2"/>
  <c r="G90" i="2"/>
  <c r="O78" i="2"/>
  <c r="C89" i="2"/>
  <c r="D90" i="2"/>
  <c r="C90" i="2"/>
  <c r="O76" i="2"/>
  <c r="L91" i="2"/>
  <c r="Q114" i="2"/>
  <c r="L116" i="2"/>
  <c r="H116" i="2"/>
  <c r="G116" i="2"/>
  <c r="C116" i="2"/>
  <c r="C117" i="2"/>
  <c r="K114" i="2"/>
  <c r="S48" i="2"/>
  <c r="D114" i="2"/>
  <c r="D116" i="2"/>
  <c r="E117" i="2"/>
  <c r="I114" i="2"/>
  <c r="I116" i="2"/>
  <c r="N118" i="2"/>
  <c r="O48" i="2"/>
  <c r="O47" i="2"/>
  <c r="O49" i="2"/>
  <c r="O93" i="2"/>
  <c r="O113" i="2"/>
  <c r="J8" i="7"/>
  <c r="N117" i="2"/>
  <c r="M118" i="2"/>
  <c r="Q116" i="2"/>
  <c r="S118" i="2"/>
  <c r="M117" i="2"/>
  <c r="H114" i="2"/>
  <c r="C114" i="2"/>
  <c r="L118" i="2"/>
  <c r="G114" i="2"/>
  <c r="K116" i="2"/>
  <c r="L114" i="2"/>
  <c r="D117" i="2"/>
  <c r="J116" i="2"/>
  <c r="L117" i="2"/>
  <c r="J114" i="2"/>
  <c r="O114" i="2"/>
  <c r="O116" i="2"/>
  <c r="Q118" i="2"/>
  <c r="S117" i="2"/>
  <c r="U118" i="2"/>
  <c r="O117" i="2"/>
  <c r="O118" i="2"/>
  <c r="V72" i="7"/>
  <c r="V75" i="7"/>
  <c r="V51" i="7"/>
  <c r="V54" i="7"/>
  <c r="V79" i="7" s="1"/>
  <c r="Q45" i="6"/>
  <c r="V39" i="7"/>
  <c r="V42" i="7"/>
  <c r="Q15" i="6"/>
  <c r="Q25" i="6"/>
  <c r="Q56" i="6"/>
  <c r="Q58" i="6"/>
  <c r="Q60" i="6"/>
  <c r="Q66" i="6"/>
  <c r="M45" i="8"/>
  <c r="M58" i="8"/>
  <c r="M51" i="8"/>
  <c r="M33" i="8"/>
  <c r="M39" i="8"/>
  <c r="M27" i="8"/>
  <c r="M21" i="8"/>
  <c r="P21" i="2"/>
  <c r="P81" i="2"/>
  <c r="P24" i="2"/>
  <c r="P29" i="2"/>
  <c r="P18" i="2"/>
  <c r="R21" i="2"/>
  <c r="R24" i="2"/>
  <c r="R81" i="2"/>
  <c r="P13" i="2"/>
  <c r="P31" i="2"/>
  <c r="P14" i="2"/>
  <c r="P32" i="2"/>
  <c r="P33" i="2"/>
  <c r="P39" i="2"/>
  <c r="P43" i="2"/>
  <c r="P68" i="2"/>
  <c r="R13" i="2"/>
  <c r="R14" i="2" s="1"/>
  <c r="P80" i="2"/>
  <c r="P88" i="2"/>
  <c r="P90" i="2"/>
  <c r="P75" i="2"/>
  <c r="P76" i="2"/>
  <c r="P56" i="2"/>
  <c r="P58" i="2"/>
  <c r="P46" i="2"/>
  <c r="P52" i="2"/>
  <c r="P54" i="2"/>
  <c r="P78" i="2"/>
  <c r="P77" i="2"/>
  <c r="P91" i="2"/>
  <c r="P89" i="2"/>
  <c r="P49" i="2"/>
  <c r="P48" i="2"/>
  <c r="P93" i="2"/>
  <c r="P113" i="2"/>
  <c r="P47" i="2"/>
  <c r="P116" i="2"/>
  <c r="P114" i="2"/>
  <c r="P118" i="2"/>
  <c r="P117" i="2"/>
  <c r="V82" i="2"/>
  <c r="V95" i="2"/>
  <c r="V64" i="2"/>
  <c r="V13" i="2"/>
  <c r="V9" i="2"/>
  <c r="V10" i="2"/>
  <c r="V18" i="2"/>
  <c r="V21" i="2"/>
  <c r="V81" i="2"/>
  <c r="V24" i="2"/>
  <c r="M105" i="8"/>
  <c r="V66" i="2"/>
  <c r="V31" i="2"/>
  <c r="V14" i="2"/>
  <c r="X32" i="2"/>
  <c r="V33" i="2"/>
  <c r="V39" i="2"/>
  <c r="V68" i="2"/>
  <c r="V75" i="2"/>
  <c r="V32" i="2"/>
  <c r="V52" i="2"/>
  <c r="V46" i="2"/>
  <c r="V56" i="2"/>
  <c r="X77" i="2"/>
  <c r="X48" i="2"/>
  <c r="V58" i="2"/>
  <c r="V80" i="2"/>
  <c r="V54" i="2"/>
  <c r="V47" i="2"/>
  <c r="V49" i="2"/>
  <c r="V48" i="2"/>
  <c r="V93" i="2"/>
  <c r="V94" i="2"/>
  <c r="V113" i="2"/>
  <c r="V116" i="2"/>
  <c r="V83" i="2"/>
  <c r="V88" i="2"/>
  <c r="V76" i="2"/>
  <c r="V77" i="2"/>
  <c r="V78" i="2"/>
  <c r="X90" i="2"/>
  <c r="V91" i="2"/>
  <c r="V90" i="2"/>
  <c r="V114" i="2"/>
  <c r="V89" i="2"/>
  <c r="V118" i="2"/>
  <c r="V117" i="2"/>
  <c r="X117" i="2"/>
  <c r="R45" i="6"/>
  <c r="R15" i="6"/>
  <c r="R25" i="6"/>
  <c r="R56" i="6"/>
  <c r="R58" i="6"/>
  <c r="R60" i="6"/>
  <c r="R66" i="6"/>
  <c r="X72" i="7"/>
  <c r="Z72" i="7"/>
  <c r="Z75" i="7"/>
  <c r="X75" i="7"/>
  <c r="Z51" i="7"/>
  <c r="X51" i="7"/>
  <c r="X54" i="7" s="1"/>
  <c r="Z54" i="7"/>
  <c r="Z42" i="7"/>
  <c r="S15" i="6"/>
  <c r="S25" i="6"/>
  <c r="S45" i="6"/>
  <c r="S56" i="6"/>
  <c r="S58" i="6"/>
  <c r="S60" i="6"/>
  <c r="S66" i="6"/>
  <c r="P48" i="8"/>
  <c r="P42" i="8"/>
  <c r="P36" i="8"/>
  <c r="P30" i="8"/>
  <c r="P55" i="8"/>
  <c r="P24" i="8"/>
  <c r="P17" i="8"/>
  <c r="P18" i="8"/>
  <c r="P60" i="8"/>
  <c r="P86" i="8"/>
  <c r="P92" i="8"/>
  <c r="P84" i="8"/>
  <c r="P90" i="8"/>
  <c r="P82" i="8"/>
  <c r="P88" i="8"/>
  <c r="P45" i="8"/>
  <c r="P58" i="8"/>
  <c r="P51" i="8"/>
  <c r="P27" i="8"/>
  <c r="P33" i="8"/>
  <c r="P39" i="8"/>
  <c r="P20" i="8"/>
  <c r="P21" i="8"/>
  <c r="T15" i="6"/>
  <c r="T25" i="6"/>
  <c r="T45" i="6"/>
  <c r="T56" i="6"/>
  <c r="T58" i="6"/>
  <c r="T60" i="6"/>
  <c r="T66" i="6"/>
  <c r="AB72" i="7"/>
  <c r="AB75" i="7"/>
  <c r="AB51" i="7"/>
  <c r="AB54" i="7"/>
  <c r="AB79" i="7" s="1"/>
  <c r="AB42" i="7"/>
  <c r="AC72" i="7"/>
  <c r="AC75" i="7"/>
  <c r="Y57" i="2"/>
  <c r="Y53" i="2"/>
  <c r="Y95" i="2"/>
  <c r="Y82" i="2"/>
  <c r="Y83" i="2"/>
  <c r="Y94" i="2"/>
  <c r="Y18" i="2"/>
  <c r="Y81" i="2"/>
  <c r="Y24" i="2"/>
  <c r="Y21" i="2"/>
  <c r="Y64" i="2"/>
  <c r="Y66" i="2"/>
  <c r="Y9" i="2"/>
  <c r="Y13" i="2"/>
  <c r="Y10" i="2"/>
  <c r="P105" i="8"/>
  <c r="Y31" i="2"/>
  <c r="Y33" i="2"/>
  <c r="Y14" i="2"/>
  <c r="Y32" i="2"/>
  <c r="Y39" i="2"/>
  <c r="Y43" i="2"/>
  <c r="Y68" i="2"/>
  <c r="Y80" i="2"/>
  <c r="Y88" i="2"/>
  <c r="Y75" i="2"/>
  <c r="Y52" i="2"/>
  <c r="Y54" i="2"/>
  <c r="Y46" i="2"/>
  <c r="Y56" i="2"/>
  <c r="Y58" i="2"/>
  <c r="Y77" i="2"/>
  <c r="Y90" i="2"/>
  <c r="Y76" i="2"/>
  <c r="Y89" i="2"/>
  <c r="Y91" i="2"/>
  <c r="Y78" i="2"/>
  <c r="Y48" i="2"/>
  <c r="Y49" i="2"/>
  <c r="Y47" i="2"/>
  <c r="Y93" i="2"/>
  <c r="Y113" i="2"/>
  <c r="Y114" i="2"/>
  <c r="Y116" i="2"/>
  <c r="Y118" i="2" s="1"/>
  <c r="Y117" i="2"/>
  <c r="AC51" i="7"/>
  <c r="AC54" i="7" s="1"/>
  <c r="AC42" i="7"/>
  <c r="AA108" i="2"/>
  <c r="Q42" i="8"/>
  <c r="Q48" i="8"/>
  <c r="Q30" i="8"/>
  <c r="Q55" i="8"/>
  <c r="Q24" i="8"/>
  <c r="Q17" i="8"/>
  <c r="Q18" i="8"/>
  <c r="Q60" i="8"/>
  <c r="Q82" i="8"/>
  <c r="Q90" i="8"/>
  <c r="Q84" i="8"/>
  <c r="Q92" i="8"/>
  <c r="Q86" i="8"/>
  <c r="Q88" i="8"/>
  <c r="Q58" i="8"/>
  <c r="Q45" i="8"/>
  <c r="Q27" i="8"/>
  <c r="Q33" i="8"/>
  <c r="Q51" i="8"/>
  <c r="Q20" i="8"/>
  <c r="Q21" i="8"/>
  <c r="Q39" i="8"/>
  <c r="Z53" i="2"/>
  <c r="Z57" i="2"/>
  <c r="U15" i="6"/>
  <c r="AD72" i="7"/>
  <c r="AD75" i="7"/>
  <c r="Z21" i="2"/>
  <c r="Z24" i="2"/>
  <c r="Z10" i="2"/>
  <c r="Z64" i="2"/>
  <c r="Z66" i="2"/>
  <c r="Z9" i="2"/>
  <c r="Z13" i="2"/>
  <c r="Z18" i="2"/>
  <c r="Z31" i="2"/>
  <c r="Z14" i="2"/>
  <c r="Q105" i="8"/>
  <c r="Z68" i="2"/>
  <c r="Z33" i="2"/>
  <c r="Z32" i="2"/>
  <c r="Z80" i="2"/>
  <c r="Z75" i="2"/>
  <c r="Z76" i="2" s="1"/>
  <c r="AD88" i="7"/>
  <c r="Z95" i="2"/>
  <c r="Z82" i="2"/>
  <c r="Z81" i="2"/>
  <c r="Z94" i="2"/>
  <c r="Z83" i="2"/>
  <c r="Z77" i="2"/>
  <c r="AD51" i="7"/>
  <c r="AD54" i="7"/>
  <c r="U25" i="6"/>
  <c r="U45" i="6"/>
  <c r="Z39" i="2"/>
  <c r="Z43" i="2"/>
  <c r="Z56" i="2"/>
  <c r="Z58" i="2"/>
  <c r="Z52" i="2"/>
  <c r="Z54" i="2"/>
  <c r="Z46" i="2"/>
  <c r="Z93" i="2"/>
  <c r="Z48" i="2"/>
  <c r="Z47" i="2"/>
  <c r="Z49" i="2"/>
  <c r="U56" i="6"/>
  <c r="U58" i="6"/>
  <c r="U60" i="6"/>
  <c r="U66" i="6"/>
  <c r="AD42" i="7"/>
  <c r="AE57" i="7"/>
  <c r="AE12" i="7"/>
  <c r="S30" i="8"/>
  <c r="R29" i="8"/>
  <c r="R30" i="8"/>
  <c r="S48" i="8"/>
  <c r="R47" i="8"/>
  <c r="R48" i="8"/>
  <c r="S24" i="8"/>
  <c r="R23" i="8"/>
  <c r="S17" i="8"/>
  <c r="S60" i="8"/>
  <c r="R41" i="8"/>
  <c r="R42" i="8"/>
  <c r="S42" i="8"/>
  <c r="S36" i="8"/>
  <c r="R35" i="8"/>
  <c r="R36" i="8"/>
  <c r="R54" i="8"/>
  <c r="S55" i="8"/>
  <c r="S84" i="8"/>
  <c r="S82" i="8"/>
  <c r="S86" i="8"/>
  <c r="S92" i="8"/>
  <c r="S90" i="8"/>
  <c r="S88" i="8"/>
  <c r="S18" i="8"/>
  <c r="R55" i="8"/>
  <c r="R24" i="8"/>
  <c r="R17" i="8"/>
  <c r="R18" i="8"/>
  <c r="R60" i="8"/>
  <c r="R82" i="8"/>
  <c r="R84" i="8"/>
  <c r="R88" i="8"/>
  <c r="R92" i="8"/>
  <c r="R90" i="8"/>
  <c r="R86" i="8"/>
  <c r="R57" i="8"/>
  <c r="R58" i="8"/>
  <c r="S58" i="8"/>
  <c r="S51" i="8"/>
  <c r="R50" i="8"/>
  <c r="R51" i="8"/>
  <c r="R44" i="8"/>
  <c r="R45" i="8"/>
  <c r="S45" i="8"/>
  <c r="S39" i="8"/>
  <c r="R38" i="8"/>
  <c r="R39" i="8"/>
  <c r="R32" i="8"/>
  <c r="R33" i="8"/>
  <c r="S33" i="8"/>
  <c r="S20" i="8"/>
  <c r="R26" i="8"/>
  <c r="S27" i="8"/>
  <c r="R20" i="8"/>
  <c r="R21" i="8"/>
  <c r="R27" i="8"/>
  <c r="S21" i="8"/>
  <c r="AA111" i="2"/>
  <c r="AB107" i="2"/>
  <c r="AA41" i="2"/>
  <c r="AA35" i="2"/>
  <c r="V56" i="6"/>
  <c r="V58" i="6"/>
  <c r="AA20" i="2"/>
  <c r="AB21" i="2"/>
  <c r="AB18" i="2"/>
  <c r="AA17" i="2"/>
  <c r="AB64" i="2"/>
  <c r="AB66" i="2"/>
  <c r="AB10" i="2"/>
  <c r="AA8" i="2"/>
  <c r="AC9" i="2"/>
  <c r="AA12" i="2"/>
  <c r="AB13" i="2"/>
  <c r="S105" i="8" s="1"/>
  <c r="AA18" i="2"/>
  <c r="AA64" i="2"/>
  <c r="AA66" i="2"/>
  <c r="AA9" i="2"/>
  <c r="AA13" i="2"/>
  <c r="AA10" i="2"/>
  <c r="AF88" i="7"/>
  <c r="AE88" i="7"/>
  <c r="AA21" i="2"/>
  <c r="AA14" i="2"/>
  <c r="R105" i="8"/>
  <c r="AA70" i="2"/>
  <c r="AB94" i="2"/>
  <c r="AB83" i="2"/>
  <c r="AA94" i="2"/>
  <c r="AA83" i="2"/>
  <c r="V36" i="6"/>
  <c r="V45" i="6"/>
  <c r="V60" i="6"/>
  <c r="V15" i="6"/>
  <c r="V25" i="6"/>
  <c r="V66" i="6"/>
  <c r="AA26" i="2"/>
  <c r="AB27" i="2"/>
  <c r="AA27" i="2"/>
  <c r="AB95" i="2"/>
  <c r="AA69" i="2"/>
  <c r="AB82" i="2"/>
  <c r="AA82" i="2"/>
  <c r="AA95" i="2"/>
  <c r="AA42" i="2"/>
  <c r="AA36" i="2"/>
  <c r="AA23" i="2"/>
  <c r="AB24" i="2"/>
  <c r="AB81" i="2"/>
  <c r="AB29" i="2"/>
  <c r="AA24" i="2"/>
  <c r="AA81" i="2"/>
  <c r="AA29" i="2"/>
  <c r="AA31" i="2"/>
  <c r="AA33" i="2"/>
  <c r="AA68" i="2"/>
  <c r="AA32" i="2"/>
  <c r="AA39" i="2"/>
  <c r="AA43" i="2"/>
  <c r="AA46" i="2"/>
  <c r="AA80" i="2"/>
  <c r="AA48" i="2"/>
  <c r="AA49" i="2"/>
  <c r="AA93" i="2"/>
  <c r="AA47" i="2"/>
  <c r="AE8" i="7"/>
  <c r="AE77" i="7"/>
  <c r="AE71" i="7"/>
  <c r="AE61" i="7"/>
  <c r="AE60" i="7"/>
  <c r="AE62" i="7"/>
  <c r="AE50" i="7"/>
  <c r="AE49" i="7"/>
  <c r="AE46" i="7"/>
  <c r="AE15" i="7"/>
  <c r="AE25" i="7"/>
  <c r="AE21" i="7"/>
  <c r="AE20" i="7"/>
  <c r="AE14" i="7"/>
  <c r="AE11" i="7"/>
  <c r="AB53" i="2"/>
  <c r="AB57" i="2"/>
  <c r="AE19" i="7"/>
  <c r="AE23" i="7"/>
  <c r="AE58" i="7"/>
  <c r="AE59" i="7"/>
  <c r="AE33" i="7"/>
  <c r="AE45" i="7"/>
  <c r="AE66" i="7"/>
  <c r="AE72" i="7"/>
  <c r="AE75" i="7"/>
  <c r="AF72" i="7"/>
  <c r="AF75" i="7"/>
  <c r="AE37" i="7"/>
  <c r="AE35" i="7"/>
  <c r="AE36" i="7"/>
  <c r="AE34" i="7"/>
  <c r="AE32" i="7"/>
  <c r="AE31" i="7"/>
  <c r="AF42" i="7"/>
  <c r="AF79" i="7" s="1"/>
  <c r="AE47" i="7"/>
  <c r="AE51" i="7"/>
  <c r="AE54" i="7"/>
  <c r="AF51" i="7"/>
  <c r="AF54" i="7"/>
  <c r="AA109" i="2"/>
  <c r="AB87" i="2"/>
  <c r="AB101" i="2" s="1"/>
  <c r="AA74" i="2"/>
  <c r="AA87" i="2" s="1"/>
  <c r="AA101" i="2" s="1"/>
  <c r="AA100" i="2"/>
  <c r="AA103" i="2"/>
  <c r="AA104" i="2"/>
  <c r="W56" i="6"/>
  <c r="W58" i="6"/>
  <c r="AA73" i="2" l="1"/>
  <c r="AB86" i="2"/>
  <c r="AA52" i="2"/>
  <c r="AA54" i="2" s="1"/>
  <c r="Z78" i="2"/>
  <c r="Z86" i="2"/>
  <c r="Z88" i="2" s="1"/>
  <c r="Z90" i="2" s="1"/>
  <c r="Z99" i="2"/>
  <c r="Z113" i="2" s="1"/>
  <c r="AA99" i="2"/>
  <c r="AA113" i="2" s="1"/>
  <c r="AB31" i="2"/>
  <c r="AB14" i="2"/>
  <c r="AC18" i="2"/>
  <c r="AC21" i="2"/>
  <c r="AC24" i="2"/>
  <c r="AC13" i="2"/>
  <c r="AC14" i="2" s="1"/>
  <c r="AD9" i="2"/>
  <c r="AA86" i="2"/>
  <c r="AA88" i="2" s="1"/>
  <c r="AA75" i="2"/>
  <c r="P80" i="7"/>
  <c r="O84" i="7"/>
  <c r="Z79" i="7"/>
  <c r="S79" i="7"/>
  <c r="S82" i="7" s="1"/>
  <c r="S84" i="7" s="1"/>
  <c r="AD79" i="7"/>
  <c r="Z89" i="2"/>
  <c r="AC79" i="7"/>
  <c r="AC27" i="2"/>
  <c r="AG79" i="7"/>
  <c r="AC64" i="2"/>
  <c r="AC66" i="2" s="1"/>
  <c r="AC81" i="2"/>
  <c r="AA56" i="2"/>
  <c r="AA58" i="2" s="1"/>
  <c r="AC29" i="2"/>
  <c r="AC83" i="2"/>
  <c r="AC10" i="2"/>
  <c r="R29" i="2"/>
  <c r="R31" i="2" s="1"/>
  <c r="AC82" i="2"/>
  <c r="U80" i="7"/>
  <c r="U82" i="7" s="1"/>
  <c r="W80" i="7" s="1"/>
  <c r="W82" i="7" s="1"/>
  <c r="Y36" i="7"/>
  <c r="Y11" i="7"/>
  <c r="Y20" i="7"/>
  <c r="Y32" i="7"/>
  <c r="AE42" i="7"/>
  <c r="AE79" i="7" s="1"/>
  <c r="J39" i="7"/>
  <c r="J42" i="7" s="1"/>
  <c r="J79" i="7" s="1"/>
  <c r="J82" i="7" s="1"/>
  <c r="J84" i="7" s="1"/>
  <c r="Y21" i="7"/>
  <c r="Y37" i="7"/>
  <c r="W39" i="7"/>
  <c r="W42" i="7" s="1"/>
  <c r="W79" i="7" s="1"/>
  <c r="Y18" i="7"/>
  <c r="X39" i="7"/>
  <c r="X42" i="7" s="1"/>
  <c r="X79" i="7" s="1"/>
  <c r="P39" i="7"/>
  <c r="P42" i="7" s="1"/>
  <c r="P79" i="7" s="1"/>
  <c r="Y14" i="7"/>
  <c r="K80" i="7"/>
  <c r="K82" i="7" s="1"/>
  <c r="G80" i="7"/>
  <c r="G82" i="7" s="1"/>
  <c r="F84" i="7"/>
  <c r="U51" i="8"/>
  <c r="U58" i="8"/>
  <c r="T86" i="8"/>
  <c r="T88" i="8"/>
  <c r="U45" i="8"/>
  <c r="U27" i="8"/>
  <c r="T18" i="8"/>
  <c r="T21" i="8"/>
  <c r="U39" i="8"/>
  <c r="U18" i="8"/>
  <c r="U60" i="8"/>
  <c r="T90" i="8"/>
  <c r="T82" i="8"/>
  <c r="U24" i="8"/>
  <c r="T92" i="8"/>
  <c r="U20" i="8"/>
  <c r="T84" i="8"/>
  <c r="Z114" i="2" l="1"/>
  <c r="Z116" i="2"/>
  <c r="Z91" i="2"/>
  <c r="AC31" i="2"/>
  <c r="AD32" i="2" s="1"/>
  <c r="T105" i="8"/>
  <c r="AB33" i="2"/>
  <c r="AB68" i="2"/>
  <c r="AB32" i="2"/>
  <c r="AB39" i="2"/>
  <c r="AB43" i="2" s="1"/>
  <c r="AA78" i="2"/>
  <c r="AA77" i="2"/>
  <c r="AA76" i="2"/>
  <c r="AA89" i="2"/>
  <c r="AA90" i="2"/>
  <c r="AA91" i="2"/>
  <c r="Z118" i="2"/>
  <c r="P82" i="7"/>
  <c r="U84" i="7"/>
  <c r="AA116" i="2"/>
  <c r="AA114" i="2"/>
  <c r="R68" i="2"/>
  <c r="R32" i="2"/>
  <c r="W32" i="2"/>
  <c r="R33" i="2"/>
  <c r="R39" i="2"/>
  <c r="R43" i="2" s="1"/>
  <c r="G84" i="7"/>
  <c r="H80" i="7"/>
  <c r="H82" i="7" s="1"/>
  <c r="H84" i="7" s="1"/>
  <c r="W84" i="7"/>
  <c r="Y80" i="7"/>
  <c r="M80" i="7"/>
  <c r="M82" i="7" s="1"/>
  <c r="Q80" i="7"/>
  <c r="Q82" i="7" s="1"/>
  <c r="K84" i="7"/>
  <c r="AA42" i="7"/>
  <c r="AA79" i="7" s="1"/>
  <c r="AA82" i="7" s="1"/>
  <c r="Y39" i="7"/>
  <c r="Y42" i="7" s="1"/>
  <c r="Y79" i="7" s="1"/>
  <c r="U88" i="8"/>
  <c r="U86" i="8"/>
  <c r="U92" i="8"/>
  <c r="U84" i="8"/>
  <c r="U90" i="8"/>
  <c r="U82" i="8"/>
  <c r="U21" i="8"/>
  <c r="AC39" i="2" l="1"/>
  <c r="AC43" i="2" s="1"/>
  <c r="AC56" i="2" s="1"/>
  <c r="AC58" i="2" s="1"/>
  <c r="AC68" i="2"/>
  <c r="AC33" i="2"/>
  <c r="AC32" i="2"/>
  <c r="Z117" i="2"/>
  <c r="AB52" i="2"/>
  <c r="AB54" i="2" s="1"/>
  <c r="AB56" i="2"/>
  <c r="AB58" i="2" s="1"/>
  <c r="AB46" i="2"/>
  <c r="AB75" i="2"/>
  <c r="AB80" i="2"/>
  <c r="AB88" i="2" s="1"/>
  <c r="AA117" i="2"/>
  <c r="AA118" i="2"/>
  <c r="P84" i="7"/>
  <c r="R80" i="7"/>
  <c r="R82" i="7" s="1"/>
  <c r="AC80" i="2"/>
  <c r="AC88" i="2" s="1"/>
  <c r="AD90" i="2" s="1"/>
  <c r="AC75" i="2"/>
  <c r="AD77" i="2" s="1"/>
  <c r="R80" i="2"/>
  <c r="R88" i="2" s="1"/>
  <c r="R75" i="2"/>
  <c r="R52" i="2"/>
  <c r="R54" i="2" s="1"/>
  <c r="R46" i="2"/>
  <c r="R56" i="2"/>
  <c r="R58" i="2" s="1"/>
  <c r="Y82" i="7"/>
  <c r="Y84" i="7" s="1"/>
  <c r="AF80" i="7"/>
  <c r="AF82" i="7" s="1"/>
  <c r="AF84" i="7" s="1"/>
  <c r="AF89" i="7" s="1"/>
  <c r="AB80" i="7"/>
  <c r="AB82" i="7" s="1"/>
  <c r="AB84" i="7" s="1"/>
  <c r="AA84" i="7"/>
  <c r="Q84" i="7"/>
  <c r="Z80" i="7"/>
  <c r="Z82" i="7" s="1"/>
  <c r="Z84" i="7" s="1"/>
  <c r="N80" i="7"/>
  <c r="N82" i="7" s="1"/>
  <c r="N84" i="7" s="1"/>
  <c r="M84" i="7"/>
  <c r="AC46" i="2" l="1"/>
  <c r="AD48" i="2" s="1"/>
  <c r="AC52" i="2"/>
  <c r="AC54" i="2" s="1"/>
  <c r="AB76" i="2"/>
  <c r="AB78" i="2"/>
  <c r="AB93" i="2"/>
  <c r="AB113" i="2" s="1"/>
  <c r="AB49" i="2"/>
  <c r="AB47" i="2"/>
  <c r="AB89" i="2"/>
  <c r="AB91" i="2"/>
  <c r="T80" i="7"/>
  <c r="T82" i="7" s="1"/>
  <c r="R84" i="7"/>
  <c r="AC89" i="2"/>
  <c r="AC90" i="2"/>
  <c r="AC91" i="2"/>
  <c r="R76" i="2"/>
  <c r="W78" i="2"/>
  <c r="R78" i="2"/>
  <c r="R91" i="2"/>
  <c r="W91" i="2"/>
  <c r="R89" i="2"/>
  <c r="W49" i="2"/>
  <c r="R49" i="2"/>
  <c r="R47" i="2"/>
  <c r="R93" i="2"/>
  <c r="R113" i="2" s="1"/>
  <c r="AC77" i="2"/>
  <c r="AC78" i="2"/>
  <c r="AC76" i="2"/>
  <c r="AC80" i="7"/>
  <c r="AC82" i="7" s="1"/>
  <c r="AC84" i="7" s="1"/>
  <c r="AB89" i="7"/>
  <c r="AC48" i="2" l="1"/>
  <c r="AC49" i="2"/>
  <c r="AC93" i="2"/>
  <c r="AC113" i="2" s="1"/>
  <c r="AC116" i="2" s="1"/>
  <c r="AD117" i="2" s="1"/>
  <c r="AC47" i="2"/>
  <c r="AB116" i="2"/>
  <c r="AB118" i="2" s="1"/>
  <c r="AB114" i="2"/>
  <c r="V80" i="7"/>
  <c r="V82" i="7" s="1"/>
  <c r="T84" i="7"/>
  <c r="R116" i="2"/>
  <c r="R114" i="2"/>
  <c r="AC89" i="7"/>
  <c r="AD80" i="7"/>
  <c r="AD82" i="7" s="1"/>
  <c r="AD84" i="7" s="1"/>
  <c r="AC114" i="2" l="1"/>
  <c r="X80" i="7"/>
  <c r="X82" i="7" s="1"/>
  <c r="X84" i="7" s="1"/>
  <c r="V84" i="7"/>
  <c r="AC117" i="2"/>
  <c r="AC118" i="2"/>
  <c r="R118" i="2"/>
  <c r="W118" i="2"/>
  <c r="AD89" i="7"/>
  <c r="AE80" i="7"/>
  <c r="AE82" i="7" s="1"/>
  <c r="AE84" i="7" l="1"/>
  <c r="AE89" i="7" s="1"/>
  <c r="AG80" i="7"/>
  <c r="AG82" i="7" s="1"/>
  <c r="AG84" i="7" l="1"/>
  <c r="AG89" i="7" s="1"/>
  <c r="U105" i="8" l="1"/>
  <c r="AI88" i="7" l="1"/>
  <c r="Y36" i="6" l="1"/>
  <c r="Y45" i="6" l="1"/>
  <c r="Y15" i="6" l="1"/>
  <c r="Y25" i="6" s="1"/>
  <c r="AE95" i="2" l="1"/>
  <c r="AE82" i="2"/>
  <c r="AE21" i="2" l="1"/>
  <c r="AE18" i="2"/>
  <c r="AE29" i="2"/>
  <c r="AE74" i="2"/>
  <c r="AE87" i="2" s="1"/>
  <c r="AE101" i="2" s="1"/>
  <c r="AE27" i="2"/>
  <c r="AE81" i="2"/>
  <c r="AE24" i="2"/>
  <c r="AE10" i="2"/>
  <c r="AE13" i="2"/>
  <c r="AE9" i="2"/>
  <c r="AE64" i="2"/>
  <c r="AE66" i="2" s="1"/>
  <c r="V105" i="8" l="1"/>
  <c r="AE31" i="2"/>
  <c r="AE14" i="2"/>
  <c r="AE68" i="2" l="1"/>
  <c r="AE80" i="2" s="1"/>
  <c r="AE33" i="2"/>
  <c r="AE39" i="2"/>
  <c r="AE43" i="2" s="1"/>
  <c r="AE32" i="2"/>
  <c r="AE46" i="2" l="1"/>
  <c r="AE47" i="2" l="1"/>
  <c r="AE49" i="2"/>
  <c r="AE93" i="2"/>
  <c r="AE48" i="2"/>
  <c r="AE57" i="2" l="1"/>
  <c r="AE56" i="2"/>
  <c r="AE53" i="2"/>
  <c r="AE52" i="2"/>
  <c r="AE58" i="2" l="1"/>
  <c r="AE54" i="2"/>
  <c r="Y56" i="6" l="1"/>
  <c r="Y58" i="6" s="1"/>
  <c r="Y60" i="6" s="1"/>
  <c r="Y66" i="6" s="1"/>
  <c r="AI72" i="7" l="1"/>
  <c r="AI75" i="7" s="1"/>
  <c r="AE94" i="2" l="1"/>
  <c r="AE113" i="2" s="1"/>
  <c r="AE75" i="2"/>
  <c r="AE83" i="2"/>
  <c r="AE88" i="2" s="1"/>
  <c r="AE91" i="2" l="1"/>
  <c r="AE90" i="2"/>
  <c r="AE89" i="2"/>
  <c r="AE78" i="2"/>
  <c r="AE76" i="2"/>
  <c r="AE77" i="2"/>
  <c r="AE114" i="2"/>
  <c r="AE116" i="2"/>
  <c r="AE118" i="2" l="1"/>
  <c r="AE117" i="2"/>
  <c r="AI51" i="7" l="1"/>
  <c r="AI54" i="7" s="1"/>
  <c r="AI39" i="7"/>
  <c r="AI42" i="7" l="1"/>
  <c r="AI79" i="7" s="1"/>
  <c r="AI82" i="7" l="1"/>
  <c r="AI84" i="7" l="1"/>
  <c r="AI89" i="7" s="1"/>
</calcChain>
</file>

<file path=xl/sharedStrings.xml><?xml version="1.0" encoding="utf-8"?>
<sst xmlns="http://schemas.openxmlformats.org/spreadsheetml/2006/main" count="552" uniqueCount="272">
  <si>
    <t>Headcount</t>
  </si>
  <si>
    <t>Revenues</t>
  </si>
  <si>
    <t>Gross profit</t>
  </si>
  <si>
    <t>General and administrative expenses</t>
  </si>
  <si>
    <t>Selling and marketing expenses</t>
  </si>
  <si>
    <t>Depreciation and amortization</t>
  </si>
  <si>
    <t>Total operating expenses</t>
  </si>
  <si>
    <t>Other income/ (expense)</t>
  </si>
  <si>
    <t>Interest on redeemable preferred stock</t>
  </si>
  <si>
    <t>Q1</t>
  </si>
  <si>
    <t>Q2</t>
  </si>
  <si>
    <t>Q3</t>
  </si>
  <si>
    <t>Q4</t>
  </si>
  <si>
    <t>FY</t>
  </si>
  <si>
    <t>Income Statement</t>
  </si>
  <si>
    <t>Balance Sheet</t>
  </si>
  <si>
    <t>Foreign Exchange Gain / (Loss)</t>
  </si>
  <si>
    <t>Assets</t>
  </si>
  <si>
    <t>Current assets:</t>
  </si>
  <si>
    <t>Restricted cash</t>
  </si>
  <si>
    <t>Accounts receivable</t>
  </si>
  <si>
    <t/>
  </si>
  <si>
    <t>Goodwill</t>
  </si>
  <si>
    <t>Liabilities and Stockholders Equity</t>
  </si>
  <si>
    <t>Current liabilities:</t>
  </si>
  <si>
    <t>Accounts payable</t>
  </si>
  <si>
    <t>Deferred revenue</t>
  </si>
  <si>
    <t>Accrued employee cost</t>
  </si>
  <si>
    <t>Income taxes payable</t>
  </si>
  <si>
    <t>Total current liabilities</t>
  </si>
  <si>
    <t>Additional paid-in capital</t>
  </si>
  <si>
    <t>Other assets</t>
  </si>
  <si>
    <t>Other non-current liabilities</t>
  </si>
  <si>
    <t>Retained earnings</t>
  </si>
  <si>
    <t>Net income</t>
  </si>
  <si>
    <t>Amortization of deferred financing costs</t>
  </si>
  <si>
    <t>Non-employee stock options</t>
  </si>
  <si>
    <t>Foreign exchange (gain)/loss (unrealized)</t>
  </si>
  <si>
    <t>Prepaid expenses and other current assets</t>
  </si>
  <si>
    <t>Accrued expenses and other liabilities</t>
  </si>
  <si>
    <t>Repayment of senior long-term debt</t>
  </si>
  <si>
    <t>Principal payments on capital lease obligations</t>
  </si>
  <si>
    <t>Repayment on redemption of preferred stock</t>
  </si>
  <si>
    <t>Proceeds from exercise of stock options</t>
  </si>
  <si>
    <t>Acquisition of treasury stock</t>
  </si>
  <si>
    <t>Cash and cash equivalents, end of year</t>
  </si>
  <si>
    <t>Cash Flow Statement</t>
  </si>
  <si>
    <t>Top - 3</t>
  </si>
  <si>
    <t>Top - 5</t>
  </si>
  <si>
    <t>Top - 10</t>
  </si>
  <si>
    <t>Top - 1</t>
  </si>
  <si>
    <t>Cashflow Statement</t>
  </si>
  <si>
    <t>Income from discontinued operations, net of taxes</t>
  </si>
  <si>
    <t>Adjustments to reconcile net income to net cash provided by operating activities:</t>
  </si>
  <si>
    <t>Repayment of bank borrowings and other long term debt</t>
  </si>
  <si>
    <t>Proceeds from sale of common stock, net of issuance costs</t>
  </si>
  <si>
    <t>Excess tax benefit/(deficiency) from stock-based compensation</t>
  </si>
  <si>
    <t>Effect of exchange rate changes on cash and cash equivalents</t>
  </si>
  <si>
    <t>GM</t>
  </si>
  <si>
    <t>Other metrics</t>
  </si>
  <si>
    <t>GM%</t>
  </si>
  <si>
    <t>Income tax (provision)/benefit</t>
  </si>
  <si>
    <t>Adjusted Operating Margin</t>
  </si>
  <si>
    <t>Operating expenses</t>
  </si>
  <si>
    <t>Accrued expenses and other current liabilities</t>
  </si>
  <si>
    <t>Non-current liabilities</t>
  </si>
  <si>
    <t>Capital lease obligations, less current portion</t>
  </si>
  <si>
    <t>($ in thousands)</t>
  </si>
  <si>
    <t>Gross Margin</t>
  </si>
  <si>
    <t>Operating Margin</t>
  </si>
  <si>
    <t>Change in operating assets and liabilities (net of effect of acquisitions)</t>
  </si>
  <si>
    <t>EBIT</t>
  </si>
  <si>
    <t>Adjusted EBIT</t>
  </si>
  <si>
    <t>($ in thousands, except per share amounts)</t>
  </si>
  <si>
    <t>Total Liabilities</t>
  </si>
  <si>
    <t>Preferred Stock $0.001 par value; 15,000,000 shares authorized</t>
  </si>
  <si>
    <t>Common Stock</t>
  </si>
  <si>
    <t>Net Cash Flows from Financing</t>
  </si>
  <si>
    <t>Cash and Cash Equivalents from Continuing Operations, end of period</t>
  </si>
  <si>
    <t>Cash Flows from Investing (continuing operations)</t>
  </si>
  <si>
    <t>Cash Flows from Investing (discontinued operations)</t>
  </si>
  <si>
    <t>Cash Flows from Financing (continuing operations)</t>
  </si>
  <si>
    <t>Cash Flows from Financing (discontinued operations)</t>
  </si>
  <si>
    <t>Total Workstations</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</si>
  <si>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</si>
  <si>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</si>
  <si>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</si>
  <si>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</si>
  <si>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</si>
  <si>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</si>
  <si>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</si>
  <si>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</si>
  <si>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</si>
  <si>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</si>
  <si>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</si>
  <si>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Income from continuing operations</t>
  </si>
  <si>
    <t>Income/(loss) from continuing operations before income taxes</t>
  </si>
  <si>
    <t>Income/(loss) from discontinued operations, net of taxes</t>
  </si>
  <si>
    <t>Net income/(loss) to common stockholders</t>
  </si>
  <si>
    <t>Diluted</t>
  </si>
  <si>
    <t>Continuing operations</t>
  </si>
  <si>
    <t>Discontinued operations</t>
  </si>
  <si>
    <t>Basic</t>
  </si>
  <si>
    <t>Total</t>
  </si>
  <si>
    <t>Weighted-average number of shares used in computing earnings per share</t>
  </si>
  <si>
    <t>Short-term investments</t>
  </si>
  <si>
    <t>Cash and cash equivalents</t>
  </si>
  <si>
    <t>Total current assets</t>
  </si>
  <si>
    <t>Intangible assets</t>
  </si>
  <si>
    <t>Total assets</t>
  </si>
  <si>
    <t>Stockholders' equity:</t>
  </si>
  <si>
    <t>Total Liabilities and Stockholders' Equity</t>
  </si>
  <si>
    <t>Cash flows from operating activities</t>
  </si>
  <si>
    <t>Share-based compensation expense</t>
  </si>
  <si>
    <t>Net cash provided by operating activities - continuing operations</t>
  </si>
  <si>
    <t>Net cash provided by operating activities - discontinued operations</t>
  </si>
  <si>
    <t>Net cash provided by operating activities</t>
  </si>
  <si>
    <t>Cash flows from investing activities:</t>
  </si>
  <si>
    <t>Cash flows from financing activities:</t>
  </si>
  <si>
    <t>Net increase/(decrease) in cash and cash equivalents</t>
  </si>
  <si>
    <t xml:space="preserve">Cash and cash equivalents, beginning of period </t>
  </si>
  <si>
    <t>Less cash and equivalents of discontinued operations, end of period</t>
  </si>
  <si>
    <t xml:space="preserve">Purchase of short-term investments </t>
  </si>
  <si>
    <t>Proceeds from Redemption of short-term investments</t>
  </si>
  <si>
    <t>Exl Service Holdings, Inc. stockholders' equity</t>
  </si>
  <si>
    <t>Total stockholders' equity</t>
  </si>
  <si>
    <t>Proceeds from issuance of stock to minority shareholders</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</si>
  <si>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</si>
  <si>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</si>
  <si>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</si>
  <si>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</si>
  <si>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</si>
  <si>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</si>
  <si>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</si>
  <si>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</si>
  <si>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</si>
  <si>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</si>
  <si>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</si>
  <si>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</si>
  <si>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Adjusted Diluted earnings per share</t>
  </si>
  <si>
    <t>Non-controlling Interest</t>
  </si>
  <si>
    <t>Payment of debt issuance cost</t>
  </si>
  <si>
    <t>Proceeds from issuance of common stock from public offering, net of issuance costs</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</si>
  <si>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</si>
  <si>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</si>
  <si>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</si>
  <si>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</si>
  <si>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</si>
  <si>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</si>
  <si>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</si>
  <si>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</si>
  <si>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Earnings/(loss)  per share (a)</t>
  </si>
  <si>
    <t>(a) Per share amounts may not foot due to rounding</t>
  </si>
  <si>
    <t>Y/Y revenue growth</t>
  </si>
  <si>
    <t>Travel, Transportation and Logistics</t>
  </si>
  <si>
    <t>Loss on sale of business unit</t>
  </si>
  <si>
    <t>Healthcare</t>
  </si>
  <si>
    <t>Insurance</t>
  </si>
  <si>
    <t>subtract: Tax impact on reimbursement of transition and disentanglement costs</t>
  </si>
  <si>
    <t>add: Reimbursement of transition and disentanglement costs</t>
  </si>
  <si>
    <t>Adjusted Revenues</t>
  </si>
  <si>
    <t>Gain/Loss on sale of fixed assets</t>
  </si>
  <si>
    <t>Long term borrowings</t>
  </si>
  <si>
    <t>Proceeds from long-term borrowings</t>
  </si>
  <si>
    <t>Unrealized gain on short term investments</t>
  </si>
  <si>
    <t>Cash received from non-controlling interest shareholders</t>
  </si>
  <si>
    <t>Operations Management</t>
  </si>
  <si>
    <t>Analytics and Business Transformation</t>
  </si>
  <si>
    <t xml:space="preserve">Y/Y constant currency revenue growth % </t>
  </si>
  <si>
    <t>Q01</t>
  </si>
  <si>
    <t>Change in fair value of Earn-out consideration</t>
  </si>
  <si>
    <t>Q02</t>
  </si>
  <si>
    <t>subtract: Changes in fair value of Earn-out consideration, net of tax</t>
  </si>
  <si>
    <t>Q03</t>
  </si>
  <si>
    <t xml:space="preserve">    Q/Q (Appreciation) / Depreciation</t>
  </si>
  <si>
    <t xml:space="preserve">    Y/Y (Appreciation) / Depreciation</t>
  </si>
  <si>
    <t>Q04</t>
  </si>
  <si>
    <t>Finance &amp; Accounting</t>
  </si>
  <si>
    <t>All Other</t>
  </si>
  <si>
    <t>Revenues and Margins</t>
  </si>
  <si>
    <t xml:space="preserve">Attrition </t>
  </si>
  <si>
    <t>Operations Management (1)(2)(3)</t>
  </si>
  <si>
    <t>Analytics (1)(2)(3)</t>
  </si>
  <si>
    <t xml:space="preserve">(3) From FY 2014 onward, Operations Management will not be a reportable segment. </t>
  </si>
  <si>
    <t xml:space="preserve">(1) (2) In Q4'2015 the Company changed its reporting segments into Operations Management (including Consulting previously part of Analytics and Business Transformation segment)) and Analytics. </t>
  </si>
  <si>
    <t>Figures from FY '13 have been restated to conform to the current presentation.</t>
  </si>
  <si>
    <t>For example, Insurance segment revenue represents BPM services only.</t>
  </si>
  <si>
    <t xml:space="preserve">(1) (2) In Q4'2016 the Company changed its reporting segments into Insurance, Healthcare, Travel Transportation and Logistics, Finance and Accounting, All Other and Analytics. </t>
  </si>
  <si>
    <t xml:space="preserve">Figures from FY'14 have been restated to conform to the current presentation. </t>
  </si>
  <si>
    <t xml:space="preserve">The industry revenue represents the sum total of BPM, Finance, and Accounting , Analytics and Consulting in that industry vertical. </t>
  </si>
  <si>
    <t>For example, Insurance will include BPM, Finance and Accounting, Analytics and Consulting work.</t>
  </si>
  <si>
    <t>Business acquisition (net of cash acquired)</t>
  </si>
  <si>
    <t xml:space="preserve"> </t>
  </si>
  <si>
    <t>Revised</t>
  </si>
  <si>
    <t>Accounts receivable, net</t>
  </si>
  <si>
    <t>Advance income tax, net</t>
  </si>
  <si>
    <t>Property and equipment, net</t>
  </si>
  <si>
    <t>Deferred taxes, net</t>
  </si>
  <si>
    <t>Investment in equity affiliate</t>
  </si>
  <si>
    <t>Current portion of long-term borrowings</t>
  </si>
  <si>
    <r>
      <t>Q4</t>
    </r>
    <r>
      <rPr>
        <b/>
        <vertAlign val="superscript"/>
        <sz val="10"/>
        <rFont val="Arial"/>
        <family val="2"/>
      </rPr>
      <t>(b)</t>
    </r>
  </si>
  <si>
    <t>Deferred income tax (benefit)/expense</t>
  </si>
  <si>
    <t>Excess tax benefit from stock-based compensation</t>
  </si>
  <si>
    <t>Write-off/Reserve of Doubtful receivables</t>
  </si>
  <si>
    <t>Purchase of property and equipment</t>
  </si>
  <si>
    <t>Proceeds from borrowings</t>
  </si>
  <si>
    <t>Repayment of borrowings</t>
  </si>
  <si>
    <t xml:space="preserve">(4) The Company early adopted ASU 2017-12, Derivative and Hedging (Topic 815), Targeted Improvements to Accounting for Hedging Activities. Pursuant to this adoption effective January 1, 2017, the Company </t>
  </si>
  <si>
    <t>reclassified settlement gain/(loss) on cash flow hedges included under foreign exchange gain/(loss) to Cost of revenues and Operating expenses as applicable in the Consolidated Statements of Income for each of the quarters of 2017.</t>
  </si>
  <si>
    <t>add: Amortization of acquisition-related intangibles</t>
  </si>
  <si>
    <t>add: Stock-based compensation expense</t>
  </si>
  <si>
    <t>subtract: Tax impact on amortization of acquisition-related intangibles</t>
  </si>
  <si>
    <t>Less: Shares held in treasury</t>
  </si>
  <si>
    <t>Loss from equity-method investment</t>
  </si>
  <si>
    <t>FY 17</t>
  </si>
  <si>
    <r>
      <t xml:space="preserve">Revised </t>
    </r>
    <r>
      <rPr>
        <b/>
        <vertAlign val="superscript"/>
        <sz val="16"/>
        <color theme="1"/>
        <rFont val="Calibri"/>
        <family val="2"/>
        <scheme val="minor"/>
      </rPr>
      <t>(4) (5)</t>
    </r>
  </si>
  <si>
    <r>
      <t xml:space="preserve">Revised </t>
    </r>
    <r>
      <rPr>
        <b/>
        <vertAlign val="superscript"/>
        <sz val="16"/>
        <color theme="1"/>
        <rFont val="Calibri"/>
        <family val="2"/>
        <scheme val="minor"/>
      </rPr>
      <t>(5)</t>
    </r>
  </si>
  <si>
    <t xml:space="preserve">(6)  Revenue by Industry includes all solutions offered by EXL for each vertical listed.  Other includes all other industries such as retail, manufacturing and media. </t>
  </si>
  <si>
    <t>Revenue by Industry (6)</t>
  </si>
  <si>
    <t>(5) On January 1, 2018, the Company adopted ASU 2017-07, Compensation-Retirement Benefits (Topic 715), Improving the Presentation of Net Periodic Pension Cost and Net Periodic Post Retirement Benefit Cost.</t>
  </si>
  <si>
    <t>Pursuant to this adoption effective January 1, 2017, the interest cost, expected return on plan assets and amortization of actuarial gains/loss,</t>
  </si>
  <si>
    <t>have been reclassified from “Cost of revenue”, “General and administrative expenses” and “Selling and marketing expenses” to “Other income, net” in the consolidated statements of income for each of the quarters of 2017.</t>
  </si>
  <si>
    <t xml:space="preserve">        Pursuant to this adoption effective January 1, 2017, the interest cost, expected return on plan assets and amortization of actuarial gains/loss, have been reclassified from “Cost of revenue”, “General and administrative expenses” and “Selling and marketing expenses” to “Other income, net” in the consolidated statements of income for each of the quarters of 2017.</t>
  </si>
  <si>
    <t>add: Provision for litigation settlement</t>
  </si>
  <si>
    <t>add: provision for litigation settlement</t>
  </si>
  <si>
    <r>
      <t>Q2 2017</t>
    </r>
    <r>
      <rPr>
        <b/>
        <vertAlign val="superscript"/>
        <sz val="10"/>
        <rFont val="Arial"/>
        <family val="2"/>
      </rPr>
      <t>(1)</t>
    </r>
  </si>
  <si>
    <r>
      <t>Q1 2017</t>
    </r>
    <r>
      <rPr>
        <b/>
        <vertAlign val="superscript"/>
        <sz val="10"/>
        <rFont val="Arial"/>
        <family val="2"/>
      </rPr>
      <t>(1)</t>
    </r>
  </si>
  <si>
    <r>
      <t>Q3 2017</t>
    </r>
    <r>
      <rPr>
        <b/>
        <vertAlign val="superscript"/>
        <sz val="10"/>
        <rFont val="Arial"/>
        <family val="2"/>
      </rPr>
      <t>(1)</t>
    </r>
  </si>
  <si>
    <r>
      <t>Q4 2017</t>
    </r>
    <r>
      <rPr>
        <b/>
        <vertAlign val="superscript"/>
        <sz val="10"/>
        <rFont val="Arial"/>
        <family val="2"/>
      </rPr>
      <t>(1)</t>
    </r>
  </si>
  <si>
    <r>
      <t>FY 2017</t>
    </r>
    <r>
      <rPr>
        <b/>
        <vertAlign val="superscript"/>
        <sz val="10"/>
        <rFont val="Arial"/>
        <family val="2"/>
      </rPr>
      <t>(1)</t>
    </r>
  </si>
  <si>
    <t>(1) The Company adopted the guidance in ASU 2016-18 "Statement of Cash Flows" which requires that statement of cash flows include restricted cash as part of cash and cash equivalent. The Company has adopted the guidance retrospectively for each of the quarters of 2017.</t>
  </si>
  <si>
    <t>add: Acquisition-related expenses</t>
  </si>
  <si>
    <r>
      <t>Q1</t>
    </r>
    <r>
      <rPr>
        <b/>
        <vertAlign val="superscript"/>
        <sz val="10"/>
        <rFont val="Arial"/>
        <family val="2"/>
      </rPr>
      <t>(d)</t>
    </r>
  </si>
  <si>
    <t>subtract: Tax impact on provision for litigation settlement</t>
  </si>
  <si>
    <t>Deferred taxes payable</t>
  </si>
  <si>
    <t>Proceeds from convertible notes</t>
  </si>
  <si>
    <t xml:space="preserve">      as applicable in the Consolidated Statements of Income for each of the quarters of 2017. </t>
  </si>
  <si>
    <r>
      <t>FY 16</t>
    </r>
    <r>
      <rPr>
        <b/>
        <vertAlign val="superscript"/>
        <sz val="10"/>
        <rFont val="Arial"/>
        <family val="2"/>
      </rPr>
      <t>(b)(c)</t>
    </r>
  </si>
  <si>
    <r>
      <t>Q1</t>
    </r>
    <r>
      <rPr>
        <b/>
        <vertAlign val="superscript"/>
        <sz val="10"/>
        <rFont val="Arial"/>
        <family val="2"/>
      </rPr>
      <t>(b)(c)</t>
    </r>
  </si>
  <si>
    <r>
      <t>Q2</t>
    </r>
    <r>
      <rPr>
        <b/>
        <vertAlign val="superscript"/>
        <sz val="10"/>
        <rFont val="Arial"/>
        <family val="2"/>
      </rPr>
      <t>(b)(c)(d)</t>
    </r>
  </si>
  <si>
    <r>
      <t>Q3</t>
    </r>
    <r>
      <rPr>
        <b/>
        <vertAlign val="superscript"/>
        <sz val="10"/>
        <rFont val="Arial"/>
        <family val="2"/>
      </rPr>
      <t>(b)(c)(d)</t>
    </r>
  </si>
  <si>
    <r>
      <rPr>
        <i/>
        <vertAlign val="superscript"/>
        <sz val="10"/>
        <rFont val="Arial"/>
        <family val="2"/>
      </rPr>
      <t>(b)</t>
    </r>
    <r>
      <rPr>
        <i/>
        <sz val="10"/>
        <rFont val="Arial"/>
        <family val="2"/>
      </rPr>
      <t xml:space="preserve"> The Company early adopted ASU 2017-12, </t>
    </r>
    <r>
      <rPr>
        <b/>
        <i/>
        <sz val="10"/>
        <rFont val="Arial"/>
        <family val="2"/>
      </rPr>
      <t>Derivative and Hedging</t>
    </r>
    <r>
      <rPr>
        <i/>
        <sz val="10"/>
        <rFont val="Arial"/>
        <family val="2"/>
      </rPr>
      <t xml:space="preserve"> (Topic 815), Targeted Improvements to Accounting for Hedging Activities. Pursuant to this adoption effective January 1, 2017, the Company reclassified settlement gain/(loss) on cash flow hedges included under foreign exchange gain/(loss) to Cost of revenues and Operating expenses</t>
    </r>
  </si>
  <si>
    <r>
      <t xml:space="preserve">(c) On January 1, 2018, the Company adopted ASU 2017-07, </t>
    </r>
    <r>
      <rPr>
        <b/>
        <i/>
        <sz val="10"/>
        <rFont val="Arial"/>
        <family val="2"/>
      </rPr>
      <t>Compensation-Retirement Benefits</t>
    </r>
    <r>
      <rPr>
        <i/>
        <sz val="10"/>
        <rFont val="Arial"/>
        <family val="2"/>
      </rPr>
      <t xml:space="preserve"> (Topic 715), Improving the Presentation of Net Periodic Pension Cost and Net Periodic Post Retirement Benefit Cost.</t>
    </r>
  </si>
  <si>
    <r>
      <t>Q4</t>
    </r>
    <r>
      <rPr>
        <b/>
        <vertAlign val="superscript"/>
        <sz val="10"/>
        <rFont val="Arial"/>
        <family val="2"/>
      </rPr>
      <t>(c)(d)</t>
    </r>
  </si>
  <si>
    <r>
      <t>FY</t>
    </r>
    <r>
      <rPr>
        <b/>
        <vertAlign val="superscript"/>
        <sz val="10"/>
        <rFont val="Arial"/>
        <family val="2"/>
      </rPr>
      <t>(c)(d)</t>
    </r>
  </si>
  <si>
    <t>Impairment charges</t>
  </si>
  <si>
    <t>add: Non-cash interest expense related to convertible senior notes</t>
  </si>
  <si>
    <t>subtract: Acquisition related other income</t>
  </si>
  <si>
    <t>subtract: Tax impact non-cash interest expense related to convertible senior notes</t>
  </si>
  <si>
    <r>
      <t>(d) To exclude</t>
    </r>
    <r>
      <rPr>
        <b/>
        <i/>
        <sz val="10"/>
        <rFont val="Arial"/>
        <family val="2"/>
      </rPr>
      <t xml:space="preserve"> acquisition related expenses</t>
    </r>
    <r>
      <rPr>
        <i/>
        <sz val="10"/>
        <rFont val="Arial"/>
        <family val="2"/>
      </rPr>
      <t xml:space="preserve"> and </t>
    </r>
    <r>
      <rPr>
        <b/>
        <i/>
        <sz val="10"/>
        <rFont val="Arial"/>
        <family val="2"/>
      </rPr>
      <t>one-time benefits</t>
    </r>
    <r>
      <rPr>
        <i/>
        <sz val="10"/>
        <rFont val="Arial"/>
        <family val="2"/>
      </rPr>
      <t>. Effective in the second quarter of 2018, EXL excludes acquisition-related costs such as external deal costs, integration expenses, direct and incremental travel costs and non-recurring benefits pertaining to successful acquisitions from its non-GAAP financial measures. The previously reported periods presented have been adjusted with the effects of exclusion.</t>
    </r>
  </si>
  <si>
    <t>Amortization of non-cash interest expense related to convertible senior notes</t>
  </si>
  <si>
    <t>Net Cash Flows from Investing activities</t>
  </si>
  <si>
    <t>subtract: One-time tax expenses/(benefits)</t>
  </si>
  <si>
    <t>add: Acquisition-related expenses/(income)</t>
  </si>
  <si>
    <t>subtract: Tax impact on Acquisition-related expenses/(income)</t>
  </si>
  <si>
    <t>add/(subtract): Effect of Tax Reform Act and other one-time tax expenses/(benefits)</t>
  </si>
  <si>
    <t>Operating lease right-of-use assets</t>
  </si>
  <si>
    <t>Current portion of operating lease liabilities</t>
  </si>
  <si>
    <t>Operating lease liabilities, less current portion</t>
  </si>
  <si>
    <t>add: Impairment of acquisition-related intangibles, goodwill and long-lived assets and restructuring costs</t>
  </si>
  <si>
    <t>subtract: Tax impact on impairment of long lived assets and acquisition-related goodwill and intangibles and restructuring costs</t>
  </si>
  <si>
    <t>Impairment and restructuring charges</t>
  </si>
  <si>
    <t>add: Impairment of acquisition-related intangibles, goodwill and long-lived assets and restructuring charges</t>
  </si>
  <si>
    <t>Payment for purchase of non-controlling interest</t>
  </si>
  <si>
    <t>subtract: One-time tax benefits</t>
  </si>
  <si>
    <t>(1) SU has been restated from Q1'17. Seat utilization is now calculated based on operational headcount and operational seats (excluding enabling functions like Finance, Human resource etc.)</t>
  </si>
  <si>
    <t xml:space="preserve">(2) Beginning in Q3 2014, one client is now 2 separate legal entities which affected the client concentration figures.  </t>
  </si>
  <si>
    <t>Seat Utilization (1)</t>
  </si>
  <si>
    <t>Client Concentration (2)</t>
  </si>
  <si>
    <t>Amortization of operating lease right-of-use assets</t>
  </si>
  <si>
    <t>Operating lease liabilities</t>
  </si>
  <si>
    <t>Checks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</si>
</sst>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quot;$&quot;#,##0.00000_);\(&quot;$&quot;#,##0.00000\)"/>
  </numFmts>
  <fonts count="38"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trike/>
      <sz val="10"/>
      <color indexed="10"/>
      <name val="Arial"/>
      <family val="2"/>
    </font>
    <font>
      <sz val="11"/>
      <color indexed="8"/>
      <name val="Calibri"/>
      <family val="2"/>
    </font>
    <font>
      <sz val="8"/>
      <name val="Calibri"/>
      <family val="2"/>
    </font>
    <font>
      <i/>
      <sz val="10"/>
      <color indexed="8"/>
      <name val="Arial"/>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i/>
      <vertAlign val="superscript"/>
      <sz val="10"/>
      <name val="Arial"/>
      <family val="2"/>
    </font>
    <font>
      <b/>
      <vertAlign val="superscript"/>
      <sz val="10"/>
      <name val="Arial"/>
      <family val="2"/>
    </font>
    <font>
      <b/>
      <vertAlign val="superscript"/>
      <sz val="16"/>
      <color theme="1"/>
      <name val="Calibri"/>
      <family val="2"/>
      <scheme val="minor"/>
    </font>
    <font>
      <sz val="16"/>
      <color theme="0"/>
      <name val="Calibri"/>
      <family val="2"/>
      <scheme val="minor"/>
    </font>
    <font>
      <sz val="10"/>
      <color rgb="FFFF0000"/>
      <name val="Arial"/>
      <family val="2"/>
    </font>
    <font>
      <b/>
      <i/>
      <sz val="10"/>
      <name val="Arial"/>
      <family val="2"/>
    </font>
    <font>
      <sz val="16"/>
      <name val="Calibri"/>
      <family val="2"/>
      <scheme val="minor"/>
    </font>
    <font>
      <b/>
      <sz val="16"/>
      <name val="Calibri"/>
      <family val="2"/>
      <scheme val="minor"/>
    </font>
    <font>
      <b/>
      <sz val="10"/>
      <color rgb="FFFF0000"/>
      <name val="Arial"/>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2" fillId="0" borderId="0"/>
    <xf numFmtId="43" fontId="1" fillId="0" borderId="0" applyFont="0" applyFill="0" applyBorder="0" applyAlignment="0" applyProtection="0"/>
    <xf numFmtId="43" fontId="16"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9" fontId="16" fillId="0" borderId="0" applyFont="0" applyFill="0" applyBorder="0" applyAlignment="0" applyProtection="0"/>
    <xf numFmtId="9" fontId="21" fillId="0" borderId="0" applyFont="0" applyFill="0" applyBorder="0" applyAlignment="0" applyProtection="0"/>
  </cellStyleXfs>
  <cellXfs count="413">
    <xf numFmtId="0" fontId="0" fillId="0" borderId="0" xfId="0"/>
    <xf numFmtId="0" fontId="3" fillId="0" borderId="0" xfId="0" applyFont="1" applyBorder="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applyBorder="1"/>
    <xf numFmtId="0" fontId="3" fillId="0" borderId="0" xfId="0" applyFont="1" applyBorder="1" applyAlignment="1">
      <alignment horizontal="center"/>
    </xf>
    <xf numFmtId="0" fontId="4" fillId="0" borderId="0" xfId="0" applyFont="1" applyAlignment="1">
      <alignment horizontal="center"/>
    </xf>
    <xf numFmtId="0" fontId="3" fillId="0" borderId="0" xfId="0" applyFont="1"/>
    <xf numFmtId="0" fontId="3" fillId="0" borderId="0" xfId="0" applyFont="1" applyAlignment="1">
      <alignment horizontal="left"/>
    </xf>
    <xf numFmtId="9" fontId="2" fillId="0" borderId="0" xfId="5" applyFont="1" applyFill="1" applyBorder="1"/>
    <xf numFmtId="0" fontId="7" fillId="0" borderId="0" xfId="0" applyFont="1"/>
    <xf numFmtId="10" fontId="4" fillId="0" borderId="0" xfId="0" applyNumberFormat="1" applyFont="1"/>
    <xf numFmtId="0" fontId="5" fillId="0" borderId="0" xfId="0" applyFont="1" applyFill="1" applyAlignment="1" applyProtection="1"/>
    <xf numFmtId="0" fontId="8" fillId="0" borderId="0" xfId="0" applyFont="1" applyFill="1" applyAlignment="1" applyProtection="1"/>
    <xf numFmtId="0" fontId="9" fillId="0" borderId="0" xfId="0" applyFont="1" applyFill="1" applyAlignment="1" applyProtection="1">
      <alignment horizontal="left" indent="1"/>
    </xf>
    <xf numFmtId="0" fontId="9" fillId="0" borderId="0" xfId="0" applyFont="1" applyFill="1" applyAlignment="1" applyProtection="1"/>
    <xf numFmtId="0" fontId="9" fillId="0" borderId="0" xfId="0" applyFont="1" applyFill="1" applyAlignment="1" applyProtection="1">
      <alignment horizontal="right"/>
    </xf>
    <xf numFmtId="0" fontId="3" fillId="0" borderId="0" xfId="0" applyFont="1" applyAlignment="1">
      <alignment horizontal="left" wrapText="1"/>
    </xf>
    <xf numFmtId="0" fontId="9" fillId="0" borderId="0" xfId="0" applyFont="1" applyFill="1" applyAlignment="1" applyProtection="1">
      <alignment wrapText="1"/>
    </xf>
    <xf numFmtId="0" fontId="9" fillId="0" borderId="0" xfId="0" applyFont="1" applyFill="1" applyAlignment="1" applyProtection="1">
      <alignment horizontal="left" wrapText="1" indent="1"/>
    </xf>
    <xf numFmtId="0" fontId="8" fillId="0" borderId="0" xfId="0" applyFont="1" applyFill="1" applyAlignment="1" applyProtection="1">
      <alignment wrapText="1"/>
    </xf>
    <xf numFmtId="0" fontId="9" fillId="0" borderId="0" xfId="0" applyFont="1" applyFill="1" applyAlignment="1" applyProtection="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0" fontId="5" fillId="0" borderId="0" xfId="0" applyFont="1"/>
    <xf numFmtId="164" fontId="2" fillId="0" borderId="0" xfId="2" applyNumberFormat="1" applyFont="1"/>
    <xf numFmtId="5" fontId="2" fillId="0" borderId="0" xfId="2" applyNumberFormat="1" applyFont="1" applyFill="1"/>
    <xf numFmtId="164" fontId="2" fillId="0" borderId="0" xfId="2" applyNumberFormat="1" applyFont="1" applyFill="1"/>
    <xf numFmtId="0" fontId="2" fillId="0" borderId="0" xfId="0" applyFont="1" applyFill="1"/>
    <xf numFmtId="7" fontId="2" fillId="0" borderId="0" xfId="2" applyNumberFormat="1" applyFont="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Fill="1" applyAlignment="1" applyProtection="1">
      <alignment horizontal="left" indent="2"/>
    </xf>
    <xf numFmtId="0" fontId="2" fillId="0" borderId="0" xfId="0" applyFont="1" applyFill="1" applyAlignment="1" applyProtection="1"/>
    <xf numFmtId="0" fontId="4" fillId="0" borderId="0" xfId="0" applyFont="1" applyFill="1" applyBorder="1"/>
    <xf numFmtId="0" fontId="11" fillId="0" borderId="0" xfId="0" applyFont="1" applyFill="1" applyBorder="1"/>
    <xf numFmtId="0" fontId="12" fillId="0" borderId="0" xfId="0" applyFont="1" applyFill="1" applyBorder="1"/>
    <xf numFmtId="0" fontId="6" fillId="0" borderId="0" xfId="0" applyFont="1" applyFill="1" applyBorder="1"/>
    <xf numFmtId="165" fontId="5" fillId="0" borderId="0" xfId="5" applyNumberFormat="1" applyFont="1"/>
    <xf numFmtId="5" fontId="5" fillId="2" borderId="1" xfId="2" applyNumberFormat="1" applyFont="1" applyFill="1" applyBorder="1"/>
    <xf numFmtId="0" fontId="8" fillId="0" borderId="1" xfId="0" applyFont="1" applyFill="1" applyBorder="1" applyAlignment="1" applyProtection="1">
      <alignment wrapText="1"/>
    </xf>
    <xf numFmtId="0" fontId="3" fillId="0" borderId="1" xfId="0" applyFont="1" applyBorder="1"/>
    <xf numFmtId="0" fontId="9" fillId="0" borderId="0" xfId="0" applyFont="1" applyFill="1" applyAlignment="1" applyProtection="1">
      <alignment horizontal="left" indent="3"/>
    </xf>
    <xf numFmtId="0" fontId="2" fillId="0" borderId="0" xfId="0" applyFont="1" applyFill="1" applyAlignment="1" applyProtection="1">
      <alignment horizontal="left" indent="1"/>
    </xf>
    <xf numFmtId="0" fontId="8" fillId="2" borderId="1" xfId="0" applyFont="1" applyFill="1" applyBorder="1" applyAlignment="1" applyProtection="1">
      <alignment wrapText="1"/>
    </xf>
    <xf numFmtId="0" fontId="3" fillId="2" borderId="1" xfId="0" applyFont="1" applyFill="1" applyBorder="1"/>
    <xf numFmtId="0" fontId="3" fillId="2" borderId="0" xfId="0" applyFont="1" applyFill="1"/>
    <xf numFmtId="0" fontId="5" fillId="0" borderId="0" xfId="0" applyFont="1" applyFill="1" applyBorder="1" applyAlignment="1" applyProtection="1">
      <alignment wrapText="1"/>
    </xf>
    <xf numFmtId="0" fontId="5" fillId="0" borderId="1" xfId="0" applyFont="1" applyFill="1" applyBorder="1" applyAlignment="1" applyProtection="1">
      <alignment horizontal="left" wrapText="1" indent="1"/>
    </xf>
    <xf numFmtId="0" fontId="8" fillId="2" borderId="1" xfId="0" applyFont="1" applyFill="1" applyBorder="1" applyAlignment="1" applyProtection="1"/>
    <xf numFmtId="0" fontId="5" fillId="2" borderId="1" xfId="0" applyFont="1" applyFill="1" applyBorder="1" applyAlignment="1" applyProtection="1"/>
    <xf numFmtId="0" fontId="5" fillId="0" borderId="2" xfId="0" applyFont="1" applyFill="1" applyBorder="1" applyAlignment="1" applyProtection="1"/>
    <xf numFmtId="0" fontId="5" fillId="0" borderId="3" xfId="0" applyFont="1" applyFill="1" applyBorder="1" applyAlignment="1" applyProtection="1"/>
    <xf numFmtId="0" fontId="4" fillId="0" borderId="0" xfId="0" applyFont="1" applyBorder="1"/>
    <xf numFmtId="0" fontId="4" fillId="0" borderId="0" xfId="0" applyFont="1" applyBorder="1" applyAlignment="1">
      <alignment horizontal="center"/>
    </xf>
    <xf numFmtId="5" fontId="2" fillId="0" borderId="0" xfId="2" applyNumberFormat="1" applyFont="1"/>
    <xf numFmtId="37" fontId="2" fillId="0" borderId="0" xfId="2" applyNumberFormat="1" applyFont="1"/>
    <xf numFmtId="0" fontId="5" fillId="2" borderId="4" xfId="1" applyFont="1" applyFill="1" applyBorder="1" applyAlignment="1"/>
    <xf numFmtId="0" fontId="10" fillId="0" borderId="5" xfId="1" applyFont="1" applyFill="1" applyBorder="1" applyAlignment="1">
      <alignment horizontal="left" indent="2"/>
    </xf>
    <xf numFmtId="0" fontId="2" fillId="0" borderId="5" xfId="1" applyFont="1" applyFill="1" applyBorder="1" applyAlignment="1">
      <alignment horizontal="left" indent="1"/>
    </xf>
    <xf numFmtId="0" fontId="5" fillId="0" borderId="5" xfId="1" applyFont="1" applyFill="1" applyBorder="1" applyAlignment="1"/>
    <xf numFmtId="0" fontId="2" fillId="0" borderId="5" xfId="0" applyFont="1" applyBorder="1" applyAlignment="1">
      <alignment horizontal="left" indent="1"/>
    </xf>
    <xf numFmtId="0" fontId="2" fillId="0" borderId="5" xfId="1" applyFont="1" applyFill="1" applyBorder="1" applyAlignment="1"/>
    <xf numFmtId="5" fontId="5" fillId="2" borderId="4" xfId="2" applyNumberFormat="1" applyFont="1" applyFill="1" applyBorder="1"/>
    <xf numFmtId="5" fontId="2" fillId="0" borderId="0" xfId="0" applyNumberFormat="1" applyFont="1"/>
    <xf numFmtId="0" fontId="5" fillId="0" borderId="0" xfId="0" applyFont="1" applyFill="1" applyAlignment="1" applyProtection="1">
      <alignment horizontal="left" wrapText="1" indent="1"/>
    </xf>
    <xf numFmtId="0" fontId="3" fillId="0" borderId="0" xfId="0" applyFont="1" applyFill="1" applyAlignment="1">
      <alignment horizontal="center"/>
    </xf>
    <xf numFmtId="0" fontId="9" fillId="3" borderId="0" xfId="0" applyFont="1" applyFill="1" applyAlignment="1" applyProtection="1">
      <alignment horizontal="left" wrapText="1" indent="2"/>
    </xf>
    <xf numFmtId="0" fontId="9" fillId="3" borderId="0" xfId="0" applyFont="1" applyFill="1" applyAlignment="1" applyProtection="1">
      <alignment horizontal="left" wrapText="1" indent="1"/>
    </xf>
    <xf numFmtId="0" fontId="2" fillId="3" borderId="0" xfId="0" applyFont="1" applyFill="1" applyAlignment="1" applyProtection="1">
      <alignment horizontal="left" wrapText="1" indent="1"/>
    </xf>
    <xf numFmtId="0" fontId="4" fillId="3" borderId="0" xfId="0" applyFont="1" applyFill="1"/>
    <xf numFmtId="0" fontId="9" fillId="3" borderId="0" xfId="0" applyFont="1" applyFill="1" applyAlignment="1" applyProtection="1">
      <alignment wrapText="1"/>
    </xf>
    <xf numFmtId="0" fontId="8" fillId="3" borderId="0" xfId="0" applyFont="1" applyFill="1" applyAlignment="1" applyProtection="1">
      <alignment horizontal="left" wrapText="1" indent="1"/>
    </xf>
    <xf numFmtId="0" fontId="3" fillId="4" borderId="1" xfId="0" applyFont="1" applyFill="1" applyBorder="1"/>
    <xf numFmtId="0" fontId="4" fillId="4" borderId="1" xfId="0" applyFont="1" applyFill="1" applyBorder="1"/>
    <xf numFmtId="164" fontId="2" fillId="0" borderId="6" xfId="2" applyNumberFormat="1" applyFont="1" applyBorder="1"/>
    <xf numFmtId="164" fontId="2" fillId="0" borderId="6" xfId="2" applyNumberFormat="1" applyFont="1" applyFill="1" applyBorder="1"/>
    <xf numFmtId="16" fontId="3" fillId="0" borderId="0" xfId="0" applyNumberFormat="1" applyFont="1" applyAlignment="1">
      <alignment horizontal="center"/>
    </xf>
    <xf numFmtId="39" fontId="2" fillId="0" borderId="0" xfId="2" applyNumberFormat="1" applyFont="1"/>
    <xf numFmtId="165" fontId="10" fillId="0" borderId="6" xfId="5" applyNumberFormat="1" applyFont="1" applyBorder="1"/>
    <xf numFmtId="164" fontId="5" fillId="4" borderId="1" xfId="2" applyNumberFormat="1" applyFont="1" applyFill="1" applyBorder="1"/>
    <xf numFmtId="0" fontId="4" fillId="0" borderId="0" xfId="0" applyFont="1" applyBorder="1" applyAlignment="1">
      <alignment horizontal="left" indent="1"/>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165" fontId="10" fillId="0" borderId="2" xfId="5" applyNumberFormat="1" applyFont="1" applyBorder="1"/>
    <xf numFmtId="0" fontId="14" fillId="0" borderId="0" xfId="0" applyFont="1" applyBorder="1" applyAlignment="1">
      <alignment horizontal="center"/>
    </xf>
    <xf numFmtId="0" fontId="2" fillId="0" borderId="5" xfId="1" applyFont="1" applyFill="1" applyBorder="1" applyAlignment="1">
      <alignment horizontal="left" indent="2"/>
    </xf>
    <xf numFmtId="0" fontId="2" fillId="0" borderId="5" xfId="1" applyFont="1" applyFill="1" applyBorder="1" applyAlignment="1">
      <alignment horizontal="left" indent="3"/>
    </xf>
    <xf numFmtId="43" fontId="5" fillId="0" borderId="0" xfId="2" applyFont="1" applyBorder="1"/>
    <xf numFmtId="0" fontId="2" fillId="0" borderId="7" xfId="1" applyFont="1" applyFill="1" applyBorder="1" applyAlignment="1">
      <alignment horizontal="left" indent="1"/>
    </xf>
    <xf numFmtId="43" fontId="5" fillId="0" borderId="0" xfId="2" applyFont="1"/>
    <xf numFmtId="0" fontId="5" fillId="0" borderId="5" xfId="1" applyFont="1" applyFill="1" applyBorder="1" applyAlignment="1">
      <alignment horizontal="left" indent="2"/>
    </xf>
    <xf numFmtId="9" fontId="2" fillId="0" borderId="0" xfId="5" applyFont="1"/>
    <xf numFmtId="0" fontId="2" fillId="0" borderId="0" xfId="0" applyFont="1" applyBorder="1"/>
    <xf numFmtId="43" fontId="5" fillId="4" borderId="1" xfId="2" applyFont="1" applyFill="1" applyBorder="1"/>
    <xf numFmtId="0" fontId="2" fillId="4" borderId="1" xfId="0" applyFont="1" applyFill="1" applyBorder="1"/>
    <xf numFmtId="9" fontId="2" fillId="0" borderId="0" xfId="5" applyFont="1" applyBorder="1"/>
    <xf numFmtId="165" fontId="5" fillId="4" borderId="1" xfId="0" applyNumberFormat="1" applyFont="1" applyFill="1" applyBorder="1"/>
    <xf numFmtId="0" fontId="2" fillId="0" borderId="0" xfId="0" applyFont="1" applyFill="1" applyBorder="1"/>
    <xf numFmtId="0" fontId="15" fillId="0" borderId="0" xfId="0" applyFont="1" applyFill="1" applyAlignment="1" applyProtection="1">
      <alignment horizontal="left" wrapText="1" indent="1"/>
    </xf>
    <xf numFmtId="5" fontId="4" fillId="0" borderId="0" xfId="0" applyNumberFormat="1" applyFont="1"/>
    <xf numFmtId="165" fontId="2" fillId="0" borderId="0" xfId="5" applyNumberFormat="1" applyFont="1"/>
    <xf numFmtId="5" fontId="4" fillId="0" borderId="0" xfId="0" applyNumberFormat="1" applyFont="1" applyBorder="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7" fontId="5" fillId="2" borderId="1" xfId="2" applyNumberFormat="1" applyFont="1" applyFill="1" applyBorder="1"/>
    <xf numFmtId="0" fontId="10" fillId="0" borderId="5" xfId="0" applyFont="1" applyBorder="1" applyAlignment="1">
      <alignment horizontal="left" indent="2"/>
    </xf>
    <xf numFmtId="0" fontId="5" fillId="2" borderId="8" xfId="1" applyFont="1" applyFill="1" applyBorder="1" applyAlignment="1"/>
    <xf numFmtId="0" fontId="10" fillId="0" borderId="7" xfId="1" applyFont="1" applyFill="1" applyBorder="1" applyAlignment="1">
      <alignment horizontal="left" indent="2"/>
    </xf>
    <xf numFmtId="165" fontId="10" fillId="0" borderId="5" xfId="5" applyNumberFormat="1" applyFont="1" applyBorder="1" applyAlignment="1">
      <alignment horizontal="right"/>
    </xf>
    <xf numFmtId="10" fontId="2" fillId="0" borderId="0" xfId="0" applyNumberFormat="1" applyFont="1" applyBorder="1"/>
    <xf numFmtId="0" fontId="5" fillId="0" borderId="0" xfId="0" applyFont="1" applyBorder="1" applyAlignment="1">
      <alignment horizontal="left"/>
    </xf>
    <xf numFmtId="0" fontId="10" fillId="0" borderId="0" xfId="1" applyFont="1" applyFill="1" applyBorder="1" applyAlignment="1">
      <alignment horizontal="left" indent="2"/>
    </xf>
    <xf numFmtId="0" fontId="10" fillId="0" borderId="2" xfId="1" applyFont="1" applyFill="1" applyBorder="1" applyAlignment="1">
      <alignment horizontal="left" indent="2"/>
    </xf>
    <xf numFmtId="164" fontId="4" fillId="0" borderId="0" xfId="3" applyNumberFormat="1" applyFont="1"/>
    <xf numFmtId="5" fontId="3" fillId="2" borderId="1" xfId="3" applyNumberFormat="1" applyFont="1" applyFill="1" applyBorder="1"/>
    <xf numFmtId="5" fontId="4" fillId="0" borderId="0" xfId="3" applyNumberFormat="1" applyFont="1"/>
    <xf numFmtId="5" fontId="3" fillId="0" borderId="1" xfId="3" applyNumberFormat="1" applyFont="1" applyBorder="1"/>
    <xf numFmtId="0" fontId="3" fillId="0" borderId="1" xfId="0" applyFont="1" applyFill="1" applyBorder="1" applyAlignment="1" applyProtection="1">
      <alignment wrapText="1"/>
    </xf>
    <xf numFmtId="164" fontId="4" fillId="0" borderId="0" xfId="3" applyNumberFormat="1" applyFont="1" applyBorder="1"/>
    <xf numFmtId="0" fontId="4" fillId="0" borderId="0" xfId="0" applyFont="1" applyFill="1" applyBorder="1" applyAlignment="1" applyProtection="1">
      <alignment wrapText="1"/>
    </xf>
    <xf numFmtId="37" fontId="4" fillId="0" borderId="0" xfId="3" applyNumberFormat="1" applyFont="1"/>
    <xf numFmtId="37" fontId="4" fillId="3" borderId="0" xfId="3" applyNumberFormat="1" applyFont="1" applyFill="1"/>
    <xf numFmtId="164" fontId="4" fillId="3" borderId="0" xfId="3" applyNumberFormat="1" applyFont="1" applyFill="1"/>
    <xf numFmtId="5" fontId="4" fillId="3" borderId="0" xfId="3" applyNumberFormat="1" applyFont="1" applyFill="1"/>
    <xf numFmtId="43" fontId="4" fillId="3" borderId="0" xfId="3" applyFont="1" applyFill="1"/>
    <xf numFmtId="5" fontId="3" fillId="3" borderId="0" xfId="3" applyNumberFormat="1"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5" fontId="3" fillId="0" borderId="0" xfId="3" applyNumberFormat="1" applyFont="1"/>
    <xf numFmtId="5" fontId="2" fillId="0" borderId="0" xfId="3" applyNumberFormat="1" applyFont="1"/>
    <xf numFmtId="5" fontId="5" fillId="2" borderId="1" xfId="3" applyNumberFormat="1" applyFont="1" applyFill="1" applyBorder="1"/>
    <xf numFmtId="5" fontId="5" fillId="0" borderId="0" xfId="3" applyNumberFormat="1" applyFont="1"/>
    <xf numFmtId="37" fontId="5" fillId="0" borderId="3" xfId="3" applyNumberFormat="1" applyFont="1" applyBorder="1"/>
    <xf numFmtId="5" fontId="5" fillId="0" borderId="2" xfId="3" applyNumberFormat="1" applyFont="1" applyBorder="1"/>
    <xf numFmtId="37" fontId="2" fillId="0" borderId="0" xfId="3" applyNumberFormat="1" applyFont="1"/>
    <xf numFmtId="37" fontId="2" fillId="3" borderId="0" xfId="3" applyNumberFormat="1" applyFont="1" applyFill="1"/>
    <xf numFmtId="0" fontId="10" fillId="0" borderId="0" xfId="0" applyFont="1" applyBorder="1"/>
    <xf numFmtId="166" fontId="2" fillId="0" borderId="0" xfId="2" applyNumberFormat="1" applyFont="1" applyBorder="1" applyAlignment="1">
      <alignment horizontal="right"/>
    </xf>
    <xf numFmtId="9" fontId="2" fillId="0" borderId="0" xfId="5" applyFont="1" applyFill="1"/>
    <xf numFmtId="0" fontId="18" fillId="0" borderId="0" xfId="0" applyFont="1"/>
    <xf numFmtId="167" fontId="2" fillId="0" borderId="0" xfId="0" applyNumberFormat="1" applyFont="1"/>
    <xf numFmtId="9" fontId="10" fillId="0" borderId="0" xfId="5" applyFont="1"/>
    <xf numFmtId="0" fontId="19" fillId="0" borderId="0" xfId="0" applyFont="1"/>
    <xf numFmtId="4" fontId="2" fillId="0" borderId="0" xfId="0" applyNumberFormat="1" applyFont="1"/>
    <xf numFmtId="9" fontId="5" fillId="0" borderId="0" xfId="5" applyFont="1" applyBorder="1"/>
    <xf numFmtId="7" fontId="5" fillId="0" borderId="0" xfId="2" applyNumberFormat="1" applyFont="1"/>
    <xf numFmtId="5" fontId="5" fillId="0" borderId="0" xfId="2" applyNumberFormat="1" applyFont="1" applyFill="1"/>
    <xf numFmtId="165" fontId="10" fillId="0" borderId="0" xfId="5" applyNumberFormat="1" applyFont="1" applyFill="1"/>
    <xf numFmtId="37" fontId="2" fillId="0" borderId="0" xfId="2" applyNumberFormat="1" applyFont="1" applyFill="1"/>
    <xf numFmtId="37" fontId="2" fillId="0" borderId="0" xfId="0" applyNumberFormat="1" applyFont="1" applyFill="1"/>
    <xf numFmtId="7" fontId="5" fillId="0" borderId="0" xfId="2" applyNumberFormat="1" applyFont="1" applyBorder="1"/>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44" fontId="2" fillId="0" borderId="0" xfId="2" applyNumberFormat="1" applyFont="1"/>
    <xf numFmtId="164" fontId="4" fillId="0" borderId="0" xfId="2" applyNumberFormat="1" applyFont="1"/>
    <xf numFmtId="164" fontId="2" fillId="0" borderId="0" xfId="3" applyNumberFormat="1" applyFont="1"/>
    <xf numFmtId="9" fontId="2" fillId="0" borderId="0" xfId="5" applyNumberFormat="1" applyFont="1" applyBorder="1"/>
    <xf numFmtId="10" fontId="10" fillId="0" borderId="2" xfId="5" applyNumberFormat="1" applyFont="1" applyBorder="1"/>
    <xf numFmtId="0" fontId="5" fillId="0" borderId="0" xfId="0" applyFont="1" applyAlignment="1">
      <alignment horizontal="center"/>
    </xf>
    <xf numFmtId="165" fontId="10" fillId="0" borderId="2" xfId="5" applyNumberFormat="1" applyFont="1" applyFill="1" applyBorder="1"/>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16" fontId="3" fillId="0" borderId="0" xfId="0" applyNumberFormat="1" applyFont="1" applyAlignment="1">
      <alignment horizontal="center" wrapText="1"/>
    </xf>
    <xf numFmtId="0" fontId="5" fillId="0" borderId="0" xfId="0" applyFont="1" applyAlignment="1">
      <alignment horizontal="center"/>
    </xf>
    <xf numFmtId="3" fontId="5" fillId="4" borderId="1" xfId="2" applyNumberFormat="1" applyFont="1" applyFill="1" applyBorder="1"/>
    <xf numFmtId="0" fontId="5" fillId="0" borderId="0" xfId="0" applyFont="1" applyAlignment="1">
      <alignment horizontal="center"/>
    </xf>
    <xf numFmtId="0" fontId="20" fillId="0" borderId="0" xfId="4" applyBorder="1" applyAlignment="1" applyProtection="1"/>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5" fontId="2" fillId="0" borderId="0" xfId="0" applyNumberFormat="1" applyFont="1" applyBorder="1"/>
    <xf numFmtId="0" fontId="5" fillId="0" borderId="0" xfId="0" applyFont="1" applyAlignment="1">
      <alignment horizontal="center"/>
    </xf>
    <xf numFmtId="16" fontId="5" fillId="0" borderId="0" xfId="0" applyNumberFormat="1" applyFont="1" applyAlignment="1">
      <alignment horizontal="center" wrapText="1"/>
    </xf>
    <xf numFmtId="0" fontId="5" fillId="0" borderId="0" xfId="0" applyFont="1" applyBorder="1"/>
    <xf numFmtId="0" fontId="5" fillId="0" borderId="0" xfId="0" applyFont="1" applyAlignment="1">
      <alignment horizontal="center"/>
    </xf>
    <xf numFmtId="164" fontId="4" fillId="0" borderId="0" xfId="2" applyNumberFormat="1" applyFont="1" applyFill="1" applyBorder="1"/>
    <xf numFmtId="5" fontId="3" fillId="0" borderId="0" xfId="0" applyNumberFormat="1" applyFont="1" applyBorder="1"/>
    <xf numFmtId="37" fontId="4" fillId="0" borderId="0" xfId="0" applyNumberFormat="1" applyFont="1"/>
    <xf numFmtId="0" fontId="2" fillId="0" borderId="0" xfId="0" applyFont="1" applyFill="1" applyAlignment="1" applyProtection="1">
      <alignment horizontal="left" indent="3"/>
    </xf>
    <xf numFmtId="0" fontId="2" fillId="0" borderId="0" xfId="0" applyFont="1" applyFill="1" applyAlignment="1" applyProtection="1">
      <alignment horizontal="left" indent="2"/>
    </xf>
    <xf numFmtId="0" fontId="5" fillId="0" borderId="0" xfId="0" applyFont="1" applyAlignment="1">
      <alignment horizontal="center"/>
    </xf>
    <xf numFmtId="0" fontId="3" fillId="0" borderId="0" xfId="0" applyFont="1" applyBorder="1" applyAlignment="1">
      <alignment horizontal="right"/>
    </xf>
    <xf numFmtId="5" fontId="2" fillId="0" borderId="0" xfId="3" applyNumberFormat="1" applyFont="1" applyFill="1"/>
    <xf numFmtId="5" fontId="4" fillId="0" borderId="0" xfId="0" applyNumberFormat="1" applyFont="1" applyFill="1" applyBorder="1"/>
    <xf numFmtId="37" fontId="2" fillId="0" borderId="0" xfId="3" applyNumberFormat="1" applyFont="1" applyFill="1"/>
    <xf numFmtId="0" fontId="22" fillId="0" borderId="0" xfId="0" applyFont="1" applyAlignment="1">
      <alignment horizontal="center"/>
    </xf>
    <xf numFmtId="0" fontId="22" fillId="0" borderId="0" xfId="0" applyFont="1"/>
    <xf numFmtId="0" fontId="23" fillId="0" borderId="0" xfId="0" applyFont="1"/>
    <xf numFmtId="0" fontId="24" fillId="0" borderId="0" xfId="0" applyFont="1"/>
    <xf numFmtId="0" fontId="22" fillId="0" borderId="0" xfId="0" applyFont="1" applyBorder="1" applyAlignment="1">
      <alignment horizontal="center"/>
    </xf>
    <xf numFmtId="0" fontId="22" fillId="0" borderId="0" xfId="0" applyFont="1" applyBorder="1"/>
    <xf numFmtId="0" fontId="25" fillId="0" borderId="0" xfId="0" applyFont="1" applyBorder="1" applyAlignment="1">
      <alignment horizontal="center"/>
    </xf>
    <xf numFmtId="0" fontId="26" fillId="0" borderId="0" xfId="0" applyFont="1" applyBorder="1"/>
    <xf numFmtId="0" fontId="23" fillId="0" borderId="0" xfId="0" applyFont="1" applyBorder="1"/>
    <xf numFmtId="0" fontId="22" fillId="4" borderId="1" xfId="0" applyFont="1" applyFill="1" applyBorder="1" applyAlignment="1">
      <alignment horizontal="center"/>
    </xf>
    <xf numFmtId="0" fontId="26" fillId="4" borderId="1" xfId="0" applyFont="1" applyFill="1" applyBorder="1"/>
    <xf numFmtId="5" fontId="25" fillId="4" borderId="1" xfId="2" applyNumberFormat="1" applyFont="1" applyFill="1" applyBorder="1"/>
    <xf numFmtId="0" fontId="22" fillId="0" borderId="0" xfId="0" applyFont="1" applyBorder="1" applyAlignment="1">
      <alignment horizontal="left" indent="1"/>
    </xf>
    <xf numFmtId="165" fontId="22" fillId="0" borderId="0" xfId="5" applyNumberFormat="1" applyFont="1" applyBorder="1"/>
    <xf numFmtId="165" fontId="23" fillId="0" borderId="0" xfId="5" applyNumberFormat="1" applyFont="1" applyBorder="1"/>
    <xf numFmtId="37" fontId="23" fillId="3" borderId="0" xfId="2" applyNumberFormat="1" applyFont="1" applyFill="1" applyBorder="1"/>
    <xf numFmtId="0" fontId="22" fillId="0" borderId="0" xfId="0" applyFont="1" applyAlignment="1"/>
    <xf numFmtId="0" fontId="26" fillId="4" borderId="0" xfId="0" applyFont="1" applyFill="1" applyBorder="1"/>
    <xf numFmtId="5" fontId="25" fillId="4" borderId="0" xfId="2" applyNumberFormat="1" applyFont="1" applyFill="1" applyBorder="1"/>
    <xf numFmtId="42" fontId="25" fillId="4" borderId="0" xfId="2" applyNumberFormat="1" applyFont="1" applyFill="1" applyBorder="1"/>
    <xf numFmtId="0" fontId="22" fillId="0" borderId="0" xfId="0" applyFont="1" applyAlignment="1">
      <alignment horizontal="left"/>
    </xf>
    <xf numFmtId="165" fontId="23" fillId="3" borderId="0" xfId="5" applyNumberFormat="1" applyFont="1" applyFill="1" applyBorder="1"/>
    <xf numFmtId="165" fontId="22" fillId="0" borderId="0" xfId="5" applyNumberFormat="1" applyFont="1" applyFill="1" applyBorder="1"/>
    <xf numFmtId="165" fontId="23" fillId="0" borderId="0" xfId="5" applyNumberFormat="1" applyFont="1" applyFill="1" applyBorder="1"/>
    <xf numFmtId="0" fontId="23" fillId="4" borderId="1" xfId="0" applyFont="1" applyFill="1" applyBorder="1"/>
    <xf numFmtId="0" fontId="23" fillId="0" borderId="0" xfId="0" applyFont="1" applyBorder="1" applyAlignment="1">
      <alignment horizontal="left" indent="1"/>
    </xf>
    <xf numFmtId="5" fontId="23" fillId="0" borderId="0" xfId="0" applyNumberFormat="1" applyFont="1" applyBorder="1"/>
    <xf numFmtId="0" fontId="27" fillId="0" borderId="0" xfId="0" applyFont="1" applyBorder="1" applyAlignment="1">
      <alignment horizontal="center"/>
    </xf>
    <xf numFmtId="9" fontId="23" fillId="0" borderId="0" xfId="0" applyNumberFormat="1" applyFont="1" applyFill="1" applyBorder="1"/>
    <xf numFmtId="9" fontId="22" fillId="0" borderId="0" xfId="0" applyNumberFormat="1" applyFont="1"/>
    <xf numFmtId="9" fontId="23" fillId="0" borderId="0" xfId="5" applyFont="1" applyBorder="1"/>
    <xf numFmtId="9" fontId="23" fillId="0" borderId="0" xfId="5" applyNumberFormat="1" applyFont="1" applyBorder="1"/>
    <xf numFmtId="9" fontId="24" fillId="0" borderId="0" xfId="5" applyNumberFormat="1" applyFont="1"/>
    <xf numFmtId="0" fontId="24" fillId="0" borderId="0" xfId="0" applyFont="1" applyAlignment="1"/>
    <xf numFmtId="164" fontId="2" fillId="0" borderId="0" xfId="0" applyNumberFormat="1" applyFont="1"/>
    <xf numFmtId="0" fontId="4" fillId="0" borderId="0" xfId="0" applyFont="1" applyBorder="1" applyAlignment="1">
      <alignment horizontal="right"/>
    </xf>
    <xf numFmtId="5" fontId="3" fillId="0" borderId="0" xfId="0" applyNumberFormat="1" applyFont="1" applyBorder="1" applyAlignment="1">
      <alignment horizontal="right"/>
    </xf>
    <xf numFmtId="5" fontId="4" fillId="0" borderId="0" xfId="0" applyNumberFormat="1" applyFont="1" applyFill="1" applyBorder="1" applyAlignment="1">
      <alignment horizontal="right"/>
    </xf>
    <xf numFmtId="5" fontId="5" fillId="0" borderId="2" xfId="3" applyNumberFormat="1" applyFont="1" applyBorder="1" applyAlignment="1">
      <alignment horizontal="right"/>
    </xf>
    <xf numFmtId="37" fontId="5" fillId="0" borderId="3" xfId="3" applyNumberFormat="1" applyFont="1" applyBorder="1" applyAlignment="1">
      <alignment horizontal="right"/>
    </xf>
    <xf numFmtId="5" fontId="5" fillId="2" borderId="1" xfId="3" applyNumberFormat="1" applyFont="1" applyFill="1" applyBorder="1" applyAlignment="1">
      <alignment horizontal="right"/>
    </xf>
    <xf numFmtId="0" fontId="4" fillId="0" borderId="0" xfId="0" applyFont="1" applyAlignment="1">
      <alignment horizontal="right"/>
    </xf>
    <xf numFmtId="5" fontId="4" fillId="0" borderId="0" xfId="0" applyNumberFormat="1" applyFont="1" applyBorder="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37" fontId="2" fillId="0" borderId="0" xfId="3" applyNumberFormat="1" applyFont="1" applyAlignment="1">
      <alignment horizontal="right"/>
    </xf>
    <xf numFmtId="42" fontId="25" fillId="4" borderId="3" xfId="2" applyNumberFormat="1" applyFont="1" applyFill="1" applyBorder="1"/>
    <xf numFmtId="0" fontId="24" fillId="0" borderId="3" xfId="0" applyFont="1" applyBorder="1"/>
    <xf numFmtId="0" fontId="22" fillId="0" borderId="0" xfId="0" applyFont="1" applyAlignment="1">
      <alignment horizontal="left" wrapText="1"/>
    </xf>
    <xf numFmtId="43" fontId="4" fillId="3" borderId="0" xfId="2" applyFont="1" applyFill="1"/>
    <xf numFmtId="43" fontId="4" fillId="0" borderId="0" xfId="2" applyFont="1"/>
    <xf numFmtId="9" fontId="24" fillId="0" borderId="0" xfId="5" applyFont="1"/>
    <xf numFmtId="43" fontId="2" fillId="0" borderId="0" xfId="2" applyFont="1" applyBorder="1" applyAlignment="1">
      <alignment horizontal="right"/>
    </xf>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43" fontId="5" fillId="0" borderId="3" xfId="2" applyFont="1" applyBorder="1" applyAlignment="1">
      <alignment horizontal="right"/>
    </xf>
    <xf numFmtId="43" fontId="5" fillId="0" borderId="3" xfId="2" applyFont="1" applyBorder="1"/>
    <xf numFmtId="43" fontId="4" fillId="0" borderId="0" xfId="2" applyFont="1" applyBorder="1"/>
    <xf numFmtId="43" fontId="4" fillId="0" borderId="0" xfId="2" applyFont="1" applyAlignment="1">
      <alignment horizontal="right"/>
    </xf>
    <xf numFmtId="43" fontId="2" fillId="0" borderId="0" xfId="2" applyFont="1" applyAlignment="1">
      <alignment horizontal="right"/>
    </xf>
    <xf numFmtId="164" fontId="2" fillId="0" borderId="0" xfId="0" applyNumberFormat="1" applyFont="1" applyFill="1"/>
    <xf numFmtId="0" fontId="5" fillId="5" borderId="0" xfId="0" applyFont="1" applyFill="1" applyAlignment="1">
      <alignment horizontal="center"/>
    </xf>
    <xf numFmtId="0" fontId="2" fillId="5" borderId="0" xfId="0" applyFont="1" applyFill="1"/>
    <xf numFmtId="164" fontId="5" fillId="5" borderId="1" xfId="2" applyNumberFormat="1" applyFont="1" applyFill="1" applyBorder="1"/>
    <xf numFmtId="165" fontId="10" fillId="5" borderId="0" xfId="5" applyNumberFormat="1" applyFont="1" applyFill="1"/>
    <xf numFmtId="164" fontId="2" fillId="5" borderId="0" xfId="2" applyNumberFormat="1" applyFont="1" applyFill="1"/>
    <xf numFmtId="9" fontId="2" fillId="5" borderId="0" xfId="5" applyFont="1" applyFill="1"/>
    <xf numFmtId="164" fontId="5" fillId="5" borderId="0" xfId="2" applyNumberFormat="1" applyFont="1" applyFill="1"/>
    <xf numFmtId="5" fontId="5" fillId="5" borderId="1" xfId="2" applyNumberFormat="1" applyFont="1" applyFill="1" applyBorder="1"/>
    <xf numFmtId="5" fontId="2" fillId="5" borderId="0" xfId="2" applyNumberFormat="1" applyFont="1" applyFill="1"/>
    <xf numFmtId="37" fontId="2" fillId="5" borderId="0" xfId="2" applyNumberFormat="1" applyFont="1" applyFill="1"/>
    <xf numFmtId="165" fontId="10" fillId="5" borderId="0" xfId="5" applyNumberFormat="1" applyFont="1" applyFill="1" applyAlignment="1">
      <alignment horizontal="right"/>
    </xf>
    <xf numFmtId="165" fontId="10" fillId="5" borderId="6" xfId="5" applyNumberFormat="1" applyFont="1" applyFill="1" applyBorder="1"/>
    <xf numFmtId="7" fontId="2" fillId="5" borderId="0" xfId="2" applyNumberFormat="1" applyFont="1" applyFill="1"/>
    <xf numFmtId="39" fontId="2" fillId="5" borderId="0" xfId="2" applyNumberFormat="1" applyFont="1" applyFill="1"/>
    <xf numFmtId="7" fontId="5" fillId="5" borderId="0" xfId="2" applyNumberFormat="1" applyFont="1" applyFill="1"/>
    <xf numFmtId="43" fontId="5" fillId="5" borderId="0" xfId="2" applyFont="1" applyFill="1" applyBorder="1"/>
    <xf numFmtId="43" fontId="2" fillId="5" borderId="0" xfId="2" applyFont="1" applyFill="1"/>
    <xf numFmtId="164" fontId="2" fillId="5" borderId="6" xfId="2" applyNumberFormat="1" applyFont="1" applyFill="1" applyBorder="1"/>
    <xf numFmtId="164" fontId="2" fillId="5" borderId="0" xfId="2" applyNumberFormat="1" applyFont="1" applyFill="1" applyBorder="1" applyAlignment="1">
      <alignment horizontal="right"/>
    </xf>
    <xf numFmtId="165" fontId="10" fillId="5" borderId="0" xfId="5" applyNumberFormat="1" applyFont="1" applyFill="1" applyBorder="1"/>
    <xf numFmtId="37" fontId="2" fillId="5" borderId="0" xfId="0" applyNumberFormat="1" applyFont="1" applyFill="1"/>
    <xf numFmtId="165" fontId="10" fillId="5" borderId="0" xfId="5" applyNumberFormat="1" applyFont="1" applyFill="1" applyBorder="1" applyAlignment="1">
      <alignment horizontal="right"/>
    </xf>
    <xf numFmtId="166" fontId="2" fillId="5" borderId="0" xfId="2" applyNumberFormat="1" applyFont="1" applyFill="1" applyBorder="1" applyAlignment="1">
      <alignment horizontal="right"/>
    </xf>
    <xf numFmtId="7" fontId="5" fillId="5" borderId="1" xfId="2" applyNumberFormat="1" applyFont="1" applyFill="1" applyBorder="1"/>
    <xf numFmtId="165" fontId="10" fillId="5" borderId="2" xfId="5" applyNumberFormat="1" applyFont="1" applyFill="1" applyBorder="1"/>
    <xf numFmtId="0" fontId="5" fillId="5" borderId="0" xfId="0" applyFont="1" applyFill="1"/>
    <xf numFmtId="5" fontId="5" fillId="5" borderId="0" xfId="2" applyNumberFormat="1" applyFont="1" applyFill="1"/>
    <xf numFmtId="5" fontId="2" fillId="5" borderId="0" xfId="0" applyNumberFormat="1" applyFont="1" applyFill="1"/>
    <xf numFmtId="0" fontId="25" fillId="6" borderId="0" xfId="0" applyFont="1" applyFill="1" applyBorder="1" applyAlignment="1">
      <alignment horizontal="center"/>
    </xf>
    <xf numFmtId="0" fontId="23" fillId="6" borderId="0" xfId="0" applyFont="1" applyFill="1" applyBorder="1"/>
    <xf numFmtId="5" fontId="25" fillId="6" borderId="1" xfId="2" applyNumberFormat="1" applyFont="1" applyFill="1" applyBorder="1"/>
    <xf numFmtId="165" fontId="22" fillId="6" borderId="0" xfId="5" applyNumberFormat="1" applyFont="1" applyFill="1" applyBorder="1"/>
    <xf numFmtId="165" fontId="23" fillId="6" borderId="0" xfId="5" applyNumberFormat="1" applyFont="1" applyFill="1" applyBorder="1"/>
    <xf numFmtId="37" fontId="23" fillId="6" borderId="0" xfId="2" applyNumberFormat="1" applyFont="1" applyFill="1" applyBorder="1"/>
    <xf numFmtId="5" fontId="25" fillId="6" borderId="0" xfId="2" applyNumberFormat="1" applyFont="1" applyFill="1" applyBorder="1"/>
    <xf numFmtId="0" fontId="24" fillId="6" borderId="0" xfId="0" applyFont="1" applyFill="1"/>
    <xf numFmtId="165" fontId="24" fillId="6" borderId="0" xfId="5" applyNumberFormat="1" applyFont="1" applyFill="1"/>
    <xf numFmtId="42" fontId="25" fillId="6" borderId="0" xfId="2" applyNumberFormat="1" applyFont="1" applyFill="1" applyBorder="1"/>
    <xf numFmtId="42" fontId="25" fillId="6" borderId="1" xfId="2" applyNumberFormat="1" applyFont="1" applyFill="1" applyBorder="1"/>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3" fillId="6" borderId="0" xfId="0" applyNumberFormat="1" applyFont="1" applyFill="1" applyBorder="1"/>
    <xf numFmtId="9" fontId="23" fillId="6" borderId="0" xfId="0" applyNumberFormat="1" applyFont="1" applyFill="1" applyBorder="1"/>
    <xf numFmtId="9" fontId="24" fillId="6" borderId="0" xfId="5" applyNumberFormat="1" applyFont="1" applyFill="1"/>
    <xf numFmtId="9" fontId="23" fillId="6" borderId="0" xfId="5" applyNumberFormat="1" applyFont="1" applyFill="1" applyBorder="1"/>
    <xf numFmtId="0" fontId="23" fillId="6" borderId="1" xfId="0" applyFont="1" applyFill="1" applyBorder="1"/>
    <xf numFmtId="9" fontId="23" fillId="6" borderId="0" xfId="5" applyFont="1" applyFill="1" applyBorder="1"/>
    <xf numFmtId="165" fontId="23" fillId="0" borderId="0" xfId="0" applyNumberFormat="1" applyFont="1" applyFill="1" applyBorder="1"/>
    <xf numFmtId="165" fontId="10" fillId="5" borderId="2" xfId="5" applyNumberFormat="1" applyFont="1" applyFill="1" applyBorder="1" applyAlignment="1">
      <alignment horizontal="right"/>
    </xf>
    <xf numFmtId="0" fontId="10" fillId="0" borderId="0" xfId="0" applyFont="1" applyBorder="1" applyAlignment="1"/>
    <xf numFmtId="0" fontId="4" fillId="0" borderId="0" xfId="0" applyFont="1" applyFill="1"/>
    <xf numFmtId="165" fontId="5" fillId="0" borderId="0" xfId="5" applyNumberFormat="1" applyFont="1" applyFill="1"/>
    <xf numFmtId="0" fontId="10" fillId="0" borderId="0" xfId="0" applyFont="1" applyFill="1" applyBorder="1" applyAlignment="1"/>
    <xf numFmtId="9" fontId="4" fillId="0" borderId="0" xfId="5" applyNumberFormat="1" applyFont="1" applyBorder="1"/>
    <xf numFmtId="0" fontId="22" fillId="0" borderId="0" xfId="0" applyFont="1" applyAlignment="1">
      <alignment horizontal="left" wrapText="1"/>
    </xf>
    <xf numFmtId="0" fontId="22" fillId="0" borderId="0" xfId="0" applyFont="1" applyAlignment="1">
      <alignment horizontal="left" wrapText="1"/>
    </xf>
    <xf numFmtId="165" fontId="4" fillId="0" borderId="0" xfId="5" applyNumberFormat="1" applyFont="1"/>
    <xf numFmtId="43" fontId="24" fillId="0" borderId="0" xfId="2" applyFont="1"/>
    <xf numFmtId="43" fontId="2" fillId="5" borderId="0" xfId="2" applyFont="1" applyFill="1" applyBorder="1" applyAlignment="1">
      <alignment horizontal="right"/>
    </xf>
    <xf numFmtId="164" fontId="2" fillId="5" borderId="0" xfId="0" applyNumberFormat="1" applyFont="1" applyFill="1"/>
    <xf numFmtId="0" fontId="32" fillId="0" borderId="0" xfId="0" applyFont="1" applyFill="1"/>
    <xf numFmtId="164" fontId="32" fillId="0" borderId="0" xfId="2" applyNumberFormat="1" applyFont="1" applyFill="1"/>
    <xf numFmtId="43" fontId="32" fillId="0" borderId="0" xfId="2" applyFont="1" applyFill="1"/>
    <xf numFmtId="43" fontId="2" fillId="0" borderId="0" xfId="0" applyNumberFormat="1" applyFont="1" applyFill="1"/>
    <xf numFmtId="16" fontId="5" fillId="5" borderId="0" xfId="0" applyNumberFormat="1" applyFont="1" applyFill="1" applyAlignment="1">
      <alignment horizontal="center" wrapText="1"/>
    </xf>
    <xf numFmtId="0" fontId="5" fillId="5" borderId="0" xfId="0" applyFont="1" applyFill="1" applyBorder="1"/>
    <xf numFmtId="0" fontId="2" fillId="5" borderId="0" xfId="0" applyFont="1" applyFill="1" applyBorder="1"/>
    <xf numFmtId="5" fontId="5" fillId="5" borderId="0" xfId="3" applyNumberFormat="1" applyFont="1" applyFill="1"/>
    <xf numFmtId="37" fontId="2" fillId="5" borderId="0" xfId="3" applyNumberFormat="1" applyFont="1" applyFill="1"/>
    <xf numFmtId="5" fontId="2" fillId="5" borderId="0" xfId="3" applyNumberFormat="1" applyFont="1" applyFill="1"/>
    <xf numFmtId="5" fontId="5" fillId="5" borderId="2" xfId="3" applyNumberFormat="1" applyFont="1" applyFill="1" applyBorder="1"/>
    <xf numFmtId="43" fontId="5" fillId="5" borderId="3" xfId="2" applyFont="1" applyFill="1" applyBorder="1"/>
    <xf numFmtId="5" fontId="5" fillId="5" borderId="1" xfId="3" applyNumberFormat="1" applyFont="1" applyFill="1" applyBorder="1"/>
    <xf numFmtId="5" fontId="2" fillId="5" borderId="0" xfId="0" applyNumberFormat="1" applyFont="1" applyFill="1" applyBorder="1"/>
    <xf numFmtId="37" fontId="5" fillId="5" borderId="3" xfId="3" applyNumberFormat="1" applyFont="1" applyFill="1" applyBorder="1"/>
    <xf numFmtId="5" fontId="4" fillId="5" borderId="0" xfId="0" applyNumberFormat="1" applyFont="1" applyFill="1" applyBorder="1"/>
    <xf numFmtId="9" fontId="4" fillId="0" borderId="0" xfId="5" applyFont="1" applyBorder="1"/>
    <xf numFmtId="165" fontId="2" fillId="0" borderId="0" xfId="5" applyNumberFormat="1" applyFont="1" applyBorder="1"/>
    <xf numFmtId="0" fontId="22" fillId="0" borderId="0" xfId="0" applyFont="1" applyAlignment="1">
      <alignment horizontal="left" wrapText="1"/>
    </xf>
    <xf numFmtId="7" fontId="5" fillId="2" borderId="1" xfId="2" applyNumberFormat="1" applyFont="1" applyFill="1" applyBorder="1" applyAlignment="1">
      <alignment horizontal="right"/>
    </xf>
    <xf numFmtId="5" fontId="24"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22" fillId="0" borderId="0" xfId="0" applyFont="1" applyAlignment="1">
      <alignment horizontal="left" wrapText="1"/>
    </xf>
    <xf numFmtId="0" fontId="22" fillId="0" borderId="0" xfId="0" applyFont="1" applyAlignment="1">
      <alignment horizontal="left" wrapText="1"/>
    </xf>
    <xf numFmtId="0" fontId="33" fillId="0" borderId="0" xfId="0" applyFont="1" applyBorder="1"/>
    <xf numFmtId="5" fontId="2" fillId="7" borderId="0" xfId="0" applyNumberFormat="1" applyFont="1" applyFill="1" applyBorder="1"/>
    <xf numFmtId="0" fontId="5" fillId="0" borderId="0" xfId="0" applyFont="1" applyBorder="1" applyAlignment="1">
      <alignment horizontal="center"/>
    </xf>
    <xf numFmtId="164" fontId="2" fillId="7" borderId="0" xfId="2" applyNumberFormat="1" applyFont="1" applyFill="1" applyBorder="1"/>
    <xf numFmtId="5" fontId="5" fillId="7" borderId="0" xfId="0" applyNumberFormat="1" applyFont="1" applyFill="1" applyBorder="1"/>
    <xf numFmtId="164" fontId="23" fillId="0" borderId="0" xfId="2" applyNumberFormat="1" applyFont="1" applyBorder="1"/>
    <xf numFmtId="164" fontId="24" fillId="0" borderId="0" xfId="2" applyNumberFormat="1" applyFont="1"/>
    <xf numFmtId="9" fontId="35" fillId="0" borderId="0" xfId="5" applyNumberFormat="1" applyFont="1"/>
    <xf numFmtId="9" fontId="35" fillId="0" borderId="0" xfId="5" applyFont="1"/>
    <xf numFmtId="43" fontId="10" fillId="0" borderId="0" xfId="2" applyFont="1"/>
    <xf numFmtId="164" fontId="10" fillId="0" borderId="0" xfId="2" applyNumberFormat="1" applyFont="1"/>
    <xf numFmtId="43" fontId="10" fillId="5" borderId="0" xfId="2" applyFont="1" applyFill="1"/>
    <xf numFmtId="43" fontId="2" fillId="3" borderId="0" xfId="2" applyFont="1" applyFill="1"/>
    <xf numFmtId="164" fontId="4" fillId="3" borderId="0" xfId="2" applyNumberFormat="1" applyFont="1" applyFill="1"/>
    <xf numFmtId="0" fontId="22" fillId="0" borderId="0" xfId="0" applyFont="1" applyAlignment="1">
      <alignment horizontal="left" wrapText="1"/>
    </xf>
    <xf numFmtId="0" fontId="22" fillId="0" borderId="0" xfId="0" applyFont="1" applyBorder="1" applyAlignment="1">
      <alignment horizontal="center" vertical="center"/>
    </xf>
    <xf numFmtId="0" fontId="22" fillId="0" borderId="0" xfId="0" applyFont="1" applyBorder="1" applyAlignment="1">
      <alignment vertical="center"/>
    </xf>
    <xf numFmtId="0" fontId="25" fillId="0" borderId="0" xfId="0" applyFont="1" applyAlignment="1">
      <alignment horizontal="center" vertical="center"/>
    </xf>
    <xf numFmtId="0" fontId="28" fillId="6" borderId="10" xfId="0" applyFont="1" applyFill="1" applyBorder="1" applyAlignment="1">
      <alignment horizontal="center" vertical="center"/>
    </xf>
    <xf numFmtId="0" fontId="28" fillId="6" borderId="11" xfId="0" applyFont="1" applyFill="1" applyBorder="1" applyAlignment="1">
      <alignment horizontal="center" vertical="center"/>
    </xf>
    <xf numFmtId="0" fontId="32" fillId="0" borderId="0" xfId="0" applyFont="1" applyFill="1" applyAlignment="1">
      <alignment vertical="center"/>
    </xf>
    <xf numFmtId="0" fontId="24" fillId="0" borderId="0" xfId="0" applyFont="1" applyAlignment="1">
      <alignment vertical="center"/>
    </xf>
    <xf numFmtId="165" fontId="10" fillId="0" borderId="0" xfId="5" applyNumberFormat="1" applyFont="1" applyFill="1" applyBorder="1" applyAlignment="1">
      <alignment horizontal="right"/>
    </xf>
    <xf numFmtId="165" fontId="24" fillId="0" borderId="3" xfId="5" applyNumberFormat="1" applyFont="1" applyBorder="1"/>
    <xf numFmtId="37" fontId="24" fillId="0" borderId="0" xfId="0" applyNumberFormat="1" applyFont="1"/>
    <xf numFmtId="168" fontId="24" fillId="0" borderId="0" xfId="0" applyNumberFormat="1" applyFont="1"/>
    <xf numFmtId="4" fontId="2" fillId="0" borderId="0" xfId="0" applyNumberFormat="1" applyFont="1" applyFill="1"/>
    <xf numFmtId="165" fontId="4" fillId="0" borderId="0" xfId="5" applyNumberFormat="1" applyFont="1" applyFill="1"/>
    <xf numFmtId="165" fontId="2" fillId="0" borderId="0" xfId="5" applyNumberFormat="1" applyFont="1" applyFill="1"/>
    <xf numFmtId="0" fontId="22" fillId="0" borderId="0" xfId="0" applyFont="1" applyAlignment="1">
      <alignment horizontal="left" wrapText="1"/>
    </xf>
    <xf numFmtId="0" fontId="2" fillId="0" borderId="5" xfId="0" applyFont="1" applyBorder="1" applyAlignment="1">
      <alignment horizontal="left" wrapText="1" indent="1"/>
    </xf>
    <xf numFmtId="164" fontId="2" fillId="0" borderId="0" xfId="2" applyNumberFormat="1" applyFont="1" applyBorder="1" applyAlignment="1">
      <alignment horizontal="right" vertical="center"/>
    </xf>
    <xf numFmtId="164" fontId="2" fillId="5" borderId="0" xfId="2" applyNumberFormat="1" applyFont="1" applyFill="1" applyBorder="1" applyAlignment="1">
      <alignment horizontal="right" vertical="center"/>
    </xf>
    <xf numFmtId="164" fontId="2" fillId="5" borderId="0" xfId="2" applyNumberFormat="1" applyFont="1" applyFill="1" applyAlignment="1">
      <alignment vertical="center"/>
    </xf>
    <xf numFmtId="164" fontId="2" fillId="0" borderId="0" xfId="2" applyNumberFormat="1" applyFont="1" applyFill="1" applyBorder="1" applyAlignment="1">
      <alignment horizontal="right" vertical="center"/>
    </xf>
    <xf numFmtId="164" fontId="2" fillId="0" borderId="0" xfId="2" applyNumberFormat="1" applyFont="1" applyAlignment="1">
      <alignment vertical="center"/>
    </xf>
    <xf numFmtId="164" fontId="2" fillId="0" borderId="0" xfId="0" applyNumberFormat="1" applyFont="1" applyAlignment="1">
      <alignment vertical="center"/>
    </xf>
    <xf numFmtId="165" fontId="35" fillId="0" borderId="0" xfId="5" applyNumberFormat="1" applyFont="1" applyFill="1"/>
    <xf numFmtId="0" fontId="22" fillId="0" borderId="0" xfId="0" applyFont="1" applyAlignment="1">
      <alignment horizontal="left" wrapText="1"/>
    </xf>
    <xf numFmtId="0" fontId="2" fillId="0" borderId="0" xfId="0" applyFont="1" applyBorder="1" applyAlignment="1">
      <alignment horizontal="right"/>
    </xf>
    <xf numFmtId="0" fontId="2" fillId="0" borderId="0" xfId="0" applyFont="1" applyAlignment="1">
      <alignment horizontal="right"/>
    </xf>
    <xf numFmtId="37" fontId="2" fillId="0" borderId="0" xfId="0" applyNumberFormat="1" applyFont="1" applyAlignment="1">
      <alignment horizontal="right"/>
    </xf>
    <xf numFmtId="164" fontId="2" fillId="0" borderId="0" xfId="2" applyNumberFormat="1" applyFont="1" applyAlignment="1">
      <alignment horizontal="right"/>
    </xf>
    <xf numFmtId="165" fontId="10" fillId="0" borderId="0" xfId="5" applyNumberFormat="1" applyFont="1" applyFill="1" applyBorder="1"/>
    <xf numFmtId="164" fontId="5" fillId="0" borderId="0" xfId="2" applyNumberFormat="1" applyFont="1" applyAlignment="1">
      <alignment horizontal="center"/>
    </xf>
    <xf numFmtId="164" fontId="37" fillId="0" borderId="0" xfId="2" applyNumberFormat="1" applyFont="1" applyAlignment="1">
      <alignment horizontal="center"/>
    </xf>
    <xf numFmtId="164" fontId="37" fillId="0" borderId="0" xfId="2" applyNumberFormat="1" applyFont="1" applyBorder="1" applyAlignment="1">
      <alignment horizontal="center"/>
    </xf>
    <xf numFmtId="164" fontId="3" fillId="0" borderId="0" xfId="2" applyNumberFormat="1" applyFont="1" applyBorder="1"/>
    <xf numFmtId="164" fontId="2" fillId="0" borderId="0" xfId="2" applyNumberFormat="1" applyFont="1" applyBorder="1"/>
    <xf numFmtId="0" fontId="36" fillId="0" borderId="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1" xfId="0" applyFont="1" applyFill="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2" fillId="0" borderId="0" xfId="0" applyFont="1" applyAlignment="1">
      <alignment horizontal="left" wrapText="1"/>
    </xf>
    <xf numFmtId="0" fontId="25" fillId="0" borderId="9" xfId="0" applyFont="1" applyBorder="1" applyAlignment="1">
      <alignment horizontal="center"/>
    </xf>
    <xf numFmtId="0" fontId="25" fillId="0" borderId="10" xfId="0" applyFont="1" applyBorder="1" applyAlignment="1">
      <alignment horizontal="center"/>
    </xf>
    <xf numFmtId="0" fontId="25" fillId="0" borderId="11" xfId="0" applyFont="1" applyBorder="1" applyAlignment="1">
      <alignment horizont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cellXfs>
  <cellStyles count="8">
    <cellStyle name="%" xfId="1"/>
    <cellStyle name="Comma" xfId="2" builtinId="3"/>
    <cellStyle name="Comma 2" xfId="3"/>
    <cellStyle name="Hyperlink" xfId="4" builtinId="8"/>
    <cellStyle name="Normal" xfId="0" builtinId="0"/>
    <cellStyle name="Percent" xfId="5" builtinId="5"/>
    <cellStyle name="Percent 2" xfId="6"/>
    <cellStyle name="Percent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323850</xdr:colOff>
      <xdr:row>2</xdr:row>
      <xdr:rowOff>28575</xdr:rowOff>
    </xdr:to>
    <xdr:pic>
      <xdr:nvPicPr>
        <xdr:cNvPr id="2"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952500</xdr:colOff>
      <xdr:row>2</xdr:row>
      <xdr:rowOff>66675</xdr:rowOff>
    </xdr:to>
    <xdr:pic>
      <xdr:nvPicPr>
        <xdr:cNvPr id="2069"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38100" y="28575"/>
          <a:ext cx="914400"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933450</xdr:colOff>
      <xdr:row>1</xdr:row>
      <xdr:rowOff>466725</xdr:rowOff>
    </xdr:to>
    <xdr:pic>
      <xdr:nvPicPr>
        <xdr:cNvPr id="3077"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33450" cy="6286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876300</xdr:colOff>
      <xdr:row>2</xdr:row>
      <xdr:rowOff>323850</xdr:rowOff>
    </xdr:to>
    <xdr:pic>
      <xdr:nvPicPr>
        <xdr:cNvPr id="4101"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19050" y="19050"/>
          <a:ext cx="857250" cy="628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1057275</xdr:colOff>
      <xdr:row>2</xdr:row>
      <xdr:rowOff>69850</xdr:rowOff>
    </xdr:to>
    <xdr:pic>
      <xdr:nvPicPr>
        <xdr:cNvPr id="3"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twoCellAnchor editAs="oneCell">
    <xdr:from>
      <xdr:col>0</xdr:col>
      <xdr:colOff>28575</xdr:colOff>
      <xdr:row>0</xdr:row>
      <xdr:rowOff>19050</xdr:rowOff>
    </xdr:from>
    <xdr:to>
      <xdr:col>1</xdr:col>
      <xdr:colOff>1181100</xdr:colOff>
      <xdr:row>2</xdr:row>
      <xdr:rowOff>69850</xdr:rowOff>
    </xdr:to>
    <xdr:pic>
      <xdr:nvPicPr>
        <xdr:cNvPr id="4"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1</xdr:col>
      <xdr:colOff>733425</xdr:colOff>
      <xdr:row>3</xdr:row>
      <xdr:rowOff>38100</xdr:rowOff>
    </xdr:to>
    <xdr:pic>
      <xdr:nvPicPr>
        <xdr:cNvPr id="5125" name="Picture 1" descr="logo"/>
        <xdr:cNvPicPr>
          <a:picLocks noChangeAspect="1" noChangeArrowheads="1"/>
        </xdr:cNvPicPr>
      </xdr:nvPicPr>
      <xdr:blipFill>
        <a:blip xmlns:r="http://schemas.openxmlformats.org/officeDocument/2006/relationships" r:embed="rId1" cstate="print"/>
        <a:srcRect/>
        <a:stretch>
          <a:fillRect/>
        </a:stretch>
      </xdr:blipFill>
      <xdr:spPr bwMode="auto">
        <a:xfrm>
          <a:off x="28575" y="19050"/>
          <a:ext cx="86677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8"/>
  <sheetViews>
    <sheetView showGridLines="0" tabSelected="1" zoomScale="80" zoomScaleNormal="80" workbookViewId="0">
      <selection activeCell="I14" sqref="I14"/>
    </sheetView>
  </sheetViews>
  <sheetFormatPr defaultColWidth="9.140625" defaultRowHeight="12.75" x14ac:dyDescent="0.2"/>
  <cols>
    <col min="1" max="1" width="9.140625" style="5"/>
    <col min="2" max="2" width="36.42578125" style="5" customWidth="1"/>
    <col min="3" max="16384" width="9.140625" style="5"/>
  </cols>
  <sheetData>
    <row r="1" spans="1:10" s="57" customFormat="1" x14ac:dyDescent="0.2"/>
    <row r="2" spans="1:10" ht="34.5" customHeight="1" x14ac:dyDescent="0.2"/>
    <row r="3" spans="1:10" ht="34.5" customHeight="1" x14ac:dyDescent="0.2"/>
    <row r="4" spans="1:10" ht="15.75" x14ac:dyDescent="0.25">
      <c r="A4" s="93">
        <v>1</v>
      </c>
      <c r="B4" s="185" t="s">
        <v>14</v>
      </c>
    </row>
    <row r="5" spans="1:10" ht="15.75" x14ac:dyDescent="0.25">
      <c r="A5" s="93">
        <v>2</v>
      </c>
      <c r="B5" s="185" t="s">
        <v>15</v>
      </c>
    </row>
    <row r="6" spans="1:10" ht="15.75" x14ac:dyDescent="0.25">
      <c r="A6" s="93">
        <v>3</v>
      </c>
      <c r="B6" s="185" t="s">
        <v>51</v>
      </c>
    </row>
    <row r="7" spans="1:10" ht="15.75" x14ac:dyDescent="0.25">
      <c r="A7" s="93">
        <v>4</v>
      </c>
      <c r="B7" s="185" t="s">
        <v>179</v>
      </c>
    </row>
    <row r="8" spans="1:10" ht="15.75" x14ac:dyDescent="0.25">
      <c r="A8" s="93">
        <v>5</v>
      </c>
      <c r="B8" s="185" t="s">
        <v>59</v>
      </c>
    </row>
    <row r="9" spans="1:10" s="41" customFormat="1" x14ac:dyDescent="0.2">
      <c r="A9" s="39"/>
      <c r="C9" s="39"/>
      <c r="D9" s="39"/>
      <c r="E9" s="39"/>
      <c r="F9" s="39"/>
      <c r="G9" s="39"/>
      <c r="H9" s="39"/>
      <c r="I9" s="39"/>
      <c r="J9" s="39"/>
    </row>
    <row r="10" spans="1:10" x14ac:dyDescent="0.2">
      <c r="A10" s="39"/>
      <c r="B10" s="40"/>
      <c r="C10" s="39"/>
      <c r="D10" s="39"/>
      <c r="E10" s="39"/>
      <c r="F10" s="39"/>
      <c r="G10" s="39"/>
      <c r="H10" s="39"/>
      <c r="I10" s="39"/>
      <c r="J10" s="39"/>
    </row>
    <row r="11" spans="1:10" x14ac:dyDescent="0.2">
      <c r="A11" s="39"/>
      <c r="B11" s="40"/>
      <c r="C11" s="39"/>
      <c r="D11" s="39"/>
      <c r="E11" s="39"/>
      <c r="F11" s="39"/>
      <c r="G11" s="39"/>
      <c r="H11" s="39"/>
      <c r="I11" s="39"/>
      <c r="J11" s="39"/>
    </row>
    <row r="12" spans="1:10" x14ac:dyDescent="0.2">
      <c r="A12" s="39"/>
      <c r="B12" s="40"/>
      <c r="C12" s="39"/>
      <c r="D12" s="39"/>
      <c r="E12" s="39"/>
      <c r="F12" s="39"/>
      <c r="G12" s="39"/>
      <c r="H12" s="39"/>
      <c r="I12" s="39"/>
      <c r="J12" s="39"/>
    </row>
    <row r="13" spans="1:10" x14ac:dyDescent="0.2">
      <c r="A13" s="39"/>
      <c r="B13" s="40"/>
      <c r="C13" s="39"/>
      <c r="D13" s="39"/>
      <c r="E13" s="39"/>
      <c r="F13" s="39"/>
      <c r="G13" s="39"/>
      <c r="H13" s="39"/>
      <c r="I13" s="39"/>
      <c r="J13" s="39"/>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x14ac:dyDescent="0.2">
      <c r="A16" s="39"/>
      <c r="B16" s="39"/>
      <c r="C16" s="39"/>
      <c r="D16" s="39"/>
      <c r="E16" s="39"/>
      <c r="F16" s="39"/>
      <c r="G16" s="39"/>
      <c r="H16" s="39"/>
      <c r="I16" s="39"/>
      <c r="J16" s="39"/>
    </row>
    <row r="17" spans="1:10" x14ac:dyDescent="0.2">
      <c r="A17" s="41"/>
      <c r="B17" s="41"/>
      <c r="C17" s="41"/>
      <c r="D17" s="41"/>
      <c r="E17" s="41"/>
      <c r="F17" s="41"/>
      <c r="G17" s="41"/>
      <c r="H17" s="41"/>
      <c r="I17" s="41"/>
      <c r="J17" s="41"/>
    </row>
    <row r="18" spans="1:10" x14ac:dyDescent="0.2">
      <c r="A18" s="41"/>
      <c r="B18" s="41"/>
      <c r="C18" s="41"/>
      <c r="D18" s="41"/>
      <c r="E18" s="41"/>
      <c r="F18" s="41"/>
      <c r="G18" s="41"/>
      <c r="H18" s="41"/>
      <c r="I18" s="41"/>
      <c r="J18" s="41"/>
    </row>
  </sheetData>
  <hyperlinks>
    <hyperlink ref="B4" location="'Income Statement'!A1" display="Income Statement"/>
    <hyperlink ref="B5" location="'Balance Sheet'!A1" display="Balance Sheet"/>
    <hyperlink ref="B6" location="Cashflow!A1" display="Cashflow Statement"/>
    <hyperlink ref="B8" location="'Other Metrics'!A1" display="Other metrics"/>
    <hyperlink ref="B7" location="'Revenues and Margins'!A1" display="Revenues and Margins"/>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130"/>
  <sheetViews>
    <sheetView showGridLines="0" zoomScale="90" zoomScaleNormal="90" zoomScaleSheetLayoutView="90" workbookViewId="0">
      <pane xSplit="1" ySplit="5" topLeftCell="Y6" activePane="bottomRight" state="frozen"/>
      <selection activeCell="W48" sqref="W48"/>
      <selection pane="topRight" activeCell="W48" sqref="W48"/>
      <selection pane="bottomLeft" activeCell="W48" sqref="W48"/>
      <selection pane="bottomRight" activeCell="AE6" sqref="AE6"/>
    </sheetView>
  </sheetViews>
  <sheetFormatPr defaultColWidth="9.140625" defaultRowHeight="12.75" outlineLevelRow="1" outlineLevelCol="1" x14ac:dyDescent="0.2"/>
  <cols>
    <col min="1" max="1" width="65.140625" style="24" customWidth="1"/>
    <col min="2" max="5" width="10.42578125" style="24" hidden="1" customWidth="1" outlineLevel="1"/>
    <col min="6" max="6" width="10.42578125" style="24" customWidth="1" collapsed="1"/>
    <col min="7" max="10" width="10.42578125" style="24" hidden="1" customWidth="1" outlineLevel="1"/>
    <col min="11" max="11" width="10.42578125" style="24" customWidth="1" collapsed="1"/>
    <col min="12" max="14" width="10.42578125" style="24" hidden="1" customWidth="1" outlineLevel="1"/>
    <col min="15" max="16" width="10.28515625" style="24" hidden="1" customWidth="1" outlineLevel="1"/>
    <col min="17" max="17" width="10.42578125" style="24" customWidth="1" collapsed="1"/>
    <col min="18" max="18" width="10.42578125" style="24" customWidth="1"/>
    <col min="19" max="19" width="11.140625" style="24" hidden="1" customWidth="1" outlineLevel="1"/>
    <col min="20" max="20" width="10.140625" style="24" hidden="1" customWidth="1" outlineLevel="1"/>
    <col min="21" max="21" width="11.42578125" style="24" hidden="1" customWidth="1" outlineLevel="1"/>
    <col min="22" max="22" width="12.85546875" style="24" hidden="1" customWidth="1" outlineLevel="1"/>
    <col min="23" max="23" width="11.42578125" style="24" customWidth="1" collapsed="1"/>
    <col min="24" max="24" width="11.42578125" style="24" customWidth="1" outlineLevel="1"/>
    <col min="25" max="27" width="12.140625" style="24" customWidth="1" outlineLevel="1"/>
    <col min="28" max="31" width="12.140625" style="24" customWidth="1"/>
    <col min="32" max="32" width="9.140625" style="24"/>
    <col min="33" max="33" width="10.42578125" style="24" customWidth="1"/>
    <col min="34" max="34" width="12.140625" style="28" hidden="1" customWidth="1"/>
    <col min="35" max="16384" width="9.140625" style="24"/>
  </cols>
  <sheetData>
    <row r="1" spans="1:34" x14ac:dyDescent="0.2">
      <c r="A1" s="101"/>
    </row>
    <row r="2" spans="1:34" ht="30.75" customHeight="1" x14ac:dyDescent="0.2">
      <c r="A2" s="120"/>
      <c r="R2" s="238"/>
      <c r="S2" s="31"/>
    </row>
    <row r="3" spans="1:34" x14ac:dyDescent="0.2">
      <c r="A3" s="101"/>
    </row>
    <row r="4" spans="1:34" s="4" customFormat="1" x14ac:dyDescent="0.2">
      <c r="A4" s="121" t="s">
        <v>14</v>
      </c>
      <c r="C4" s="166"/>
      <c r="E4" s="168"/>
      <c r="F4" s="168">
        <v>2014</v>
      </c>
      <c r="G4" s="174"/>
      <c r="H4" s="176"/>
      <c r="I4" s="177"/>
      <c r="J4" s="178"/>
      <c r="K4" s="178">
        <v>2015</v>
      </c>
      <c r="L4" s="179"/>
      <c r="M4" s="180"/>
      <c r="N4" s="182"/>
      <c r="O4" s="184"/>
      <c r="P4" s="265" t="s">
        <v>193</v>
      </c>
      <c r="Q4" s="184">
        <v>2016</v>
      </c>
      <c r="R4" s="265" t="s">
        <v>193</v>
      </c>
      <c r="S4" s="265">
        <v>2017</v>
      </c>
      <c r="T4" s="265">
        <v>2017</v>
      </c>
      <c r="U4" s="265">
        <v>2017</v>
      </c>
      <c r="V4" s="265">
        <v>2017</v>
      </c>
      <c r="W4" s="265">
        <v>2017</v>
      </c>
      <c r="X4" s="265">
        <v>2018</v>
      </c>
      <c r="Y4" s="199">
        <v>2018</v>
      </c>
      <c r="Z4" s="199">
        <v>2018</v>
      </c>
      <c r="AA4" s="199">
        <v>2018</v>
      </c>
      <c r="AB4" s="199">
        <v>2018</v>
      </c>
      <c r="AC4" s="199">
        <v>2019</v>
      </c>
      <c r="AD4" s="199">
        <v>2019</v>
      </c>
      <c r="AE4" s="199">
        <v>2019</v>
      </c>
      <c r="AH4" s="396" t="s">
        <v>271</v>
      </c>
    </row>
    <row r="5" spans="1:34" s="4" customFormat="1" ht="14.25" x14ac:dyDescent="0.2">
      <c r="A5" s="121" t="s">
        <v>73</v>
      </c>
      <c r="B5" s="4" t="s">
        <v>9</v>
      </c>
      <c r="C5" s="166" t="s">
        <v>10</v>
      </c>
      <c r="D5" s="167" t="s">
        <v>11</v>
      </c>
      <c r="E5" s="168" t="s">
        <v>12</v>
      </c>
      <c r="F5" s="168" t="s">
        <v>13</v>
      </c>
      <c r="G5" s="174" t="s">
        <v>9</v>
      </c>
      <c r="H5" s="176" t="s">
        <v>10</v>
      </c>
      <c r="I5" s="177" t="s">
        <v>11</v>
      </c>
      <c r="J5" s="178" t="s">
        <v>12</v>
      </c>
      <c r="K5" s="178" t="s">
        <v>13</v>
      </c>
      <c r="L5" s="179" t="s">
        <v>9</v>
      </c>
      <c r="M5" s="180" t="s">
        <v>10</v>
      </c>
      <c r="N5" s="182" t="s">
        <v>11</v>
      </c>
      <c r="O5" s="184" t="s">
        <v>12</v>
      </c>
      <c r="P5" s="265" t="s">
        <v>200</v>
      </c>
      <c r="Q5" s="184" t="s">
        <v>13</v>
      </c>
      <c r="R5" s="265" t="s">
        <v>237</v>
      </c>
      <c r="S5" s="265" t="s">
        <v>238</v>
      </c>
      <c r="T5" s="265" t="s">
        <v>239</v>
      </c>
      <c r="U5" s="265" t="s">
        <v>240</v>
      </c>
      <c r="V5" s="265" t="s">
        <v>243</v>
      </c>
      <c r="W5" s="265" t="s">
        <v>244</v>
      </c>
      <c r="X5" s="265" t="s">
        <v>232</v>
      </c>
      <c r="Y5" s="199" t="s">
        <v>10</v>
      </c>
      <c r="Z5" s="199" t="s">
        <v>11</v>
      </c>
      <c r="AA5" s="199" t="s">
        <v>12</v>
      </c>
      <c r="AB5" s="199" t="s">
        <v>13</v>
      </c>
      <c r="AC5" s="199" t="s">
        <v>9</v>
      </c>
      <c r="AD5" s="199" t="s">
        <v>10</v>
      </c>
      <c r="AE5" s="199" t="s">
        <v>11</v>
      </c>
      <c r="AH5" s="395"/>
    </row>
    <row r="6" spans="1:34" ht="6" customHeight="1" x14ac:dyDescent="0.2">
      <c r="A6" s="101"/>
      <c r="P6" s="266"/>
      <c r="R6" s="266"/>
      <c r="S6" s="266"/>
      <c r="T6" s="266"/>
      <c r="U6" s="266"/>
      <c r="V6" s="266"/>
      <c r="W6" s="266"/>
      <c r="X6" s="266"/>
    </row>
    <row r="7" spans="1:34" ht="6" customHeight="1" x14ac:dyDescent="0.2">
      <c r="A7" s="101"/>
      <c r="P7" s="266"/>
      <c r="R7" s="266"/>
      <c r="S7" s="266"/>
      <c r="T7" s="266"/>
      <c r="U7" s="266"/>
      <c r="V7" s="266"/>
      <c r="W7" s="266"/>
      <c r="X7" s="266"/>
    </row>
    <row r="8" spans="1:34" s="27" customFormat="1" x14ac:dyDescent="0.2">
      <c r="A8" s="61" t="s">
        <v>1</v>
      </c>
      <c r="B8" s="43">
        <v>121797</v>
      </c>
      <c r="C8" s="43">
        <v>119738</v>
      </c>
      <c r="D8" s="43">
        <v>122457</v>
      </c>
      <c r="E8" s="43">
        <v>135286</v>
      </c>
      <c r="F8" s="43">
        <v>499278</v>
      </c>
      <c r="G8" s="43">
        <v>143510</v>
      </c>
      <c r="H8" s="43">
        <v>155621</v>
      </c>
      <c r="I8" s="43">
        <v>163503</v>
      </c>
      <c r="J8" s="43">
        <v>165858</v>
      </c>
      <c r="K8" s="43">
        <v>628492</v>
      </c>
      <c r="L8" s="43">
        <v>167036</v>
      </c>
      <c r="M8" s="43">
        <v>170478</v>
      </c>
      <c r="N8" s="43">
        <v>171200</v>
      </c>
      <c r="O8" s="43">
        <f>Q8-L8-M8-N8</f>
        <v>177274</v>
      </c>
      <c r="P8" s="267">
        <f>O8</f>
        <v>177274</v>
      </c>
      <c r="Q8" s="43">
        <v>685988</v>
      </c>
      <c r="R8" s="267">
        <f>Q8</f>
        <v>685988</v>
      </c>
      <c r="S8" s="267">
        <v>183033</v>
      </c>
      <c r="T8" s="267">
        <v>189057</v>
      </c>
      <c r="U8" s="272">
        <v>192345</v>
      </c>
      <c r="V8" s="272">
        <f>+W8-SUM(S8,T8,U8)</f>
        <v>197875</v>
      </c>
      <c r="W8" s="272">
        <v>762310</v>
      </c>
      <c r="X8" s="272">
        <v>206973</v>
      </c>
      <c r="Y8" s="43">
        <v>210112</v>
      </c>
      <c r="Z8" s="43">
        <v>231124</v>
      </c>
      <c r="AA8" s="43">
        <f>+AB8-SUM(X8:Z8)</f>
        <v>234903</v>
      </c>
      <c r="AB8" s="43">
        <v>883112</v>
      </c>
      <c r="AC8" s="43">
        <v>239573</v>
      </c>
      <c r="AD8" s="43">
        <v>243509</v>
      </c>
      <c r="AE8" s="43">
        <v>251392</v>
      </c>
      <c r="AH8" s="26">
        <v>0</v>
      </c>
    </row>
    <row r="9" spans="1:34" s="27" customFormat="1" x14ac:dyDescent="0.2">
      <c r="A9" s="62" t="s">
        <v>134</v>
      </c>
      <c r="B9" s="34">
        <v>-1.8739476164772007E-2</v>
      </c>
      <c r="C9" s="34">
        <f>C8/B8-1</f>
        <v>-1.6905178288463607E-2</v>
      </c>
      <c r="D9" s="34">
        <f>D8/C8-1</f>
        <v>2.2707912275134134E-2</v>
      </c>
      <c r="E9" s="34">
        <f>E8/D8-1</f>
        <v>0.10476330467021078</v>
      </c>
      <c r="F9" s="35" t="s">
        <v>84</v>
      </c>
      <c r="G9" s="34">
        <f>G8/E8-1</f>
        <v>6.0789734340582102E-2</v>
      </c>
      <c r="H9" s="34">
        <f>H8/G8-1</f>
        <v>8.4391331614521725E-2</v>
      </c>
      <c r="I9" s="34">
        <f>I8/H8-1</f>
        <v>5.064869137198702E-2</v>
      </c>
      <c r="J9" s="34">
        <f>J8/I8-1</f>
        <v>1.4403405442102057E-2</v>
      </c>
      <c r="K9" s="35" t="s">
        <v>84</v>
      </c>
      <c r="L9" s="34">
        <f>L8/J8-1</f>
        <v>7.1024611414582939E-3</v>
      </c>
      <c r="M9" s="34">
        <f>M8/L8-1</f>
        <v>2.0606336358629296E-2</v>
      </c>
      <c r="N9" s="34">
        <f>N8/M8-1</f>
        <v>4.2351505766140551E-3</v>
      </c>
      <c r="O9" s="34">
        <f>O8/N8-1</f>
        <v>3.5478971962616734E-2</v>
      </c>
      <c r="P9" s="275">
        <f>P8/N8-1</f>
        <v>3.5478971962616734E-2</v>
      </c>
      <c r="Q9" s="35" t="s">
        <v>84</v>
      </c>
      <c r="R9" s="275" t="s">
        <v>84</v>
      </c>
      <c r="S9" s="268">
        <f>S8/O8-1</f>
        <v>3.2486433430734429E-2</v>
      </c>
      <c r="T9" s="268">
        <f>T8/S8-1</f>
        <v>3.2912097818426078E-2</v>
      </c>
      <c r="U9" s="268">
        <f>U8/T8-1</f>
        <v>1.7391580317047239E-2</v>
      </c>
      <c r="V9" s="268">
        <f>V8/U8-1</f>
        <v>2.8750422418050814E-2</v>
      </c>
      <c r="W9" s="275" t="s">
        <v>84</v>
      </c>
      <c r="X9" s="268">
        <f>X8/V8-1</f>
        <v>4.5978521794061811E-2</v>
      </c>
      <c r="Y9" s="35">
        <f>Y8/X8-1</f>
        <v>1.5166229411565757E-2</v>
      </c>
      <c r="Z9" s="35">
        <f>Z8/Y8-1</f>
        <v>0.10000380749314641</v>
      </c>
      <c r="AA9" s="35">
        <f>AA8/Z8-1</f>
        <v>1.6350530451186396E-2</v>
      </c>
      <c r="AB9" s="35" t="s">
        <v>84</v>
      </c>
      <c r="AC9" s="162">
        <f>AC8/AA8-1</f>
        <v>1.9880546438317159E-2</v>
      </c>
      <c r="AD9" s="162">
        <f>AD8/AC8-1</f>
        <v>1.642923033897814E-2</v>
      </c>
      <c r="AE9" s="162">
        <f>AE8/AD8-1</f>
        <v>3.2372520112192937E-2</v>
      </c>
      <c r="AH9" s="26"/>
    </row>
    <row r="10" spans="1:34" s="27" customFormat="1" x14ac:dyDescent="0.2">
      <c r="A10" s="62" t="s">
        <v>135</v>
      </c>
      <c r="B10" s="34">
        <v>4.9919831732841313E-2</v>
      </c>
      <c r="C10" s="34">
        <v>3.2152954968622804E-2</v>
      </c>
      <c r="D10" s="34">
        <v>1.1609369251521784E-3</v>
      </c>
      <c r="E10" s="34">
        <v>8.9934983846668315E-2</v>
      </c>
      <c r="F10" s="34">
        <v>4.3527877404629933E-2</v>
      </c>
      <c r="G10" s="34">
        <v>0.17827204282535702</v>
      </c>
      <c r="H10" s="34">
        <v>0.29967929980457342</v>
      </c>
      <c r="I10" s="34">
        <v>0.33518704524853615</v>
      </c>
      <c r="J10" s="34">
        <v>0.22598051535266039</v>
      </c>
      <c r="K10" s="34">
        <f t="shared" ref="K10:O10" si="0">K8/F8-1</f>
        <v>0.25880170966876159</v>
      </c>
      <c r="L10" s="34">
        <f t="shared" si="0"/>
        <v>0.16393282698069811</v>
      </c>
      <c r="M10" s="34">
        <f t="shared" si="0"/>
        <v>9.5469120491450399E-2</v>
      </c>
      <c r="N10" s="34">
        <f t="shared" si="0"/>
        <v>4.7075588827116377E-2</v>
      </c>
      <c r="O10" s="34">
        <f t="shared" si="0"/>
        <v>6.8829962980380799E-2</v>
      </c>
      <c r="P10" s="268">
        <f>P8/J8-1</f>
        <v>6.8829962980380799E-2</v>
      </c>
      <c r="Q10" s="34">
        <f t="shared" ref="Q10" si="1">Q8/K8-1</f>
        <v>9.1482469148374213E-2</v>
      </c>
      <c r="R10" s="268">
        <f>R8/K8-1</f>
        <v>9.1482469148374213E-2</v>
      </c>
      <c r="S10" s="268">
        <f>S8/L8-1</f>
        <v>9.5769774180416212E-2</v>
      </c>
      <c r="T10" s="268">
        <f>T8/M8-1</f>
        <v>0.10898180410375535</v>
      </c>
      <c r="U10" s="268">
        <f>U8/N8-1</f>
        <v>0.12351051401869162</v>
      </c>
      <c r="V10" s="268">
        <f>V8/P8-1</f>
        <v>0.11620993490303144</v>
      </c>
      <c r="W10" s="268">
        <f t="shared" ref="W10:AE10" si="2">W8/R8-1</f>
        <v>0.11125850597969644</v>
      </c>
      <c r="X10" s="268">
        <f t="shared" si="2"/>
        <v>0.13079608595171366</v>
      </c>
      <c r="Y10" s="34">
        <f t="shared" si="2"/>
        <v>0.11136852906795314</v>
      </c>
      <c r="Z10" s="34">
        <f t="shared" si="2"/>
        <v>0.20161168733265744</v>
      </c>
      <c r="AA10" s="34">
        <f t="shared" si="2"/>
        <v>0.18712823752368912</v>
      </c>
      <c r="AB10" s="34">
        <f t="shared" si="2"/>
        <v>0.15846833965184759</v>
      </c>
      <c r="AC10" s="34">
        <f t="shared" si="2"/>
        <v>0.15750846728800383</v>
      </c>
      <c r="AD10" s="34">
        <f t="shared" si="2"/>
        <v>0.15894856076759067</v>
      </c>
      <c r="AE10" s="34">
        <f t="shared" si="2"/>
        <v>8.7693186341530893E-2</v>
      </c>
      <c r="AH10" s="26"/>
    </row>
    <row r="11" spans="1:34" s="27" customFormat="1" ht="6" customHeight="1" x14ac:dyDescent="0.2">
      <c r="A11" s="62"/>
      <c r="B11" s="34"/>
      <c r="C11" s="34"/>
      <c r="D11" s="34"/>
      <c r="E11" s="34"/>
      <c r="F11" s="34"/>
      <c r="G11" s="34"/>
      <c r="H11" s="34"/>
      <c r="I11" s="34"/>
      <c r="J11" s="34"/>
      <c r="K11" s="34"/>
      <c r="L11" s="34"/>
      <c r="M11" s="34"/>
      <c r="N11" s="34"/>
      <c r="O11" s="34"/>
      <c r="P11" s="268"/>
      <c r="Q11" s="34"/>
      <c r="R11" s="268"/>
      <c r="S11" s="268"/>
      <c r="T11" s="290"/>
      <c r="U11" s="290"/>
      <c r="V11" s="290"/>
      <c r="W11" s="290"/>
      <c r="X11" s="290"/>
      <c r="AH11" s="26"/>
    </row>
    <row r="12" spans="1:34" x14ac:dyDescent="0.2">
      <c r="A12" s="63" t="s">
        <v>93</v>
      </c>
      <c r="B12" s="30">
        <v>-74922</v>
      </c>
      <c r="C12" s="30">
        <v>-81259</v>
      </c>
      <c r="D12" s="30">
        <v>-84983</v>
      </c>
      <c r="E12" s="30">
        <f>-(E8-E13)</f>
        <v>-91371</v>
      </c>
      <c r="F12" s="28">
        <v>-332535</v>
      </c>
      <c r="G12" s="30">
        <v>-93125</v>
      </c>
      <c r="H12" s="30">
        <v>-100478</v>
      </c>
      <c r="I12" s="30">
        <v>-103198</v>
      </c>
      <c r="J12" s="30">
        <f>-(J8-J13)</f>
        <v>-106116</v>
      </c>
      <c r="K12" s="28">
        <v>-402917</v>
      </c>
      <c r="L12" s="30">
        <v>-108379</v>
      </c>
      <c r="M12" s="30">
        <v>-112026</v>
      </c>
      <c r="N12" s="30">
        <v>-111767</v>
      </c>
      <c r="O12" s="30">
        <f>Q12-L12-M12-N12</f>
        <v>-115784</v>
      </c>
      <c r="P12" s="269">
        <v>-115022.0639834037</v>
      </c>
      <c r="Q12" s="28">
        <v>-447956</v>
      </c>
      <c r="R12" s="269">
        <v>-445797.24824269343</v>
      </c>
      <c r="S12" s="269">
        <v>-119072</v>
      </c>
      <c r="T12" s="269">
        <v>-123734</v>
      </c>
      <c r="U12" s="269">
        <v>-123077</v>
      </c>
      <c r="V12" s="269">
        <f>+W12-SUM(S12,T12,U12)</f>
        <v>-129259</v>
      </c>
      <c r="W12" s="269">
        <v>-495142</v>
      </c>
      <c r="X12" s="269">
        <v>-138101</v>
      </c>
      <c r="Y12" s="238">
        <v>-139649</v>
      </c>
      <c r="Z12" s="238">
        <v>-152157</v>
      </c>
      <c r="AA12" s="238">
        <f>+AB12-SUM(X12:Z12)</f>
        <v>-154948</v>
      </c>
      <c r="AB12" s="238">
        <v>-584855</v>
      </c>
      <c r="AC12" s="238">
        <v>-157240</v>
      </c>
      <c r="AD12" s="238">
        <v>-162446</v>
      </c>
      <c r="AE12" s="238">
        <v>-167542</v>
      </c>
      <c r="AH12" s="28">
        <v>0</v>
      </c>
    </row>
    <row r="13" spans="1:34" s="27" customFormat="1" x14ac:dyDescent="0.2">
      <c r="A13" s="64" t="s">
        <v>2</v>
      </c>
      <c r="B13" s="161">
        <f>B8+B12</f>
        <v>46875</v>
      </c>
      <c r="C13" s="161">
        <f>C8+C12</f>
        <v>38479</v>
      </c>
      <c r="D13" s="161">
        <f>D8+D12</f>
        <v>37474</v>
      </c>
      <c r="E13" s="161">
        <v>43915</v>
      </c>
      <c r="F13" s="161">
        <f>F8+F12</f>
        <v>166743</v>
      </c>
      <c r="G13" s="161">
        <f>G8+G12</f>
        <v>50385</v>
      </c>
      <c r="H13" s="161">
        <f>H8+H12</f>
        <v>55143</v>
      </c>
      <c r="I13" s="161">
        <f>I8+I12</f>
        <v>60305</v>
      </c>
      <c r="J13" s="161">
        <v>59742</v>
      </c>
      <c r="K13" s="161">
        <f t="shared" ref="K13:R13" si="3">K8+K12</f>
        <v>225575</v>
      </c>
      <c r="L13" s="161">
        <f t="shared" si="3"/>
        <v>58657</v>
      </c>
      <c r="M13" s="161">
        <f t="shared" si="3"/>
        <v>58452</v>
      </c>
      <c r="N13" s="161">
        <f t="shared" si="3"/>
        <v>59433</v>
      </c>
      <c r="O13" s="161">
        <f t="shared" si="3"/>
        <v>61490</v>
      </c>
      <c r="P13" s="271">
        <f t="shared" si="3"/>
        <v>62251.936016596301</v>
      </c>
      <c r="Q13" s="161">
        <f t="shared" si="3"/>
        <v>238032</v>
      </c>
      <c r="R13" s="271">
        <f t="shared" si="3"/>
        <v>240190.75175730657</v>
      </c>
      <c r="S13" s="271">
        <f t="shared" ref="S13:U13" si="4">S8+S12</f>
        <v>63961</v>
      </c>
      <c r="T13" s="271">
        <f t="shared" ref="T13" si="5">T8+T12</f>
        <v>65323</v>
      </c>
      <c r="U13" s="291">
        <f t="shared" si="4"/>
        <v>69268</v>
      </c>
      <c r="V13" s="291">
        <f t="shared" ref="V13" si="6">V8+V12</f>
        <v>68616</v>
      </c>
      <c r="W13" s="291">
        <f t="shared" ref="W13" si="7">W8+W12</f>
        <v>267168</v>
      </c>
      <c r="X13" s="291">
        <f t="shared" ref="X13:Y13" si="8">X8+X12</f>
        <v>68872</v>
      </c>
      <c r="Y13" s="161">
        <f t="shared" si="8"/>
        <v>70463</v>
      </c>
      <c r="Z13" s="161">
        <f t="shared" ref="Z13:AA13" si="9">Z8+Z12</f>
        <v>78967</v>
      </c>
      <c r="AA13" s="161">
        <f t="shared" si="9"/>
        <v>79955</v>
      </c>
      <c r="AB13" s="161">
        <f t="shared" ref="AB13:AD13" si="10">AB8+AB12</f>
        <v>298257</v>
      </c>
      <c r="AC13" s="161">
        <f t="shared" si="10"/>
        <v>82333</v>
      </c>
      <c r="AD13" s="161">
        <f t="shared" si="10"/>
        <v>81063</v>
      </c>
      <c r="AE13" s="161">
        <f t="shared" ref="AE13" si="11">AE8+AE12</f>
        <v>83850</v>
      </c>
      <c r="AH13" s="28">
        <v>0</v>
      </c>
    </row>
    <row r="14" spans="1:34" x14ac:dyDescent="0.2">
      <c r="A14" s="62" t="s">
        <v>68</v>
      </c>
      <c r="B14" s="162">
        <f t="shared" ref="B14:G14" si="12">B13/B8</f>
        <v>0.38486169610088916</v>
      </c>
      <c r="C14" s="162">
        <f t="shared" si="12"/>
        <v>0.32135996926623128</v>
      </c>
      <c r="D14" s="162">
        <f t="shared" si="12"/>
        <v>0.30601762251239212</v>
      </c>
      <c r="E14" s="162">
        <f t="shared" si="12"/>
        <v>0.3246086069511997</v>
      </c>
      <c r="F14" s="34">
        <f t="shared" si="12"/>
        <v>0.33396825015322124</v>
      </c>
      <c r="G14" s="162">
        <f t="shared" si="12"/>
        <v>0.35109051634032473</v>
      </c>
      <c r="H14" s="162">
        <f t="shared" ref="H14:M14" si="13">H13/H8</f>
        <v>0.3543416376967119</v>
      </c>
      <c r="I14" s="162">
        <f t="shared" si="13"/>
        <v>0.36883115294520591</v>
      </c>
      <c r="J14" s="162">
        <f t="shared" si="13"/>
        <v>0.36019968889049669</v>
      </c>
      <c r="K14" s="34">
        <f t="shared" si="13"/>
        <v>0.35891467194490939</v>
      </c>
      <c r="L14" s="162">
        <f t="shared" si="13"/>
        <v>0.35116382097272442</v>
      </c>
      <c r="M14" s="162">
        <f t="shared" si="13"/>
        <v>0.34287122092000138</v>
      </c>
      <c r="N14" s="162">
        <f>N13/N8</f>
        <v>0.34715537383177569</v>
      </c>
      <c r="O14" s="162">
        <f>O13/O8</f>
        <v>0.34686417635975947</v>
      </c>
      <c r="P14" s="268">
        <f>P13/P8</f>
        <v>0.35116224610826346</v>
      </c>
      <c r="Q14" s="34">
        <f t="shared" ref="Q14" si="14">Q13/Q8</f>
        <v>0.34699149256255213</v>
      </c>
      <c r="R14" s="268">
        <f>R13/R8</f>
        <v>0.3501384160616608</v>
      </c>
      <c r="S14" s="268">
        <f t="shared" ref="S14:U14" si="15">S13/S8</f>
        <v>0.34945064551201149</v>
      </c>
      <c r="T14" s="268">
        <f t="shared" si="15"/>
        <v>0.34552013413943944</v>
      </c>
      <c r="U14" s="268">
        <f t="shared" si="15"/>
        <v>0.36012373599521691</v>
      </c>
      <c r="V14" s="268">
        <f t="shared" ref="V14" si="16">V13/V8</f>
        <v>0.34676437144662037</v>
      </c>
      <c r="W14" s="268">
        <f t="shared" ref="W14" si="17">W13/W8</f>
        <v>0.35047159292151486</v>
      </c>
      <c r="X14" s="268">
        <f t="shared" ref="X14:Y14" si="18">X13/X8</f>
        <v>0.33275837911225137</v>
      </c>
      <c r="Y14" s="162">
        <f t="shared" si="18"/>
        <v>0.33535923697837344</v>
      </c>
      <c r="Z14" s="162">
        <f t="shared" ref="Z14:AA14" si="19">Z13/Z8</f>
        <v>0.34166508021668024</v>
      </c>
      <c r="AA14" s="162">
        <f t="shared" si="19"/>
        <v>0.34037453757508418</v>
      </c>
      <c r="AB14" s="162">
        <f t="shared" ref="AB14:AD14" si="20">AB13/AB8</f>
        <v>0.33773405864714784</v>
      </c>
      <c r="AC14" s="162">
        <f t="shared" si="20"/>
        <v>0.34366560505566152</v>
      </c>
      <c r="AD14" s="162">
        <f t="shared" si="20"/>
        <v>0.33289529339777996</v>
      </c>
      <c r="AE14" s="162">
        <f t="shared" ref="AE14" si="21">AE13/AE8</f>
        <v>0.33354283350305497</v>
      </c>
    </row>
    <row r="15" spans="1:34" ht="6" customHeight="1" x14ac:dyDescent="0.2">
      <c r="A15" s="62"/>
      <c r="B15" s="162"/>
      <c r="C15" s="162"/>
      <c r="D15" s="162"/>
      <c r="E15" s="162"/>
      <c r="F15" s="34"/>
      <c r="G15" s="162"/>
      <c r="H15" s="162"/>
      <c r="I15" s="162"/>
      <c r="J15" s="162"/>
      <c r="K15" s="34"/>
      <c r="L15" s="162"/>
      <c r="M15" s="162"/>
      <c r="N15" s="162"/>
      <c r="O15" s="162"/>
      <c r="P15" s="268"/>
      <c r="Q15" s="34"/>
      <c r="R15" s="268"/>
      <c r="S15" s="268"/>
      <c r="T15" s="266"/>
      <c r="U15" s="266"/>
      <c r="V15" s="266"/>
      <c r="W15" s="266"/>
      <c r="X15" s="266"/>
    </row>
    <row r="16" spans="1:34" x14ac:dyDescent="0.2">
      <c r="A16" s="64" t="s">
        <v>63</v>
      </c>
      <c r="B16" s="153"/>
      <c r="C16" s="153"/>
      <c r="D16" s="153"/>
      <c r="E16" s="153"/>
      <c r="F16" s="28"/>
      <c r="G16" s="153"/>
      <c r="H16" s="153"/>
      <c r="I16" s="153"/>
      <c r="J16" s="153"/>
      <c r="K16" s="28"/>
      <c r="L16" s="153"/>
      <c r="M16" s="153"/>
      <c r="N16" s="153"/>
      <c r="O16" s="153"/>
      <c r="P16" s="270"/>
      <c r="Q16" s="28"/>
      <c r="R16" s="270"/>
      <c r="S16" s="270"/>
      <c r="T16" s="266"/>
      <c r="U16" s="266"/>
      <c r="V16" s="266"/>
      <c r="W16" s="266"/>
      <c r="X16" s="266"/>
    </row>
    <row r="17" spans="1:34" x14ac:dyDescent="0.2">
      <c r="A17" s="63" t="s">
        <v>3</v>
      </c>
      <c r="B17" s="30">
        <v>-14800</v>
      </c>
      <c r="C17" s="30">
        <v>-16240</v>
      </c>
      <c r="D17" s="30">
        <v>-15952</v>
      </c>
      <c r="E17" s="30">
        <f>F17-B17-C17-D17</f>
        <v>-18389</v>
      </c>
      <c r="F17" s="28">
        <v>-65381</v>
      </c>
      <c r="G17" s="30">
        <v>-18621</v>
      </c>
      <c r="H17" s="30">
        <v>-19990</v>
      </c>
      <c r="I17" s="30">
        <v>-18817</v>
      </c>
      <c r="J17" s="30">
        <f>K17-G17-H17-I17</f>
        <v>-19865</v>
      </c>
      <c r="K17" s="28">
        <v>-77293</v>
      </c>
      <c r="L17" s="30">
        <v>-20618</v>
      </c>
      <c r="M17" s="30">
        <v>-21148</v>
      </c>
      <c r="N17" s="30">
        <v>-21854</v>
      </c>
      <c r="O17" s="30">
        <f>Q17-L17-M17-N17</f>
        <v>-25028</v>
      </c>
      <c r="P17" s="269">
        <v>-24891.320878441675</v>
      </c>
      <c r="Q17" s="28">
        <v>-88648</v>
      </c>
      <c r="R17" s="269">
        <v>-88252.506906799812</v>
      </c>
      <c r="S17" s="269">
        <v>-24037</v>
      </c>
      <c r="T17" s="269">
        <v>-24425</v>
      </c>
      <c r="U17" s="269">
        <v>-26545</v>
      </c>
      <c r="V17" s="269">
        <f>+W17-SUM(S17,T17,U17)</f>
        <v>-27508</v>
      </c>
      <c r="W17" s="269">
        <v>-102515</v>
      </c>
      <c r="X17" s="269">
        <v>-29266</v>
      </c>
      <c r="Y17" s="238">
        <f>-27640</f>
        <v>-27640</v>
      </c>
      <c r="Z17" s="238">
        <v>-28704</v>
      </c>
      <c r="AA17" s="238">
        <f>+AB17-SUM(X17:Z17)</f>
        <v>-30592</v>
      </c>
      <c r="AB17" s="238">
        <v>-116202</v>
      </c>
      <c r="AC17" s="238">
        <v>-32531</v>
      </c>
      <c r="AD17" s="238">
        <v>-31228</v>
      </c>
      <c r="AE17" s="238">
        <v>-29590</v>
      </c>
      <c r="AH17" s="28">
        <v>0</v>
      </c>
    </row>
    <row r="18" spans="1:34" x14ac:dyDescent="0.2">
      <c r="A18" s="62" t="s">
        <v>136</v>
      </c>
      <c r="B18" s="162">
        <f t="shared" ref="B18:H18" si="22">-B17/B$8</f>
        <v>0.12151366618225408</v>
      </c>
      <c r="C18" s="162">
        <f t="shared" si="22"/>
        <v>0.13562945764920076</v>
      </c>
      <c r="D18" s="162">
        <f t="shared" si="22"/>
        <v>0.13026613423487429</v>
      </c>
      <c r="E18" s="162">
        <f t="shared" si="22"/>
        <v>0.13592685126324972</v>
      </c>
      <c r="F18" s="34">
        <f t="shared" si="22"/>
        <v>0.13095109337883903</v>
      </c>
      <c r="G18" s="162">
        <f t="shared" si="22"/>
        <v>0.12975402410981812</v>
      </c>
      <c r="H18" s="162">
        <f t="shared" si="22"/>
        <v>0.1284531008025909</v>
      </c>
      <c r="I18" s="162">
        <f>-I17/I$8</f>
        <v>0.11508657333504584</v>
      </c>
      <c r="J18" s="162">
        <f>-J17/J$8</f>
        <v>0.11977112952043314</v>
      </c>
      <c r="K18" s="34">
        <f>-K17/K$8</f>
        <v>0.12298167677551981</v>
      </c>
      <c r="L18" s="162">
        <f>-L17/L$8</f>
        <v>0.12343446921621687</v>
      </c>
      <c r="M18" s="162">
        <f t="shared" ref="M18" si="23">-M17/M$8</f>
        <v>0.12405119722192894</v>
      </c>
      <c r="N18" s="162">
        <f t="shared" ref="N18:U18" si="24">-N17/N$8</f>
        <v>0.12765186915887849</v>
      </c>
      <c r="O18" s="162">
        <f t="shared" si="24"/>
        <v>0.14118257612509449</v>
      </c>
      <c r="P18" s="268">
        <f>-P17/P$8</f>
        <v>0.14041157123121087</v>
      </c>
      <c r="Q18" s="34">
        <f t="shared" si="24"/>
        <v>0.12922675032216308</v>
      </c>
      <c r="R18" s="268">
        <f>-R17/R$8</f>
        <v>0.12865021969305557</v>
      </c>
      <c r="S18" s="268">
        <f t="shared" si="24"/>
        <v>0.13132604503013118</v>
      </c>
      <c r="T18" s="268">
        <f t="shared" si="24"/>
        <v>0.12919384101091205</v>
      </c>
      <c r="U18" s="268">
        <f t="shared" si="24"/>
        <v>0.13800722659803999</v>
      </c>
      <c r="V18" s="268">
        <f t="shared" ref="V18" si="25">-V17/V$8</f>
        <v>0.1390170562223626</v>
      </c>
      <c r="W18" s="268">
        <f t="shared" ref="W18" si="26">-W17/W$8</f>
        <v>0.13447941126313442</v>
      </c>
      <c r="X18" s="268">
        <f t="shared" ref="X18:Y18" si="27">-X17/X$8</f>
        <v>0.14140008600155576</v>
      </c>
      <c r="Y18" s="162">
        <f t="shared" si="27"/>
        <v>0.13154888821200122</v>
      </c>
      <c r="Z18" s="162">
        <f t="shared" ref="Z18:AA18" si="28">-Z17/Z$8</f>
        <v>0.12419307384780465</v>
      </c>
      <c r="AA18" s="162">
        <f t="shared" si="28"/>
        <v>0.13023247893811488</v>
      </c>
      <c r="AB18" s="162">
        <f t="shared" ref="AB18:AD18" si="29">-AB17/AB$8</f>
        <v>0.13158240404388119</v>
      </c>
      <c r="AC18" s="162">
        <f t="shared" si="29"/>
        <v>0.13578742178793102</v>
      </c>
      <c r="AD18" s="162">
        <f t="shared" si="29"/>
        <v>0.1282416666324448</v>
      </c>
      <c r="AE18" s="162">
        <f t="shared" ref="AE18" si="30">-AE17/AE$8</f>
        <v>0.11770462067209776</v>
      </c>
    </row>
    <row r="19" spans="1:34" ht="6" customHeight="1" x14ac:dyDescent="0.2">
      <c r="A19" s="62"/>
      <c r="B19" s="162"/>
      <c r="C19" s="162"/>
      <c r="D19" s="162"/>
      <c r="E19" s="162"/>
      <c r="F19" s="34"/>
      <c r="G19" s="162"/>
      <c r="H19" s="162"/>
      <c r="I19" s="162"/>
      <c r="J19" s="162"/>
      <c r="K19" s="34"/>
      <c r="L19" s="162"/>
      <c r="M19" s="162"/>
      <c r="N19" s="162"/>
      <c r="O19" s="162"/>
      <c r="P19" s="268"/>
      <c r="Q19" s="34"/>
      <c r="R19" s="268"/>
      <c r="S19" s="268"/>
      <c r="T19" s="266"/>
      <c r="U19" s="266"/>
      <c r="V19" s="266"/>
      <c r="W19" s="266"/>
      <c r="X19" s="266"/>
    </row>
    <row r="20" spans="1:34" x14ac:dyDescent="0.2">
      <c r="A20" s="63" t="s">
        <v>4</v>
      </c>
      <c r="B20" s="30">
        <v>-10232</v>
      </c>
      <c r="C20" s="30">
        <v>-9463</v>
      </c>
      <c r="D20" s="30">
        <v>-9117</v>
      </c>
      <c r="E20" s="30">
        <f>F20-B20-C20-D20</f>
        <v>-10482</v>
      </c>
      <c r="F20" s="28">
        <v>-39294</v>
      </c>
      <c r="G20" s="30">
        <v>-11243</v>
      </c>
      <c r="H20" s="30">
        <v>-11844</v>
      </c>
      <c r="I20" s="30">
        <v>-12682</v>
      </c>
      <c r="J20" s="30">
        <f>K20-G20-H20-I20</f>
        <v>-13705</v>
      </c>
      <c r="K20" s="28">
        <v>-49474</v>
      </c>
      <c r="L20" s="30">
        <v>-13454</v>
      </c>
      <c r="M20" s="30">
        <v>-12798</v>
      </c>
      <c r="N20" s="30">
        <v>-11623</v>
      </c>
      <c r="O20" s="30">
        <f>Q20-L20-M20-N20</f>
        <v>-12707</v>
      </c>
      <c r="P20" s="269">
        <v>-12685.898911589096</v>
      </c>
      <c r="Q20" s="28">
        <v>-50582</v>
      </c>
      <c r="R20" s="269">
        <v>-50528.082319849142</v>
      </c>
      <c r="S20" s="269">
        <v>-13340</v>
      </c>
      <c r="T20" s="269">
        <v>-13095</v>
      </c>
      <c r="U20" s="269">
        <v>-12196</v>
      </c>
      <c r="V20" s="269">
        <f>+W20-SUM(S20,T20,U20)</f>
        <v>-14748</v>
      </c>
      <c r="W20" s="269">
        <v>-53379</v>
      </c>
      <c r="X20" s="269">
        <v>-13952</v>
      </c>
      <c r="Y20" s="238">
        <v>-15151</v>
      </c>
      <c r="Z20" s="238">
        <v>-16490</v>
      </c>
      <c r="AA20" s="238">
        <f>+AB20-SUM(X20:Z20)</f>
        <v>-18019</v>
      </c>
      <c r="AB20" s="238">
        <v>-63612</v>
      </c>
      <c r="AC20" s="238">
        <v>-18047</v>
      </c>
      <c r="AD20" s="238">
        <v>-17647</v>
      </c>
      <c r="AE20" s="238">
        <v>-18302</v>
      </c>
      <c r="AH20" s="28">
        <v>0</v>
      </c>
    </row>
    <row r="21" spans="1:34" x14ac:dyDescent="0.2">
      <c r="A21" s="62" t="s">
        <v>136</v>
      </c>
      <c r="B21" s="162">
        <f t="shared" ref="B21:H21" si="31">-B20/B$8</f>
        <v>8.4008637322758359E-2</v>
      </c>
      <c r="C21" s="162">
        <f t="shared" si="31"/>
        <v>7.9030884096945003E-2</v>
      </c>
      <c r="D21" s="162">
        <f t="shared" si="31"/>
        <v>7.4450623484161788E-2</v>
      </c>
      <c r="E21" s="162">
        <f t="shared" si="31"/>
        <v>7.7480300991972562E-2</v>
      </c>
      <c r="F21" s="34">
        <f t="shared" si="31"/>
        <v>7.8701645175633619E-2</v>
      </c>
      <c r="G21" s="162">
        <f t="shared" si="31"/>
        <v>7.8342972615148776E-2</v>
      </c>
      <c r="H21" s="162">
        <f t="shared" si="31"/>
        <v>7.6107980285437055E-2</v>
      </c>
      <c r="I21" s="162">
        <f>-I20/I$8</f>
        <v>7.7564326036831124E-2</v>
      </c>
      <c r="J21" s="162">
        <f>-J20/J$8</f>
        <v>8.263092524930965E-2</v>
      </c>
      <c r="K21" s="34">
        <f>-K20/K$8</f>
        <v>7.8718583530100625E-2</v>
      </c>
      <c r="L21" s="162">
        <f>-L20/L$8</f>
        <v>8.0545511147297591E-2</v>
      </c>
      <c r="M21" s="162">
        <f t="shared" ref="M21" si="32">-M20/M$8</f>
        <v>7.5071270193221407E-2</v>
      </c>
      <c r="N21" s="162">
        <f t="shared" ref="N21:U21" si="33">-N20/N$8</f>
        <v>6.7891355140186918E-2</v>
      </c>
      <c r="O21" s="162">
        <f t="shared" si="33"/>
        <v>7.1679998194884756E-2</v>
      </c>
      <c r="P21" s="268">
        <f t="shared" si="33"/>
        <v>7.1560967268686312E-2</v>
      </c>
      <c r="Q21" s="34">
        <f t="shared" si="33"/>
        <v>7.3735983719831838E-2</v>
      </c>
      <c r="R21" s="268">
        <f t="shared" si="33"/>
        <v>7.365738514354353E-2</v>
      </c>
      <c r="S21" s="268">
        <f t="shared" si="33"/>
        <v>7.2883032021548028E-2</v>
      </c>
      <c r="T21" s="268">
        <f t="shared" si="33"/>
        <v>6.9264824894079563E-2</v>
      </c>
      <c r="U21" s="268">
        <f t="shared" si="33"/>
        <v>6.3406899061582048E-2</v>
      </c>
      <c r="V21" s="268">
        <f t="shared" ref="V21" si="34">-V20/V$8</f>
        <v>7.4531901452937463E-2</v>
      </c>
      <c r="W21" s="268">
        <f t="shared" ref="W21" si="35">-W20/W$8</f>
        <v>7.002269417953326E-2</v>
      </c>
      <c r="X21" s="268">
        <f t="shared" ref="X21:Y21" si="36">-X20/X$8</f>
        <v>6.7409758760804545E-2</v>
      </c>
      <c r="Y21" s="162">
        <f t="shared" si="36"/>
        <v>7.2109160828510502E-2</v>
      </c>
      <c r="Z21" s="162">
        <f t="shared" ref="Z21:AA21" si="37">-Z20/Z$8</f>
        <v>7.1346982572125781E-2</v>
      </c>
      <c r="AA21" s="162">
        <f t="shared" si="37"/>
        <v>7.6708258302363108E-2</v>
      </c>
      <c r="AB21" s="162">
        <f t="shared" ref="AB21:AD21" si="38">-AB20/AB$8</f>
        <v>7.2031633586679827E-2</v>
      </c>
      <c r="AC21" s="162">
        <f t="shared" si="38"/>
        <v>7.5329857705167105E-2</v>
      </c>
      <c r="AD21" s="162">
        <f t="shared" si="38"/>
        <v>7.246960071290999E-2</v>
      </c>
      <c r="AE21" s="162">
        <f t="shared" ref="AE21" si="39">-AE20/AE$8</f>
        <v>7.28026349287169E-2</v>
      </c>
    </row>
    <row r="22" spans="1:34" ht="6" customHeight="1" x14ac:dyDescent="0.2">
      <c r="A22" s="62"/>
      <c r="B22" s="162"/>
      <c r="C22" s="162"/>
      <c r="D22" s="162"/>
      <c r="E22" s="162"/>
      <c r="F22" s="34"/>
      <c r="G22" s="162"/>
      <c r="H22" s="162"/>
      <c r="I22" s="162"/>
      <c r="J22" s="162"/>
      <c r="K22" s="34"/>
      <c r="L22" s="162"/>
      <c r="M22" s="162"/>
      <c r="N22" s="162"/>
      <c r="O22" s="162"/>
      <c r="P22" s="268"/>
      <c r="Q22" s="34"/>
      <c r="R22" s="268"/>
      <c r="S22" s="268"/>
      <c r="T22" s="266"/>
      <c r="U22" s="266"/>
      <c r="V22" s="266"/>
      <c r="W22" s="266"/>
      <c r="X22" s="266"/>
    </row>
    <row r="23" spans="1:34" x14ac:dyDescent="0.2">
      <c r="A23" s="63" t="s">
        <v>5</v>
      </c>
      <c r="B23" s="163">
        <v>-6356</v>
      </c>
      <c r="C23" s="163">
        <v>-6679</v>
      </c>
      <c r="D23" s="163">
        <v>-7014</v>
      </c>
      <c r="E23" s="163">
        <f>F23-B23-C23-D23</f>
        <v>-7979</v>
      </c>
      <c r="F23" s="60">
        <v>-28028</v>
      </c>
      <c r="G23" s="163">
        <v>-7053</v>
      </c>
      <c r="H23" s="163">
        <v>-8061</v>
      </c>
      <c r="I23" s="163">
        <v>-8057</v>
      </c>
      <c r="J23" s="163">
        <f>K23-G23-H23-I23</f>
        <v>-8294</v>
      </c>
      <c r="K23" s="60">
        <v>-31465</v>
      </c>
      <c r="L23" s="163">
        <v>-8133</v>
      </c>
      <c r="M23" s="163">
        <v>-8270</v>
      </c>
      <c r="N23" s="163">
        <v>-8597</v>
      </c>
      <c r="O23" s="163">
        <f>Q23-L23-M23-N23</f>
        <v>-9580</v>
      </c>
      <c r="P23" s="269">
        <v>-9529.542177196905</v>
      </c>
      <c r="Q23" s="60">
        <v>-34580</v>
      </c>
      <c r="R23" s="269">
        <v>-34460.445826269111</v>
      </c>
      <c r="S23" s="269">
        <v>-9372</v>
      </c>
      <c r="T23" s="269">
        <v>-9535</v>
      </c>
      <c r="U23" s="269">
        <v>-9582</v>
      </c>
      <c r="V23" s="269">
        <f>+W23-SUM(S23,T23,U23)</f>
        <v>-10060</v>
      </c>
      <c r="W23" s="269">
        <v>-38549</v>
      </c>
      <c r="X23" s="269">
        <v>-10504</v>
      </c>
      <c r="Y23" s="90">
        <v>-10582</v>
      </c>
      <c r="Z23" s="90">
        <v>-14099</v>
      </c>
      <c r="AA23" s="238">
        <f>+AB23-SUM(X23:Z23)</f>
        <v>-13381</v>
      </c>
      <c r="AB23" s="28">
        <v>-48566</v>
      </c>
      <c r="AC23" s="28">
        <v>-13667</v>
      </c>
      <c r="AD23" s="28">
        <v>-12752</v>
      </c>
      <c r="AE23" s="28">
        <v>-13047</v>
      </c>
      <c r="AH23" s="28">
        <v>0</v>
      </c>
    </row>
    <row r="24" spans="1:34" x14ac:dyDescent="0.2">
      <c r="A24" s="62" t="s">
        <v>136</v>
      </c>
      <c r="B24" s="34">
        <f t="shared" ref="B24:H24" si="40">-B23/B$8</f>
        <v>5.2185193395568034E-2</v>
      </c>
      <c r="C24" s="34">
        <f t="shared" si="40"/>
        <v>5.5780119928510584E-2</v>
      </c>
      <c r="D24" s="34">
        <f t="shared" si="40"/>
        <v>5.7277248340233712E-2</v>
      </c>
      <c r="E24" s="34">
        <f t="shared" si="40"/>
        <v>5.8978756116671346E-2</v>
      </c>
      <c r="F24" s="34">
        <f t="shared" si="40"/>
        <v>5.6137061917408741E-2</v>
      </c>
      <c r="G24" s="34">
        <f t="shared" si="40"/>
        <v>4.9146400947669151E-2</v>
      </c>
      <c r="H24" s="34">
        <f t="shared" si="40"/>
        <v>5.1798921739353944E-2</v>
      </c>
      <c r="I24" s="34">
        <f>-I23/I$8</f>
        <v>4.9277383289603252E-2</v>
      </c>
      <c r="J24" s="34">
        <f>-J23/J$8</f>
        <v>5.0006632179334126E-2</v>
      </c>
      <c r="K24" s="34">
        <f>-K23/K$8</f>
        <v>5.0064280850034684E-2</v>
      </c>
      <c r="L24" s="34">
        <f>-L23/L$8</f>
        <v>4.8690102732345121E-2</v>
      </c>
      <c r="M24" s="34">
        <f t="shared" ref="M24" si="41">-M23/M$8</f>
        <v>4.8510658266755831E-2</v>
      </c>
      <c r="N24" s="34">
        <f t="shared" ref="N24:U24" si="42">-N23/N$8</f>
        <v>5.0216121495327101E-2</v>
      </c>
      <c r="O24" s="162">
        <f t="shared" si="42"/>
        <v>5.4040637656960412E-2</v>
      </c>
      <c r="P24" s="268">
        <f t="shared" si="42"/>
        <v>5.3756005828248389E-2</v>
      </c>
      <c r="Q24" s="34">
        <f t="shared" si="42"/>
        <v>5.0409045056181739E-2</v>
      </c>
      <c r="R24" s="268">
        <f t="shared" si="42"/>
        <v>5.0234764786365231E-2</v>
      </c>
      <c r="S24" s="268">
        <f t="shared" si="42"/>
        <v>5.120388126731245E-2</v>
      </c>
      <c r="T24" s="268">
        <f t="shared" si="42"/>
        <v>5.0434525037422573E-2</v>
      </c>
      <c r="U24" s="268">
        <f t="shared" si="42"/>
        <v>4.9816735553302662E-2</v>
      </c>
      <c r="V24" s="268">
        <f t="shared" ref="V24" si="43">-V23/V$8</f>
        <v>5.0840176879343023E-2</v>
      </c>
      <c r="W24" s="268">
        <f t="shared" ref="W24" si="44">-W23/W$8</f>
        <v>5.0568666290616682E-2</v>
      </c>
      <c r="X24" s="268">
        <f t="shared" ref="X24:Y24" si="45">-X23/X$8</f>
        <v>5.0750580993656175E-2</v>
      </c>
      <c r="Y24" s="34">
        <f t="shared" si="45"/>
        <v>5.0363615595491927E-2</v>
      </c>
      <c r="Z24" s="34">
        <f t="shared" ref="Z24:AA24" si="46">-Z23/Z$8</f>
        <v>6.1001886433256609E-2</v>
      </c>
      <c r="AA24" s="34">
        <f t="shared" si="46"/>
        <v>5.6963938306449899E-2</v>
      </c>
      <c r="AB24" s="34">
        <f t="shared" ref="AB24:AD24" si="47">-AB23/AB$8</f>
        <v>5.4994157026515327E-2</v>
      </c>
      <c r="AC24" s="34">
        <f t="shared" si="47"/>
        <v>5.7047330041365266E-2</v>
      </c>
      <c r="AD24" s="34">
        <f t="shared" si="47"/>
        <v>5.2367674295405918E-2</v>
      </c>
      <c r="AE24" s="34">
        <f t="shared" ref="AE24" si="48">-AE23/AE$8</f>
        <v>5.1899026221995929E-2</v>
      </c>
    </row>
    <row r="25" spans="1:34" ht="6" customHeight="1" x14ac:dyDescent="0.2">
      <c r="A25" s="62"/>
      <c r="B25" s="162"/>
      <c r="C25" s="162"/>
      <c r="D25" s="162"/>
      <c r="E25" s="162"/>
      <c r="F25" s="34"/>
      <c r="G25" s="162"/>
      <c r="H25" s="162"/>
      <c r="I25" s="162"/>
      <c r="J25" s="162"/>
      <c r="K25" s="34"/>
      <c r="L25" s="162"/>
      <c r="M25" s="162"/>
      <c r="N25" s="162"/>
      <c r="O25" s="162"/>
      <c r="P25" s="268"/>
      <c r="Q25" s="34"/>
      <c r="R25" s="268"/>
      <c r="S25" s="268"/>
      <c r="T25" s="266"/>
      <c r="U25" s="266"/>
      <c r="V25" s="266"/>
      <c r="W25" s="266"/>
      <c r="X25" s="266"/>
    </row>
    <row r="26" spans="1:34" x14ac:dyDescent="0.2">
      <c r="A26" s="63" t="s">
        <v>261</v>
      </c>
      <c r="B26" s="34"/>
      <c r="C26" s="34"/>
      <c r="D26" s="34"/>
      <c r="E26" s="34"/>
      <c r="F26" s="360">
        <v>0</v>
      </c>
      <c r="G26" s="34"/>
      <c r="H26" s="34"/>
      <c r="I26" s="34"/>
      <c r="J26" s="34"/>
      <c r="K26" s="360">
        <v>0</v>
      </c>
      <c r="L26" s="34"/>
      <c r="M26" s="34"/>
      <c r="N26" s="34"/>
      <c r="O26" s="162"/>
      <c r="P26" s="268"/>
      <c r="Q26" s="360">
        <v>0</v>
      </c>
      <c r="R26" s="362">
        <v>0</v>
      </c>
      <c r="S26" s="362">
        <v>0</v>
      </c>
      <c r="T26" s="362">
        <v>0</v>
      </c>
      <c r="U26" s="362">
        <v>0</v>
      </c>
      <c r="V26" s="362">
        <v>0</v>
      </c>
      <c r="W26" s="362">
        <v>0</v>
      </c>
      <c r="X26" s="362">
        <v>0</v>
      </c>
      <c r="Y26" s="360">
        <v>0</v>
      </c>
      <c r="Z26" s="33">
        <v>0</v>
      </c>
      <c r="AA26" s="238">
        <f>+AB26-SUM(X26:Z26)</f>
        <v>-20056</v>
      </c>
      <c r="AB26" s="28">
        <v>-20056</v>
      </c>
      <c r="AC26" s="28">
        <v>-1227</v>
      </c>
      <c r="AD26" s="28">
        <v>-5580</v>
      </c>
      <c r="AE26" s="361">
        <v>-489</v>
      </c>
      <c r="AH26" s="28">
        <v>0</v>
      </c>
    </row>
    <row r="27" spans="1:34" x14ac:dyDescent="0.2">
      <c r="A27" s="62" t="s">
        <v>136</v>
      </c>
      <c r="B27" s="34"/>
      <c r="C27" s="34"/>
      <c r="D27" s="34"/>
      <c r="E27" s="34"/>
      <c r="F27" s="34">
        <v>0</v>
      </c>
      <c r="G27" s="34"/>
      <c r="H27" s="34"/>
      <c r="I27" s="34"/>
      <c r="J27" s="34"/>
      <c r="K27" s="34">
        <v>0</v>
      </c>
      <c r="L27" s="34"/>
      <c r="M27" s="34"/>
      <c r="N27" s="34"/>
      <c r="O27" s="162"/>
      <c r="P27" s="268"/>
      <c r="Q27" s="34">
        <v>0</v>
      </c>
      <c r="R27" s="268">
        <v>0</v>
      </c>
      <c r="S27" s="268">
        <v>0</v>
      </c>
      <c r="T27" s="268">
        <v>0</v>
      </c>
      <c r="U27" s="268">
        <v>0</v>
      </c>
      <c r="V27" s="268">
        <v>0</v>
      </c>
      <c r="W27" s="268">
        <v>0</v>
      </c>
      <c r="X27" s="268">
        <v>0</v>
      </c>
      <c r="Y27" s="34">
        <v>0</v>
      </c>
      <c r="Z27" s="34">
        <v>0</v>
      </c>
      <c r="AA27" s="34">
        <f t="shared" ref="AA27:AB27" si="49">-AA26/AA$8</f>
        <v>8.5379922776635461E-2</v>
      </c>
      <c r="AB27" s="34">
        <f t="shared" si="49"/>
        <v>2.2710596164472911E-2</v>
      </c>
      <c r="AC27" s="34">
        <f t="shared" ref="AC27:AD27" si="50">-AC26/AC$8</f>
        <v>5.1216122017088738E-3</v>
      </c>
      <c r="AD27" s="34">
        <f t="shared" si="50"/>
        <v>2.2914964128635903E-2</v>
      </c>
      <c r="AE27" s="34">
        <f t="shared" ref="AE27" si="51">-AE26/AE$8</f>
        <v>1.9451692973523422E-3</v>
      </c>
    </row>
    <row r="28" spans="1:34" ht="6" customHeight="1" x14ac:dyDescent="0.2">
      <c r="A28" s="62"/>
      <c r="B28" s="34"/>
      <c r="C28" s="34"/>
      <c r="D28" s="34"/>
      <c r="E28" s="34"/>
      <c r="F28" s="34"/>
      <c r="G28" s="34"/>
      <c r="H28" s="34"/>
      <c r="I28" s="34"/>
      <c r="J28" s="34"/>
      <c r="K28" s="34"/>
      <c r="L28" s="34"/>
      <c r="M28" s="34"/>
      <c r="N28" s="34"/>
      <c r="O28" s="34"/>
      <c r="P28" s="268"/>
      <c r="Q28" s="34"/>
      <c r="R28" s="268"/>
      <c r="S28" s="268"/>
      <c r="T28" s="266"/>
      <c r="U28" s="266"/>
      <c r="V28" s="266"/>
      <c r="W28" s="266"/>
      <c r="X28" s="266"/>
    </row>
    <row r="29" spans="1:34" s="27" customFormat="1" x14ac:dyDescent="0.2">
      <c r="A29" s="64" t="s">
        <v>6</v>
      </c>
      <c r="B29" s="26">
        <f>B17+B20+B23</f>
        <v>-31388</v>
      </c>
      <c r="C29" s="26">
        <f>C17+C20+C23</f>
        <v>-32382</v>
      </c>
      <c r="D29" s="26">
        <f>D17+D20+D23</f>
        <v>-32083</v>
      </c>
      <c r="E29" s="26">
        <f>E17+E20+E23</f>
        <v>-36850</v>
      </c>
      <c r="F29" s="26">
        <f>F17+F20+F23+F26</f>
        <v>-132703</v>
      </c>
      <c r="G29" s="26">
        <f>G17+G20+G23</f>
        <v>-36917</v>
      </c>
      <c r="H29" s="26">
        <f>H17+H20+H23</f>
        <v>-39895</v>
      </c>
      <c r="I29" s="26">
        <f>I17+I20+I23</f>
        <v>-39556</v>
      </c>
      <c r="J29" s="26">
        <f>J17+J20+J23</f>
        <v>-41864</v>
      </c>
      <c r="K29" s="26">
        <f>K17+K20+K23+K26</f>
        <v>-158232</v>
      </c>
      <c r="L29" s="26">
        <f>L17+L20+L23</f>
        <v>-42205</v>
      </c>
      <c r="M29" s="26">
        <f>M17+M20+M23</f>
        <v>-42216</v>
      </c>
      <c r="N29" s="26">
        <f>N17+N20+N23</f>
        <v>-42074</v>
      </c>
      <c r="O29" s="26">
        <f>O17+O20+O23</f>
        <v>-47315</v>
      </c>
      <c r="P29" s="271">
        <f>P17+P20+P23</f>
        <v>-47106.761967227678</v>
      </c>
      <c r="Q29" s="26">
        <f t="shared" ref="Q29:AA29" si="52">Q17+Q20+Q23+Q26</f>
        <v>-173810</v>
      </c>
      <c r="R29" s="271">
        <f t="shared" si="52"/>
        <v>-173241.03505291807</v>
      </c>
      <c r="S29" s="271">
        <f t="shared" si="52"/>
        <v>-46749</v>
      </c>
      <c r="T29" s="271">
        <f t="shared" si="52"/>
        <v>-47055</v>
      </c>
      <c r="U29" s="271">
        <f t="shared" si="52"/>
        <v>-48323</v>
      </c>
      <c r="V29" s="271">
        <f t="shared" si="52"/>
        <v>-52316</v>
      </c>
      <c r="W29" s="271">
        <f t="shared" si="52"/>
        <v>-194443</v>
      </c>
      <c r="X29" s="271">
        <f t="shared" si="52"/>
        <v>-53722</v>
      </c>
      <c r="Y29" s="26">
        <f t="shared" si="52"/>
        <v>-53373</v>
      </c>
      <c r="Z29" s="26">
        <f t="shared" si="52"/>
        <v>-59293</v>
      </c>
      <c r="AA29" s="26">
        <f t="shared" si="52"/>
        <v>-82048</v>
      </c>
      <c r="AB29" s="26">
        <f>AB17+AB20+AB23+AB26</f>
        <v>-248436</v>
      </c>
      <c r="AC29" s="26">
        <f>AC17+AC20+AC23+AC26</f>
        <v>-65472</v>
      </c>
      <c r="AD29" s="26">
        <f>AD17+AD20+AD23+AD26</f>
        <v>-67207</v>
      </c>
      <c r="AE29" s="26">
        <f>AE17+AE20+AE23+AE26</f>
        <v>-61428</v>
      </c>
      <c r="AH29" s="26">
        <v>0</v>
      </c>
    </row>
    <row r="30" spans="1:34" ht="6" customHeight="1" x14ac:dyDescent="0.2">
      <c r="A30" s="62"/>
      <c r="B30" s="28"/>
      <c r="C30" s="28"/>
      <c r="D30" s="28"/>
      <c r="E30" s="28"/>
      <c r="F30" s="28"/>
      <c r="G30" s="28"/>
      <c r="H30" s="28"/>
      <c r="I30" s="28"/>
      <c r="J30" s="28"/>
      <c r="K30" s="28"/>
      <c r="L30" s="28"/>
      <c r="M30" s="28"/>
      <c r="N30" s="28"/>
      <c r="O30" s="28"/>
      <c r="P30" s="269"/>
      <c r="Q30" s="28"/>
      <c r="R30" s="269"/>
      <c r="S30" s="269"/>
      <c r="T30" s="266"/>
      <c r="U30" s="266"/>
      <c r="V30" s="266"/>
      <c r="W30" s="266"/>
      <c r="X30" s="266"/>
    </row>
    <row r="31" spans="1:34" s="27" customFormat="1" x14ac:dyDescent="0.2">
      <c r="A31" s="61" t="s">
        <v>95</v>
      </c>
      <c r="B31" s="43">
        <f t="shared" ref="B31:AB31" si="53">B13+B29</f>
        <v>15487</v>
      </c>
      <c r="C31" s="43">
        <f t="shared" si="53"/>
        <v>6097</v>
      </c>
      <c r="D31" s="43">
        <f t="shared" si="53"/>
        <v>5391</v>
      </c>
      <c r="E31" s="43">
        <f t="shared" si="53"/>
        <v>7065</v>
      </c>
      <c r="F31" s="43">
        <f t="shared" si="53"/>
        <v>34040</v>
      </c>
      <c r="G31" s="43">
        <f t="shared" si="53"/>
        <v>13468</v>
      </c>
      <c r="H31" s="43">
        <f t="shared" si="53"/>
        <v>15248</v>
      </c>
      <c r="I31" s="43">
        <f t="shared" si="53"/>
        <v>20749</v>
      </c>
      <c r="J31" s="43">
        <f t="shared" si="53"/>
        <v>17878</v>
      </c>
      <c r="K31" s="43">
        <f t="shared" si="53"/>
        <v>67343</v>
      </c>
      <c r="L31" s="43">
        <f t="shared" si="53"/>
        <v>16452</v>
      </c>
      <c r="M31" s="43">
        <f t="shared" si="53"/>
        <v>16236</v>
      </c>
      <c r="N31" s="43">
        <f t="shared" si="53"/>
        <v>17359</v>
      </c>
      <c r="O31" s="43">
        <f t="shared" si="53"/>
        <v>14175</v>
      </c>
      <c r="P31" s="272">
        <f t="shared" si="53"/>
        <v>15145.174049368623</v>
      </c>
      <c r="Q31" s="43">
        <f t="shared" si="53"/>
        <v>64222</v>
      </c>
      <c r="R31" s="272">
        <f t="shared" si="53"/>
        <v>66949.716704388498</v>
      </c>
      <c r="S31" s="267">
        <f t="shared" si="53"/>
        <v>17212</v>
      </c>
      <c r="T31" s="272">
        <f t="shared" si="53"/>
        <v>18268</v>
      </c>
      <c r="U31" s="272">
        <f t="shared" si="53"/>
        <v>20945</v>
      </c>
      <c r="V31" s="267">
        <f t="shared" si="53"/>
        <v>16300</v>
      </c>
      <c r="W31" s="272">
        <f t="shared" si="53"/>
        <v>72725</v>
      </c>
      <c r="X31" s="272">
        <f t="shared" si="53"/>
        <v>15150</v>
      </c>
      <c r="Y31" s="43">
        <f t="shared" si="53"/>
        <v>17090</v>
      </c>
      <c r="Z31" s="43">
        <f t="shared" si="53"/>
        <v>19674</v>
      </c>
      <c r="AA31" s="43">
        <f t="shared" si="53"/>
        <v>-2093</v>
      </c>
      <c r="AB31" s="43">
        <f t="shared" si="53"/>
        <v>49821</v>
      </c>
      <c r="AC31" s="43">
        <f t="shared" ref="AC31:AD31" si="54">AC13+AC29</f>
        <v>16861</v>
      </c>
      <c r="AD31" s="43">
        <f t="shared" si="54"/>
        <v>13856</v>
      </c>
      <c r="AE31" s="43">
        <f t="shared" ref="AE31" si="55">AE13+AE29</f>
        <v>22422</v>
      </c>
      <c r="AH31" s="26">
        <v>0</v>
      </c>
    </row>
    <row r="32" spans="1:34" s="27" customFormat="1" x14ac:dyDescent="0.2">
      <c r="A32" s="62" t="s">
        <v>134</v>
      </c>
      <c r="B32" s="34">
        <v>-0.32591360969409966</v>
      </c>
      <c r="C32" s="34">
        <f>C31/B31-1</f>
        <v>-0.60631497384903466</v>
      </c>
      <c r="D32" s="34">
        <f>D31/C31-1</f>
        <v>-0.1157946531080859</v>
      </c>
      <c r="E32" s="34">
        <f>E31/D31-1</f>
        <v>0.31051752921535902</v>
      </c>
      <c r="F32" s="34">
        <v>-0.4951053099970335</v>
      </c>
      <c r="G32" s="34">
        <v>0.90629865534324128</v>
      </c>
      <c r="H32" s="34">
        <v>0.13216513216513226</v>
      </c>
      <c r="I32" s="34">
        <v>0.3607686253934943</v>
      </c>
      <c r="J32" s="34">
        <v>-0.13836811412598193</v>
      </c>
      <c r="K32" s="34">
        <f>K31/F31-1</f>
        <v>0.97834900117508816</v>
      </c>
      <c r="L32" s="34">
        <f>L31/J31-1</f>
        <v>-7.9762837006376541E-2</v>
      </c>
      <c r="M32" s="34">
        <f>M31/L31-1</f>
        <v>-1.3129102844638973E-2</v>
      </c>
      <c r="N32" s="34">
        <f>N31/M31-1</f>
        <v>6.9167282581916734E-2</v>
      </c>
      <c r="O32" s="34">
        <f>O31/N31-1</f>
        <v>-0.18342070395760124</v>
      </c>
      <c r="P32" s="268">
        <f>P31/N31-1</f>
        <v>-0.12753188263329551</v>
      </c>
      <c r="Q32" s="34">
        <f>Q31/K31-1</f>
        <v>-4.634483168258019E-2</v>
      </c>
      <c r="R32" s="268">
        <f>R31/K31-1</f>
        <v>-5.8400026077172207E-3</v>
      </c>
      <c r="S32" s="268">
        <f>S31/O31-1</f>
        <v>0.21425044091710754</v>
      </c>
      <c r="T32" s="268">
        <f>T31/S31-1</f>
        <v>6.1352544736230641E-2</v>
      </c>
      <c r="U32" s="268">
        <f>U31/T31-1</f>
        <v>0.1465403985110576</v>
      </c>
      <c r="V32" s="268">
        <f>V31/U31-1</f>
        <v>-0.22177130580090709</v>
      </c>
      <c r="W32" s="268">
        <f>W31/R31-1</f>
        <v>8.6262998260498103E-2</v>
      </c>
      <c r="X32" s="268">
        <f>X31/V31-1</f>
        <v>-7.055214723926384E-2</v>
      </c>
      <c r="Y32" s="34">
        <f>Y31/X31-1</f>
        <v>0.12805280528052809</v>
      </c>
      <c r="Z32" s="34">
        <f>Z31/Y31-1</f>
        <v>0.15119953188999413</v>
      </c>
      <c r="AA32" s="34">
        <f>AA31/Z31-1</f>
        <v>-1.1063840601809494</v>
      </c>
      <c r="AB32" s="34">
        <f>AB31/W31-1</f>
        <v>-0.31493984187005841</v>
      </c>
      <c r="AC32" s="34">
        <f>AC31/AA31-1</f>
        <v>-9.0559006211180133</v>
      </c>
      <c r="AD32" s="34">
        <f>AD31/AC31-1</f>
        <v>-0.17822193226973493</v>
      </c>
      <c r="AE32" s="34">
        <f>AE31/AD31-1</f>
        <v>0.61821593533487307</v>
      </c>
      <c r="AH32" s="26"/>
    </row>
    <row r="33" spans="1:34" x14ac:dyDescent="0.2">
      <c r="A33" s="62" t="s">
        <v>69</v>
      </c>
      <c r="B33" s="34">
        <f t="shared" ref="B33:AB33" si="56">IF(B31/B8&lt;0, "NM",B31/B8)</f>
        <v>0.12715419920030871</v>
      </c>
      <c r="C33" s="34">
        <f t="shared" si="56"/>
        <v>5.0919507591574938E-2</v>
      </c>
      <c r="D33" s="34">
        <f t="shared" si="56"/>
        <v>4.4023616453122319E-2</v>
      </c>
      <c r="E33" s="34">
        <f t="shared" si="56"/>
        <v>5.2222698579306059E-2</v>
      </c>
      <c r="F33" s="34">
        <f t="shared" si="56"/>
        <v>6.8178449681339862E-2</v>
      </c>
      <c r="G33" s="34">
        <f t="shared" si="56"/>
        <v>9.3847118667688662E-2</v>
      </c>
      <c r="H33" s="34">
        <f t="shared" si="56"/>
        <v>9.7981634869329981E-2</v>
      </c>
      <c r="I33" s="34">
        <f t="shared" si="56"/>
        <v>0.12690287028372568</v>
      </c>
      <c r="J33" s="34">
        <f t="shared" si="56"/>
        <v>0.10779100194141977</v>
      </c>
      <c r="K33" s="34">
        <f t="shared" si="56"/>
        <v>0.10715013078925428</v>
      </c>
      <c r="L33" s="34">
        <f t="shared" si="56"/>
        <v>9.849373787686487E-2</v>
      </c>
      <c r="M33" s="34">
        <f t="shared" si="56"/>
        <v>9.5238095238095233E-2</v>
      </c>
      <c r="N33" s="34">
        <f t="shared" si="56"/>
        <v>0.10139602803738318</v>
      </c>
      <c r="O33" s="34">
        <f t="shared" si="56"/>
        <v>7.9960964382819813E-2</v>
      </c>
      <c r="P33" s="268">
        <f t="shared" si="56"/>
        <v>8.5433701780117915E-2</v>
      </c>
      <c r="Q33" s="34">
        <f t="shared" si="56"/>
        <v>9.3619713464375476E-2</v>
      </c>
      <c r="R33" s="268">
        <f t="shared" si="56"/>
        <v>9.7596046438696446E-2</v>
      </c>
      <c r="S33" s="268">
        <f t="shared" si="56"/>
        <v>9.4037687193019831E-2</v>
      </c>
      <c r="T33" s="268">
        <f t="shared" si="56"/>
        <v>9.6626943197025236E-2</v>
      </c>
      <c r="U33" s="268">
        <f t="shared" si="56"/>
        <v>0.10889287478229223</v>
      </c>
      <c r="V33" s="268">
        <f t="shared" si="56"/>
        <v>8.237523689197726E-2</v>
      </c>
      <c r="W33" s="268">
        <f t="shared" si="56"/>
        <v>9.5400821188230511E-2</v>
      </c>
      <c r="X33" s="268">
        <f t="shared" si="56"/>
        <v>7.3197953356234871E-2</v>
      </c>
      <c r="Y33" s="34">
        <f>IF(Y31/Y8&lt;0, "NM",Y31/Y8)</f>
        <v>8.1337572342369782E-2</v>
      </c>
      <c r="Z33" s="34">
        <f t="shared" si="56"/>
        <v>8.5123137363493195E-2</v>
      </c>
      <c r="AA33" s="35" t="str">
        <f t="shared" si="56"/>
        <v>NM</v>
      </c>
      <c r="AB33" s="34">
        <f t="shared" si="56"/>
        <v>5.6415267825598567E-2</v>
      </c>
      <c r="AC33" s="34">
        <f t="shared" ref="AC33:AD33" si="57">IF(AC31/AC8&lt;0, "NM",AC31/AC8)</f>
        <v>7.0379383319489258E-2</v>
      </c>
      <c r="AD33" s="34">
        <f t="shared" si="57"/>
        <v>5.6901387628383343E-2</v>
      </c>
      <c r="AE33" s="34">
        <f t="shared" ref="AE33" si="58">IF(AE31/AE8&lt;0, "NM",AE31/AE8)</f>
        <v>8.9191382382892051E-2</v>
      </c>
    </row>
    <row r="34" spans="1:34" s="31" customFormat="1" x14ac:dyDescent="0.2">
      <c r="A34" s="66" t="s">
        <v>7</v>
      </c>
      <c r="B34" s="153"/>
      <c r="C34" s="153"/>
      <c r="D34" s="153"/>
      <c r="E34" s="153"/>
      <c r="F34" s="153"/>
      <c r="G34" s="153"/>
      <c r="H34" s="153"/>
      <c r="I34" s="153"/>
      <c r="J34" s="153"/>
      <c r="K34" s="153"/>
      <c r="L34" s="153"/>
      <c r="M34" s="153"/>
      <c r="N34" s="153"/>
      <c r="O34" s="153"/>
      <c r="P34" s="270"/>
      <c r="Q34" s="153"/>
      <c r="R34" s="270"/>
      <c r="S34" s="270"/>
      <c r="T34" s="266"/>
      <c r="U34" s="292"/>
      <c r="V34" s="292"/>
      <c r="W34" s="292"/>
      <c r="X34" s="292"/>
      <c r="AH34" s="30"/>
    </row>
    <row r="35" spans="1:34" x14ac:dyDescent="0.2">
      <c r="A35" s="63" t="s">
        <v>16</v>
      </c>
      <c r="B35" s="29">
        <v>-833</v>
      </c>
      <c r="C35" s="29">
        <v>-137</v>
      </c>
      <c r="D35" s="29">
        <v>642</v>
      </c>
      <c r="E35" s="29">
        <f t="shared" ref="E35:E36" si="59">F35-B35-C35-D35</f>
        <v>323</v>
      </c>
      <c r="F35" s="59">
        <v>-5</v>
      </c>
      <c r="G35" s="59">
        <v>1134</v>
      </c>
      <c r="H35" s="59">
        <v>1022</v>
      </c>
      <c r="I35" s="59">
        <v>191</v>
      </c>
      <c r="J35" s="29">
        <f>K35-G35-H35-I35</f>
        <v>397</v>
      </c>
      <c r="K35" s="59">
        <v>2744</v>
      </c>
      <c r="L35" s="59">
        <v>469</v>
      </c>
      <c r="M35" s="59">
        <v>1363</v>
      </c>
      <c r="N35" s="59">
        <v>1741</v>
      </c>
      <c r="O35" s="59">
        <f t="shared" ref="O35:O36" si="60">Q35-L35-M35-N35</f>
        <v>2024</v>
      </c>
      <c r="P35" s="273">
        <v>1053.9190206641981</v>
      </c>
      <c r="Q35" s="59">
        <v>5597</v>
      </c>
      <c r="R35" s="273">
        <v>3142.5163316805683</v>
      </c>
      <c r="S35" s="273">
        <v>382</v>
      </c>
      <c r="T35" s="273">
        <v>886</v>
      </c>
      <c r="U35" s="273">
        <v>637</v>
      </c>
      <c r="V35" s="273">
        <f>+W35-SUM(S35,T35,U35)</f>
        <v>934</v>
      </c>
      <c r="W35" s="273">
        <v>2839</v>
      </c>
      <c r="X35" s="273">
        <v>615</v>
      </c>
      <c r="Y35" s="68">
        <v>1414</v>
      </c>
      <c r="Z35" s="68">
        <v>1385</v>
      </c>
      <c r="AA35" s="238">
        <f t="shared" ref="AA35:AA36" si="61">+AB35-SUM(X35:Z35)</f>
        <v>1373</v>
      </c>
      <c r="AB35" s="68">
        <v>4787</v>
      </c>
      <c r="AC35" s="68">
        <v>1260</v>
      </c>
      <c r="AD35" s="68">
        <v>1202</v>
      </c>
      <c r="AE35" s="68">
        <v>1009</v>
      </c>
      <c r="AH35" s="28">
        <v>0</v>
      </c>
    </row>
    <row r="36" spans="1:34" x14ac:dyDescent="0.2">
      <c r="A36" s="63" t="s">
        <v>94</v>
      </c>
      <c r="B36" s="30">
        <v>958</v>
      </c>
      <c r="C36" s="30">
        <v>858</v>
      </c>
      <c r="D36" s="30">
        <v>1044</v>
      </c>
      <c r="E36" s="30">
        <f t="shared" si="59"/>
        <v>743</v>
      </c>
      <c r="F36" s="28">
        <v>3603</v>
      </c>
      <c r="G36" s="28">
        <v>1178</v>
      </c>
      <c r="H36" s="28">
        <v>1335</v>
      </c>
      <c r="I36" s="28">
        <v>1787</v>
      </c>
      <c r="J36" s="30">
        <f>K36-G36-H36-I36</f>
        <v>1389</v>
      </c>
      <c r="K36" s="28">
        <v>5689</v>
      </c>
      <c r="L36" s="28">
        <v>2794</v>
      </c>
      <c r="M36" s="28">
        <v>5784</v>
      </c>
      <c r="N36" s="28">
        <v>2596</v>
      </c>
      <c r="O36" s="28">
        <f t="shared" si="60"/>
        <v>2891</v>
      </c>
      <c r="P36" s="269">
        <f>O36</f>
        <v>2891</v>
      </c>
      <c r="Q36" s="28">
        <v>14065</v>
      </c>
      <c r="R36" s="269">
        <v>13791.870793078915</v>
      </c>
      <c r="S36" s="269">
        <v>2754</v>
      </c>
      <c r="T36" s="269">
        <v>2047</v>
      </c>
      <c r="U36" s="269">
        <v>2314</v>
      </c>
      <c r="V36" s="269">
        <f>+W36-SUM(S36,T36,U36)</f>
        <v>2355</v>
      </c>
      <c r="W36" s="269">
        <v>9470</v>
      </c>
      <c r="X36" s="269">
        <v>2996</v>
      </c>
      <c r="Y36" s="28">
        <v>1526</v>
      </c>
      <c r="Z36" s="28">
        <v>-9</v>
      </c>
      <c r="AA36" s="238">
        <f t="shared" si="61"/>
        <v>1249</v>
      </c>
      <c r="AB36" s="28">
        <v>5762</v>
      </c>
      <c r="AC36" s="28">
        <v>841</v>
      </c>
      <c r="AD36" s="28">
        <v>238</v>
      </c>
      <c r="AE36" s="28">
        <v>1383</v>
      </c>
      <c r="AH36" s="28">
        <v>0</v>
      </c>
    </row>
    <row r="37" spans="1:34" hidden="1" outlineLevel="1" x14ac:dyDescent="0.2">
      <c r="A37" s="63" t="s">
        <v>8</v>
      </c>
      <c r="B37" s="60">
        <v>0</v>
      </c>
      <c r="C37" s="60">
        <v>0</v>
      </c>
      <c r="D37" s="60">
        <v>0</v>
      </c>
      <c r="E37" s="60"/>
      <c r="F37" s="60">
        <v>0</v>
      </c>
      <c r="G37" s="60">
        <v>0</v>
      </c>
      <c r="H37" s="60">
        <v>0</v>
      </c>
      <c r="I37" s="60">
        <v>0</v>
      </c>
      <c r="J37" s="60"/>
      <c r="K37" s="60">
        <v>0</v>
      </c>
      <c r="L37" s="60">
        <v>0</v>
      </c>
      <c r="M37" s="60">
        <v>0</v>
      </c>
      <c r="N37" s="60">
        <v>0</v>
      </c>
      <c r="O37" s="60">
        <v>0</v>
      </c>
      <c r="P37" s="274"/>
      <c r="Q37" s="60">
        <v>0</v>
      </c>
      <c r="R37" s="274"/>
      <c r="S37" s="274"/>
      <c r="T37" s="266"/>
      <c r="U37" s="266"/>
      <c r="V37" s="325"/>
      <c r="W37" s="266"/>
      <c r="X37" s="266"/>
    </row>
    <row r="38" spans="1:34" ht="6" customHeight="1" collapsed="1" x14ac:dyDescent="0.2">
      <c r="A38" s="63"/>
      <c r="B38" s="28"/>
      <c r="C38" s="28"/>
      <c r="D38" s="28"/>
      <c r="E38" s="28"/>
      <c r="F38" s="28"/>
      <c r="G38" s="28"/>
      <c r="H38" s="28"/>
      <c r="I38" s="28"/>
      <c r="J38" s="28"/>
      <c r="K38" s="28"/>
      <c r="L38" s="28"/>
      <c r="M38" s="28"/>
      <c r="N38" s="28"/>
      <c r="O38" s="28"/>
      <c r="P38" s="269"/>
      <c r="Q38" s="28"/>
      <c r="R38" s="269"/>
      <c r="S38" s="269"/>
      <c r="T38" s="266"/>
      <c r="U38" s="266"/>
      <c r="V38" s="325"/>
      <c r="W38" s="266"/>
      <c r="X38" s="266"/>
    </row>
    <row r="39" spans="1:34" x14ac:dyDescent="0.2">
      <c r="A39" s="67" t="s">
        <v>96</v>
      </c>
      <c r="B39" s="43">
        <f t="shared" ref="B39:G39" si="62">B31+B36+B35+B37</f>
        <v>15612</v>
      </c>
      <c r="C39" s="43">
        <f t="shared" si="62"/>
        <v>6818</v>
      </c>
      <c r="D39" s="43">
        <f t="shared" si="62"/>
        <v>7077</v>
      </c>
      <c r="E39" s="43">
        <f t="shared" si="62"/>
        <v>8131</v>
      </c>
      <c r="F39" s="43">
        <f t="shared" si="62"/>
        <v>37638</v>
      </c>
      <c r="G39" s="43">
        <f t="shared" si="62"/>
        <v>15780</v>
      </c>
      <c r="H39" s="43">
        <f t="shared" ref="H39" si="63">H31+H36+H35+H37</f>
        <v>17605</v>
      </c>
      <c r="I39" s="43">
        <f>I31+I36+I35+I37</f>
        <v>22727</v>
      </c>
      <c r="J39" s="43">
        <f>J31+J36+J35+J37</f>
        <v>19664</v>
      </c>
      <c r="K39" s="43">
        <f t="shared" ref="K39:M39" si="64">K31+K36+K35+K37</f>
        <v>75776</v>
      </c>
      <c r="L39" s="43">
        <f t="shared" si="64"/>
        <v>19715</v>
      </c>
      <c r="M39" s="43">
        <f t="shared" si="64"/>
        <v>23383</v>
      </c>
      <c r="N39" s="43">
        <f t="shared" ref="N39:U39" si="65">N31+N36+N35+N37</f>
        <v>21696</v>
      </c>
      <c r="O39" s="43">
        <f t="shared" si="65"/>
        <v>19090</v>
      </c>
      <c r="P39" s="272">
        <f>P31+P36+P35+P37</f>
        <v>19090.093070032821</v>
      </c>
      <c r="Q39" s="43">
        <f t="shared" si="65"/>
        <v>83884</v>
      </c>
      <c r="R39" s="272">
        <f>R31+R36+R35+R37</f>
        <v>83884.103829147978</v>
      </c>
      <c r="S39" s="272">
        <f t="shared" si="65"/>
        <v>20348</v>
      </c>
      <c r="T39" s="272">
        <f t="shared" si="65"/>
        <v>21201</v>
      </c>
      <c r="U39" s="272">
        <f t="shared" si="65"/>
        <v>23896</v>
      </c>
      <c r="V39" s="267">
        <f t="shared" ref="V39" si="66">V31+V36+V35+V37</f>
        <v>19589</v>
      </c>
      <c r="W39" s="272">
        <f t="shared" ref="W39" si="67">W31+W36+W35+W37</f>
        <v>85034</v>
      </c>
      <c r="X39" s="272">
        <f t="shared" ref="X39:Y39" si="68">X31+X36+X35+X37</f>
        <v>18761</v>
      </c>
      <c r="Y39" s="43">
        <f t="shared" si="68"/>
        <v>20030</v>
      </c>
      <c r="Z39" s="43">
        <f t="shared" ref="Z39:AA39" si="69">Z31+Z36+Z35+Z37</f>
        <v>21050</v>
      </c>
      <c r="AA39" s="43">
        <f t="shared" si="69"/>
        <v>529</v>
      </c>
      <c r="AB39" s="43">
        <f t="shared" ref="AB39:AD39" si="70">AB31+AB36+AB35+AB37</f>
        <v>60370</v>
      </c>
      <c r="AC39" s="43">
        <f t="shared" si="70"/>
        <v>18962</v>
      </c>
      <c r="AD39" s="43">
        <f t="shared" si="70"/>
        <v>15296</v>
      </c>
      <c r="AE39" s="43">
        <f t="shared" ref="AE39" si="71">AE31+AE36+AE35+AE37</f>
        <v>24814</v>
      </c>
      <c r="AH39" s="28">
        <v>0</v>
      </c>
    </row>
    <row r="40" spans="1:34" ht="6" customHeight="1" x14ac:dyDescent="0.2">
      <c r="A40" s="66"/>
      <c r="B40" s="28"/>
      <c r="C40" s="28"/>
      <c r="D40" s="28"/>
      <c r="E40" s="28"/>
      <c r="F40" s="28"/>
      <c r="G40" s="28"/>
      <c r="H40" s="28"/>
      <c r="I40" s="28"/>
      <c r="J40" s="28"/>
      <c r="K40" s="28"/>
      <c r="L40" s="28"/>
      <c r="M40" s="28"/>
      <c r="N40" s="28"/>
      <c r="O40" s="28"/>
      <c r="P40" s="269"/>
      <c r="Q40" s="28"/>
      <c r="R40" s="269"/>
      <c r="S40" s="269"/>
      <c r="T40" s="266"/>
      <c r="U40" s="266"/>
      <c r="V40" s="266"/>
      <c r="W40" s="266"/>
      <c r="X40" s="266"/>
    </row>
    <row r="41" spans="1:34" x14ac:dyDescent="0.2">
      <c r="A41" s="63" t="s">
        <v>61</v>
      </c>
      <c r="B41" s="29">
        <v>-4465</v>
      </c>
      <c r="C41" s="29">
        <v>944</v>
      </c>
      <c r="D41" s="29">
        <v>-1002</v>
      </c>
      <c r="E41" s="29">
        <f t="shared" ref="E41" si="72">F41-B41-C41-D41</f>
        <v>-670</v>
      </c>
      <c r="F41" s="59">
        <v>-5193</v>
      </c>
      <c r="G41" s="29">
        <f>-4869-1285-59</f>
        <v>-6213</v>
      </c>
      <c r="H41" s="29">
        <v>-5531</v>
      </c>
      <c r="I41" s="29">
        <v>-7565</v>
      </c>
      <c r="J41" s="29">
        <f>K41-G41-H41-I41</f>
        <v>-4902</v>
      </c>
      <c r="K41" s="59">
        <v>-24211</v>
      </c>
      <c r="L41" s="29">
        <v>-5895</v>
      </c>
      <c r="M41" s="29">
        <v>-7008</v>
      </c>
      <c r="N41" s="29">
        <v>-5646</v>
      </c>
      <c r="O41" s="59">
        <f t="shared" ref="O41" si="73">Q41-L41-M41-N41</f>
        <v>-3602</v>
      </c>
      <c r="P41" s="273">
        <f>O41</f>
        <v>-3602</v>
      </c>
      <c r="Q41" s="59">
        <v>-22151</v>
      </c>
      <c r="R41" s="273">
        <f>Q41</f>
        <v>-22151</v>
      </c>
      <c r="S41" s="273">
        <v>-3560</v>
      </c>
      <c r="T41" s="273">
        <v>-823</v>
      </c>
      <c r="U41" s="273">
        <v>-2819</v>
      </c>
      <c r="V41" s="269">
        <f>+W41-SUM(S41,T41,U41)</f>
        <v>-28944</v>
      </c>
      <c r="W41" s="273">
        <v>-36146</v>
      </c>
      <c r="X41" s="273">
        <v>4453</v>
      </c>
      <c r="Y41" s="29">
        <v>-5510</v>
      </c>
      <c r="Z41" s="29">
        <v>-5739</v>
      </c>
      <c r="AA41" s="238">
        <f t="shared" ref="AA41:AA42" si="74">+AB41-SUM(X41:Z41)</f>
        <v>3399</v>
      </c>
      <c r="AB41" s="29">
        <v>-3397</v>
      </c>
      <c r="AC41" s="29">
        <v>-4200</v>
      </c>
      <c r="AD41" s="29">
        <v>-2670</v>
      </c>
      <c r="AE41" s="29">
        <v>-5701</v>
      </c>
      <c r="AH41" s="28">
        <v>0</v>
      </c>
    </row>
    <row r="42" spans="1:34" outlineLevel="1" x14ac:dyDescent="0.2">
      <c r="A42" s="63" t="s">
        <v>213</v>
      </c>
      <c r="B42" s="60">
        <v>0</v>
      </c>
      <c r="C42" s="60">
        <v>0</v>
      </c>
      <c r="D42" s="60">
        <v>0</v>
      </c>
      <c r="E42" s="60"/>
      <c r="F42" s="60">
        <v>0</v>
      </c>
      <c r="G42" s="60">
        <v>0</v>
      </c>
      <c r="H42" s="60">
        <v>0</v>
      </c>
      <c r="I42" s="60">
        <v>0</v>
      </c>
      <c r="J42" s="60"/>
      <c r="K42" s="60">
        <v>0</v>
      </c>
      <c r="L42" s="60">
        <v>0</v>
      </c>
      <c r="M42" s="60">
        <v>0</v>
      </c>
      <c r="N42" s="60">
        <v>0</v>
      </c>
      <c r="O42" s="60">
        <v>0</v>
      </c>
      <c r="P42" s="274">
        <f>O42</f>
        <v>0</v>
      </c>
      <c r="Q42" s="60">
        <v>0</v>
      </c>
      <c r="R42" s="274"/>
      <c r="S42" s="274">
        <v>0</v>
      </c>
      <c r="T42" s="274">
        <v>0</v>
      </c>
      <c r="U42" s="274">
        <v>0</v>
      </c>
      <c r="V42" s="274">
        <f>+W42-SUM(S42,T42,U42)</f>
        <v>0</v>
      </c>
      <c r="W42" s="274">
        <v>0</v>
      </c>
      <c r="X42" s="274">
        <v>-56</v>
      </c>
      <c r="Y42" s="28">
        <v>-58</v>
      </c>
      <c r="Z42" s="28">
        <v>-62</v>
      </c>
      <c r="AA42" s="238">
        <f t="shared" si="74"/>
        <v>-71</v>
      </c>
      <c r="AB42" s="60">
        <v>-247</v>
      </c>
      <c r="AC42" s="60">
        <v>-67</v>
      </c>
      <c r="AD42" s="60">
        <v>-62</v>
      </c>
      <c r="AE42" s="60">
        <v>-69</v>
      </c>
      <c r="AH42" s="28">
        <v>0</v>
      </c>
    </row>
    <row r="43" spans="1:34" x14ac:dyDescent="0.2">
      <c r="A43" s="66" t="s">
        <v>95</v>
      </c>
      <c r="B43" s="60">
        <f t="shared" ref="B43:G43" si="75">B39+B41+B42</f>
        <v>11147</v>
      </c>
      <c r="C43" s="60">
        <f t="shared" si="75"/>
        <v>7762</v>
      </c>
      <c r="D43" s="60">
        <f t="shared" si="75"/>
        <v>6075</v>
      </c>
      <c r="E43" s="60">
        <f t="shared" si="75"/>
        <v>7461</v>
      </c>
      <c r="F43" s="60">
        <f t="shared" si="75"/>
        <v>32445</v>
      </c>
      <c r="G43" s="60">
        <f t="shared" si="75"/>
        <v>9567</v>
      </c>
      <c r="H43" s="60">
        <f t="shared" ref="H43" si="76">H39+H41+H42</f>
        <v>12074</v>
      </c>
      <c r="I43" s="60">
        <f>I39+I41+I42</f>
        <v>15162</v>
      </c>
      <c r="J43" s="60">
        <f>J39+J41+J42</f>
        <v>14762</v>
      </c>
      <c r="K43" s="60">
        <f>K39+K41+K42</f>
        <v>51565</v>
      </c>
      <c r="L43" s="60">
        <f>L39+L41+L42</f>
        <v>13820</v>
      </c>
      <c r="M43" s="60">
        <f t="shared" ref="M43:N43" si="77">M39+M41+M42</f>
        <v>16375</v>
      </c>
      <c r="N43" s="60">
        <f t="shared" si="77"/>
        <v>16050</v>
      </c>
      <c r="O43" s="60">
        <f t="shared" ref="O43" si="78">O39+O41+O42</f>
        <v>15488</v>
      </c>
      <c r="P43" s="274">
        <f>P39+P41+P42</f>
        <v>15488.093070032821</v>
      </c>
      <c r="Q43" s="60">
        <f t="shared" ref="Q43:T43" si="79">Q39+Q41+Q42</f>
        <v>61733</v>
      </c>
      <c r="R43" s="274">
        <f t="shared" si="79"/>
        <v>61733.103829147978</v>
      </c>
      <c r="S43" s="274">
        <f t="shared" si="79"/>
        <v>16788</v>
      </c>
      <c r="T43" s="274">
        <f t="shared" si="79"/>
        <v>20378</v>
      </c>
      <c r="U43" s="274">
        <f t="shared" ref="U43" si="80">U39+U41+U42</f>
        <v>21077</v>
      </c>
      <c r="V43" s="269">
        <f>+W43-SUM(S43,T43,U43)</f>
        <v>-9355</v>
      </c>
      <c r="W43" s="274">
        <f t="shared" ref="W43" si="81">W39+W41+W42</f>
        <v>48888</v>
      </c>
      <c r="X43" s="274">
        <f>X39+X41+X42</f>
        <v>23158</v>
      </c>
      <c r="Y43" s="60">
        <f>Y39+Y41+Y42</f>
        <v>14462</v>
      </c>
      <c r="Z43" s="60">
        <f>Z39+Z41+Z42</f>
        <v>15249</v>
      </c>
      <c r="AA43" s="60">
        <f>AA39+AA41+AA42</f>
        <v>3857</v>
      </c>
      <c r="AB43" s="60">
        <f t="shared" ref="AB43:AD43" si="82">AB39+AB41+AB42</f>
        <v>56726</v>
      </c>
      <c r="AC43" s="60">
        <f t="shared" si="82"/>
        <v>14695</v>
      </c>
      <c r="AD43" s="60">
        <f t="shared" si="82"/>
        <v>12564</v>
      </c>
      <c r="AE43" s="60">
        <f t="shared" ref="AE43" si="83">AE39+AE41+AE42</f>
        <v>19044</v>
      </c>
      <c r="AH43" s="28">
        <v>0</v>
      </c>
    </row>
    <row r="44" spans="1:34" x14ac:dyDescent="0.2">
      <c r="A44" s="66" t="s">
        <v>97</v>
      </c>
      <c r="B44" s="60">
        <v>0</v>
      </c>
      <c r="C44" s="60">
        <v>0</v>
      </c>
      <c r="D44" s="60">
        <v>0</v>
      </c>
      <c r="E44" s="60">
        <v>0</v>
      </c>
      <c r="F44" s="60">
        <v>0</v>
      </c>
      <c r="G44" s="60">
        <v>0</v>
      </c>
      <c r="H44" s="60">
        <v>0</v>
      </c>
      <c r="I44" s="60">
        <v>0</v>
      </c>
      <c r="J44" s="60">
        <v>0</v>
      </c>
      <c r="K44" s="60">
        <v>0</v>
      </c>
      <c r="L44" s="60">
        <v>0</v>
      </c>
      <c r="M44" s="60">
        <v>0</v>
      </c>
      <c r="N44" s="60">
        <v>0</v>
      </c>
      <c r="O44" s="60">
        <v>0</v>
      </c>
      <c r="P44" s="274">
        <f>O44</f>
        <v>0</v>
      </c>
      <c r="Q44" s="60">
        <v>0</v>
      </c>
      <c r="R44" s="274">
        <v>0</v>
      </c>
      <c r="S44" s="274">
        <v>0</v>
      </c>
      <c r="T44" s="274">
        <v>0</v>
      </c>
      <c r="U44" s="274">
        <v>0</v>
      </c>
      <c r="V44" s="274">
        <f>+W44-SUM(S44,T44,U44)</f>
        <v>0</v>
      </c>
      <c r="W44" s="274">
        <v>0</v>
      </c>
      <c r="X44" s="274">
        <v>0</v>
      </c>
      <c r="Y44" s="24">
        <v>0</v>
      </c>
      <c r="Z44" s="24">
        <v>0</v>
      </c>
      <c r="AA44" s="60">
        <v>0</v>
      </c>
      <c r="AB44" s="60">
        <v>0</v>
      </c>
      <c r="AC44" s="60">
        <v>0</v>
      </c>
      <c r="AD44" s="60">
        <v>0</v>
      </c>
      <c r="AE44" s="60">
        <v>0</v>
      </c>
    </row>
    <row r="45" spans="1:34" ht="6" customHeight="1" x14ac:dyDescent="0.2">
      <c r="A45" s="66"/>
      <c r="B45" s="28"/>
      <c r="C45" s="28"/>
      <c r="D45" s="28"/>
      <c r="E45" s="28"/>
      <c r="F45" s="28"/>
      <c r="G45" s="28"/>
      <c r="H45" s="28"/>
      <c r="I45" s="28"/>
      <c r="J45" s="28"/>
      <c r="K45" s="28"/>
      <c r="L45" s="28"/>
      <c r="M45" s="28"/>
      <c r="N45" s="28"/>
      <c r="O45" s="28"/>
      <c r="P45" s="269"/>
      <c r="Q45" s="28"/>
      <c r="R45" s="269"/>
      <c r="S45" s="269"/>
      <c r="T45" s="266"/>
      <c r="U45" s="266"/>
      <c r="V45" s="266"/>
      <c r="W45" s="266"/>
      <c r="X45" s="266"/>
    </row>
    <row r="46" spans="1:34" x14ac:dyDescent="0.2">
      <c r="A46" s="67" t="s">
        <v>98</v>
      </c>
      <c r="B46" s="43">
        <f t="shared" ref="B46:G46" si="84">B43+B44</f>
        <v>11147</v>
      </c>
      <c r="C46" s="43">
        <f t="shared" si="84"/>
        <v>7762</v>
      </c>
      <c r="D46" s="43">
        <f t="shared" si="84"/>
        <v>6075</v>
      </c>
      <c r="E46" s="43">
        <f t="shared" si="84"/>
        <v>7461</v>
      </c>
      <c r="F46" s="43">
        <f t="shared" si="84"/>
        <v>32445</v>
      </c>
      <c r="G46" s="43">
        <f t="shared" si="84"/>
        <v>9567</v>
      </c>
      <c r="H46" s="43">
        <f t="shared" ref="H46" si="85">H43+H44</f>
        <v>12074</v>
      </c>
      <c r="I46" s="43">
        <f>I43+I44</f>
        <v>15162</v>
      </c>
      <c r="J46" s="43">
        <f>J43+J44</f>
        <v>14762</v>
      </c>
      <c r="K46" s="43">
        <f t="shared" ref="K46:M46" si="86">K43+K44</f>
        <v>51565</v>
      </c>
      <c r="L46" s="43">
        <f t="shared" si="86"/>
        <v>13820</v>
      </c>
      <c r="M46" s="43">
        <f t="shared" si="86"/>
        <v>16375</v>
      </c>
      <c r="N46" s="43">
        <f t="shared" ref="N46:U46" si="87">N43+N44</f>
        <v>16050</v>
      </c>
      <c r="O46" s="43">
        <f t="shared" si="87"/>
        <v>15488</v>
      </c>
      <c r="P46" s="272">
        <f>P43+P44</f>
        <v>15488.093070032821</v>
      </c>
      <c r="Q46" s="43">
        <f t="shared" si="87"/>
        <v>61733</v>
      </c>
      <c r="R46" s="272">
        <f t="shared" si="87"/>
        <v>61733.103829147978</v>
      </c>
      <c r="S46" s="272">
        <f t="shared" si="87"/>
        <v>16788</v>
      </c>
      <c r="T46" s="272">
        <f t="shared" si="87"/>
        <v>20378</v>
      </c>
      <c r="U46" s="272">
        <f t="shared" si="87"/>
        <v>21077</v>
      </c>
      <c r="V46" s="267">
        <f t="shared" ref="V46" si="88">V43+V44</f>
        <v>-9355</v>
      </c>
      <c r="W46" s="272">
        <f t="shared" ref="W46" si="89">W43+W44</f>
        <v>48888</v>
      </c>
      <c r="X46" s="272">
        <f>X43+X44</f>
        <v>23158</v>
      </c>
      <c r="Y46" s="43">
        <f>Y43+Y44</f>
        <v>14462</v>
      </c>
      <c r="Z46" s="43">
        <f>Z43+Z44</f>
        <v>15249</v>
      </c>
      <c r="AA46" s="43">
        <f>AA43+AA44</f>
        <v>3857</v>
      </c>
      <c r="AB46" s="43">
        <f t="shared" ref="AB46:AD46" si="90">AB43+AB44</f>
        <v>56726</v>
      </c>
      <c r="AC46" s="43">
        <f t="shared" si="90"/>
        <v>14695</v>
      </c>
      <c r="AD46" s="43">
        <f t="shared" si="90"/>
        <v>12564</v>
      </c>
      <c r="AE46" s="43">
        <f t="shared" ref="AE46" si="91">AE43+AE44</f>
        <v>19044</v>
      </c>
      <c r="AH46" s="28">
        <v>0</v>
      </c>
    </row>
    <row r="47" spans="1:34" s="27" customFormat="1" x14ac:dyDescent="0.2">
      <c r="A47" s="62" t="s">
        <v>136</v>
      </c>
      <c r="B47" s="35">
        <f t="shared" ref="B47:AB47" si="92">B46/B8</f>
        <v>9.1521137630647717E-2</v>
      </c>
      <c r="C47" s="35">
        <f t="shared" si="92"/>
        <v>6.4824867627653715E-2</v>
      </c>
      <c r="D47" s="35">
        <f t="shared" si="92"/>
        <v>4.9609250594086086E-2</v>
      </c>
      <c r="E47" s="35">
        <f t="shared" si="92"/>
        <v>5.5149830728974177E-2</v>
      </c>
      <c r="F47" s="35">
        <f t="shared" si="92"/>
        <v>6.498383666013724E-2</v>
      </c>
      <c r="G47" s="35">
        <f t="shared" si="92"/>
        <v>6.6664343948156929E-2</v>
      </c>
      <c r="H47" s="35">
        <f t="shared" si="92"/>
        <v>7.7585929919483876E-2</v>
      </c>
      <c r="I47" s="35">
        <f t="shared" si="92"/>
        <v>9.27322434450744E-2</v>
      </c>
      <c r="J47" s="35">
        <f t="shared" si="92"/>
        <v>8.90038466640138E-2</v>
      </c>
      <c r="K47" s="35">
        <f t="shared" si="92"/>
        <v>8.2045594852440451E-2</v>
      </c>
      <c r="L47" s="35">
        <f t="shared" si="92"/>
        <v>8.2736655571254106E-2</v>
      </c>
      <c r="M47" s="35">
        <f t="shared" si="92"/>
        <v>9.6053449711986302E-2</v>
      </c>
      <c r="N47" s="35">
        <f t="shared" si="92"/>
        <v>9.375E-2</v>
      </c>
      <c r="O47" s="35">
        <f t="shared" si="92"/>
        <v>8.7367577873799881E-2</v>
      </c>
      <c r="P47" s="275">
        <f t="shared" si="92"/>
        <v>8.7368102880472157E-2</v>
      </c>
      <c r="Q47" s="35">
        <f t="shared" si="92"/>
        <v>8.9991370111430519E-2</v>
      </c>
      <c r="R47" s="275">
        <f t="shared" si="92"/>
        <v>8.9991521468521282E-2</v>
      </c>
      <c r="S47" s="275">
        <f t="shared" si="92"/>
        <v>9.1721165035813221E-2</v>
      </c>
      <c r="T47" s="275">
        <f t="shared" si="92"/>
        <v>0.10778759844914497</v>
      </c>
      <c r="U47" s="275">
        <f t="shared" si="92"/>
        <v>0.10957914164652058</v>
      </c>
      <c r="V47" s="275">
        <f t="shared" si="92"/>
        <v>-4.7277321541377135E-2</v>
      </c>
      <c r="W47" s="275">
        <f t="shared" si="92"/>
        <v>6.4131390116881584E-2</v>
      </c>
      <c r="X47" s="275">
        <f t="shared" si="92"/>
        <v>0.11188899035139849</v>
      </c>
      <c r="Y47" s="35">
        <f t="shared" si="92"/>
        <v>6.8829957356076762E-2</v>
      </c>
      <c r="Z47" s="35">
        <f t="shared" si="92"/>
        <v>6.5977570481646222E-2</v>
      </c>
      <c r="AA47" s="35">
        <f t="shared" si="92"/>
        <v>1.6419543385993367E-2</v>
      </c>
      <c r="AB47" s="35">
        <f t="shared" si="92"/>
        <v>6.4234208118562536E-2</v>
      </c>
      <c r="AC47" s="35">
        <f t="shared" ref="AC47:AD47" si="93">AC46/AC8</f>
        <v>6.1338297721362588E-2</v>
      </c>
      <c r="AD47" s="35">
        <f t="shared" si="93"/>
        <v>5.1595628908993094E-2</v>
      </c>
      <c r="AE47" s="35">
        <f t="shared" ref="AE47" si="94">AE46/AE8</f>
        <v>7.5754200610997968E-2</v>
      </c>
      <c r="AH47" s="26"/>
    </row>
    <row r="48" spans="1:34" s="27" customFormat="1" x14ac:dyDescent="0.2">
      <c r="A48" s="62" t="s">
        <v>134</v>
      </c>
      <c r="B48" s="34">
        <v>-0.29711835550791366</v>
      </c>
      <c r="C48" s="34">
        <f>C46/B46-1</f>
        <v>-0.30366914864986094</v>
      </c>
      <c r="D48" s="34">
        <f>D46/C46-1</f>
        <v>-0.21734089152280345</v>
      </c>
      <c r="E48" s="34">
        <f>E46/D46-1</f>
        <v>0.22814814814814821</v>
      </c>
      <c r="F48" s="35" t="s">
        <v>84</v>
      </c>
      <c r="G48" s="34">
        <v>0.28226779252110967</v>
      </c>
      <c r="H48" s="34">
        <v>0.26204661858471834</v>
      </c>
      <c r="I48" s="34">
        <v>0.25575617028325337</v>
      </c>
      <c r="J48" s="34">
        <v>-2.6381743833267413E-2</v>
      </c>
      <c r="K48" s="35" t="s">
        <v>84</v>
      </c>
      <c r="L48" s="34">
        <f>L46/J46-1</f>
        <v>-6.3812491532312721E-2</v>
      </c>
      <c r="M48" s="34">
        <f>M46/L46-1</f>
        <v>0.18487698986975398</v>
      </c>
      <c r="N48" s="34">
        <f>N46/M46-1</f>
        <v>-1.984732824427482E-2</v>
      </c>
      <c r="O48" s="34">
        <f>O46/N46-1</f>
        <v>-3.5015576323987552E-2</v>
      </c>
      <c r="P48" s="268">
        <f>P46/N46-1</f>
        <v>-3.5009777568048572E-2</v>
      </c>
      <c r="Q48" s="35" t="s">
        <v>84</v>
      </c>
      <c r="R48" s="275" t="s">
        <v>84</v>
      </c>
      <c r="S48" s="268">
        <f>S46/O46-1</f>
        <v>8.3935950413223104E-2</v>
      </c>
      <c r="T48" s="268">
        <f>T46/S46-1</f>
        <v>0.21384322134858236</v>
      </c>
      <c r="U48" s="268">
        <f>U46/T46-1</f>
        <v>3.430169790951032E-2</v>
      </c>
      <c r="V48" s="268">
        <f>V46/U46-1</f>
        <v>-1.4438487450775728</v>
      </c>
      <c r="W48" s="275" t="s">
        <v>84</v>
      </c>
      <c r="X48" s="268">
        <f>X46/V46-1</f>
        <v>-3.4754676643506146</v>
      </c>
      <c r="Y48" s="35">
        <f>Y46/X46-1</f>
        <v>-0.37550738405734518</v>
      </c>
      <c r="Z48" s="35">
        <f>Z46/Y46-1</f>
        <v>5.4418476006084848E-2</v>
      </c>
      <c r="AA48" s="35">
        <f>AA46/Z46-1</f>
        <v>-0.74706538133648115</v>
      </c>
      <c r="AB48" s="35" t="s">
        <v>84</v>
      </c>
      <c r="AC48" s="35">
        <f>AC46/AA46-1</f>
        <v>2.8099559242934924</v>
      </c>
      <c r="AD48" s="35">
        <f>AD46/AC46-1</f>
        <v>-0.14501531133038448</v>
      </c>
      <c r="AE48" s="35">
        <f>AE46/AD46-1</f>
        <v>0.51575931232091698</v>
      </c>
      <c r="AH48" s="26"/>
    </row>
    <row r="49" spans="1:34" s="27" customFormat="1" ht="13.5" thickBot="1" x14ac:dyDescent="0.25">
      <c r="A49" s="118" t="s">
        <v>135</v>
      </c>
      <c r="B49" s="83">
        <v>0.14187666461790616</v>
      </c>
      <c r="C49" s="83">
        <v>-0.15959289735816373</v>
      </c>
      <c r="D49" s="83">
        <v>-0.54116314199395776</v>
      </c>
      <c r="E49" s="83">
        <v>-0.52954158521974914</v>
      </c>
      <c r="F49" s="83">
        <v>-0.32542570222675016</v>
      </c>
      <c r="G49" s="83">
        <v>-0.14174217278191437</v>
      </c>
      <c r="H49" s="83">
        <v>0.5555269260499871</v>
      </c>
      <c r="I49" s="83">
        <v>1.4958024691358025</v>
      </c>
      <c r="J49" s="83">
        <v>0.97855515346468303</v>
      </c>
      <c r="K49" s="83">
        <f t="shared" ref="K49:O49" si="95">K46/F46-1</f>
        <v>0.5893049776544923</v>
      </c>
      <c r="L49" s="83">
        <f t="shared" si="95"/>
        <v>0.4445489704191492</v>
      </c>
      <c r="M49" s="83">
        <f t="shared" si="95"/>
        <v>0.35621997680967366</v>
      </c>
      <c r="N49" s="83">
        <f t="shared" si="95"/>
        <v>5.8567471309853625E-2</v>
      </c>
      <c r="O49" s="83">
        <f t="shared" si="95"/>
        <v>4.9180327868852514E-2</v>
      </c>
      <c r="P49" s="276">
        <f>P46/J46-1</f>
        <v>4.9186632572335798E-2</v>
      </c>
      <c r="Q49" s="83">
        <f>Q46/K46-1</f>
        <v>0.19718801512653927</v>
      </c>
      <c r="R49" s="276">
        <f>R46/K46-1</f>
        <v>0.19719002868511537</v>
      </c>
      <c r="S49" s="276">
        <f>S46/L46-1</f>
        <v>0.21476121562952244</v>
      </c>
      <c r="T49" s="276">
        <f>T46/M46-1</f>
        <v>0.24445801526717559</v>
      </c>
      <c r="U49" s="276">
        <f>U46/N46-1</f>
        <v>0.31320872274143308</v>
      </c>
      <c r="V49" s="276">
        <f>V46/P46-1</f>
        <v>-1.6040123827832975</v>
      </c>
      <c r="W49" s="276">
        <f t="shared" ref="W49:AE49" si="96">W46/R46-1</f>
        <v>-0.20807480966286707</v>
      </c>
      <c r="X49" s="276">
        <f t="shared" si="96"/>
        <v>0.37943769359066004</v>
      </c>
      <c r="Y49" s="83">
        <f t="shared" si="96"/>
        <v>-0.2903130827362842</v>
      </c>
      <c r="Z49" s="83">
        <f t="shared" si="96"/>
        <v>-0.27650993974474547</v>
      </c>
      <c r="AA49" s="83">
        <f t="shared" si="96"/>
        <v>-1.4122928915018707</v>
      </c>
      <c r="AB49" s="83">
        <f t="shared" si="96"/>
        <v>0.16032564228440527</v>
      </c>
      <c r="AC49" s="83">
        <f t="shared" si="96"/>
        <v>-0.3654460661542448</v>
      </c>
      <c r="AD49" s="83">
        <f t="shared" si="96"/>
        <v>-0.13124049232471302</v>
      </c>
      <c r="AE49" s="83">
        <f t="shared" si="96"/>
        <v>0.24886877828054299</v>
      </c>
      <c r="AH49" s="26"/>
    </row>
    <row r="50" spans="1:34" s="27" customFormat="1" x14ac:dyDescent="0.2">
      <c r="A50" s="63" t="s">
        <v>151</v>
      </c>
      <c r="B50" s="34"/>
      <c r="C50" s="34"/>
      <c r="D50" s="34"/>
      <c r="E50" s="34"/>
      <c r="F50" s="34"/>
      <c r="G50" s="34"/>
      <c r="H50" s="34"/>
      <c r="I50" s="34"/>
      <c r="J50" s="34"/>
      <c r="K50" s="34"/>
      <c r="L50" s="34"/>
      <c r="M50" s="34"/>
      <c r="N50" s="34"/>
      <c r="O50" s="34"/>
      <c r="P50" s="268"/>
      <c r="Q50" s="34"/>
      <c r="R50" s="268"/>
      <c r="S50" s="268"/>
      <c r="T50" s="290"/>
      <c r="U50" s="290"/>
      <c r="V50" s="290"/>
      <c r="W50" s="290"/>
      <c r="X50" s="290"/>
      <c r="AH50" s="26"/>
    </row>
    <row r="51" spans="1:34" s="27" customFormat="1" x14ac:dyDescent="0.2">
      <c r="A51" s="94" t="s">
        <v>102</v>
      </c>
      <c r="B51" s="34"/>
      <c r="C51" s="34"/>
      <c r="D51" s="34"/>
      <c r="E51" s="34"/>
      <c r="F51" s="34"/>
      <c r="G51" s="34"/>
      <c r="H51" s="34"/>
      <c r="I51" s="34"/>
      <c r="J51" s="34"/>
      <c r="K51" s="34"/>
      <c r="L51" s="34"/>
      <c r="M51" s="34"/>
      <c r="N51" s="34"/>
      <c r="O51" s="34"/>
      <c r="P51" s="268"/>
      <c r="Q51" s="34"/>
      <c r="R51" s="268"/>
      <c r="S51" s="268"/>
      <c r="T51" s="290"/>
      <c r="U51" s="290"/>
      <c r="V51" s="290"/>
      <c r="W51" s="290"/>
      <c r="X51" s="290"/>
      <c r="AH51" s="26"/>
    </row>
    <row r="52" spans="1:34" x14ac:dyDescent="0.2">
      <c r="A52" s="95" t="s">
        <v>100</v>
      </c>
      <c r="B52" s="32">
        <f>B43/B60</f>
        <v>0.34273689183817058</v>
      </c>
      <c r="C52" s="32">
        <f>C43/C60</f>
        <v>0.23655867986079374</v>
      </c>
      <c r="D52" s="32">
        <f>D43/D60</f>
        <v>0.18470392914247283</v>
      </c>
      <c r="E52" s="32">
        <v>0.22581134155108998</v>
      </c>
      <c r="F52" s="32">
        <f>SUM(B52:E52)</f>
        <v>0.98981084239252703</v>
      </c>
      <c r="G52" s="32">
        <f t="shared" ref="G52:L52" si="97">G43/G60</f>
        <v>0.28784827914663724</v>
      </c>
      <c r="H52" s="32">
        <f t="shared" si="97"/>
        <v>0.36131224625933367</v>
      </c>
      <c r="I52" s="32">
        <f t="shared" si="97"/>
        <v>0.45521535887243075</v>
      </c>
      <c r="J52" s="32">
        <f t="shared" si="97"/>
        <v>0.44421419513388732</v>
      </c>
      <c r="K52" s="32">
        <f t="shared" si="97"/>
        <v>1.5485866490016549</v>
      </c>
      <c r="L52" s="32">
        <f t="shared" si="97"/>
        <v>0.41402002461184167</v>
      </c>
      <c r="M52" s="32">
        <f t="shared" ref="M52:N52" si="98">M43/M60</f>
        <v>0.48704035245407334</v>
      </c>
      <c r="N52" s="32">
        <f t="shared" si="98"/>
        <v>0.47733193026925808</v>
      </c>
      <c r="O52" s="32">
        <f t="shared" ref="O52:R52" si="99">O43/O60</f>
        <v>0.46042932701085321</v>
      </c>
      <c r="P52" s="277">
        <f t="shared" si="99"/>
        <v>0.46043209380918587</v>
      </c>
      <c r="Q52" s="32">
        <f t="shared" si="99"/>
        <v>1.8391325874492377</v>
      </c>
      <c r="R52" s="277">
        <f t="shared" si="99"/>
        <v>1.8391356806987085</v>
      </c>
      <c r="S52" s="277">
        <f t="shared" ref="S52" si="100">S43/S60</f>
        <v>0.49602750662922263</v>
      </c>
      <c r="T52" s="277">
        <f t="shared" ref="T52" si="101">T43/T60</f>
        <v>0.60255499452548877</v>
      </c>
      <c r="U52" s="277">
        <f t="shared" ref="U52" si="102">U43/U60</f>
        <v>0.6228727188115103</v>
      </c>
      <c r="V52" s="277">
        <f t="shared" ref="V52" si="103">V43/V60</f>
        <v>-0.2744471334388337</v>
      </c>
      <c r="W52" s="277">
        <f t="shared" ref="W52" si="104">W43/W60</f>
        <v>1.4422125448102174</v>
      </c>
      <c r="X52" s="277">
        <f t="shared" ref="X52:Y52" si="105">X43/X60</f>
        <v>0.67229867038262792</v>
      </c>
      <c r="Y52" s="32">
        <f t="shared" si="105"/>
        <v>0.41904265183124711</v>
      </c>
      <c r="Z52" s="32">
        <f t="shared" ref="Z52:AA52" si="106">Z43/Z60</f>
        <v>0.44252590034533795</v>
      </c>
      <c r="AA52" s="32">
        <f t="shared" si="106"/>
        <v>0.11216121902989415</v>
      </c>
      <c r="AB52" s="32">
        <f t="shared" ref="AB52:AD52" si="107">AB43/AB60</f>
        <v>1.6465704914226003</v>
      </c>
      <c r="AC52" s="32">
        <f t="shared" si="107"/>
        <v>0.42749090909090909</v>
      </c>
      <c r="AD52" s="32">
        <f t="shared" si="107"/>
        <v>0.36468129571577845</v>
      </c>
      <c r="AE52" s="32">
        <f t="shared" ref="AE52" si="108">AE43/AE60</f>
        <v>0.55486277023483477</v>
      </c>
    </row>
    <row r="53" spans="1:34" x14ac:dyDescent="0.2">
      <c r="A53" s="95" t="s">
        <v>101</v>
      </c>
      <c r="B53" s="82">
        <f>B44/B60</f>
        <v>0</v>
      </c>
      <c r="C53" s="82">
        <f>C44/C60</f>
        <v>0</v>
      </c>
      <c r="D53" s="82">
        <f>D44/D60</f>
        <v>0</v>
      </c>
      <c r="E53" s="82">
        <f>E44/E60</f>
        <v>0</v>
      </c>
      <c r="F53" s="82">
        <f>SUM(B53:E53)</f>
        <v>0</v>
      </c>
      <c r="G53" s="82">
        <f>G44/G60</f>
        <v>0</v>
      </c>
      <c r="H53" s="82">
        <f>H44/H60</f>
        <v>0</v>
      </c>
      <c r="I53" s="82">
        <f>I44/I60</f>
        <v>0</v>
      </c>
      <c r="J53" s="82">
        <f>J44/J60</f>
        <v>0</v>
      </c>
      <c r="K53" s="82">
        <f>SUM(G53:J53)</f>
        <v>0</v>
      </c>
      <c r="L53" s="82">
        <f>L44/L60</f>
        <v>0</v>
      </c>
      <c r="M53" s="82">
        <f>M44/M60</f>
        <v>0</v>
      </c>
      <c r="N53" s="82">
        <f>N44/N60</f>
        <v>0</v>
      </c>
      <c r="O53" s="82">
        <f>O44/O60</f>
        <v>0</v>
      </c>
      <c r="P53" s="278">
        <f>O53</f>
        <v>0</v>
      </c>
      <c r="Q53" s="82">
        <f>SUM(L53:O53)</f>
        <v>0</v>
      </c>
      <c r="R53" s="278">
        <f>Q53</f>
        <v>0</v>
      </c>
      <c r="S53" s="278">
        <f t="shared" ref="S53:U53" si="109">S44/S60</f>
        <v>0</v>
      </c>
      <c r="T53" s="278">
        <f t="shared" si="109"/>
        <v>0</v>
      </c>
      <c r="U53" s="278">
        <f t="shared" si="109"/>
        <v>0</v>
      </c>
      <c r="V53" s="278">
        <f t="shared" ref="V53" si="110">V44/V60</f>
        <v>0</v>
      </c>
      <c r="W53" s="278">
        <f t="shared" ref="W53" si="111">W44/W60</f>
        <v>0</v>
      </c>
      <c r="X53" s="278">
        <f t="shared" ref="X53:Y53" si="112">X44/X60</f>
        <v>0</v>
      </c>
      <c r="Y53" s="82">
        <f t="shared" si="112"/>
        <v>0</v>
      </c>
      <c r="Z53" s="82">
        <f t="shared" ref="Z53:AA53" si="113">Z44/Z60</f>
        <v>0</v>
      </c>
      <c r="AA53" s="82">
        <f t="shared" si="113"/>
        <v>0</v>
      </c>
      <c r="AB53" s="82">
        <f t="shared" ref="AB53:AD53" si="114">AB44/AB60</f>
        <v>0</v>
      </c>
      <c r="AC53" s="82">
        <f t="shared" si="114"/>
        <v>0</v>
      </c>
      <c r="AD53" s="82">
        <f t="shared" si="114"/>
        <v>0</v>
      </c>
      <c r="AE53" s="82">
        <f t="shared" ref="AE53" si="115">AE44/AE60</f>
        <v>0</v>
      </c>
    </row>
    <row r="54" spans="1:34" x14ac:dyDescent="0.2">
      <c r="A54" s="99" t="s">
        <v>103</v>
      </c>
      <c r="B54" s="98">
        <f t="shared" ref="B54:H54" si="116">SUM(B52:B53)</f>
        <v>0.34273689183817058</v>
      </c>
      <c r="C54" s="98">
        <f t="shared" si="116"/>
        <v>0.23655867986079374</v>
      </c>
      <c r="D54" s="160">
        <f t="shared" si="116"/>
        <v>0.18470392914247283</v>
      </c>
      <c r="E54" s="160">
        <f t="shared" si="116"/>
        <v>0.22581134155108998</v>
      </c>
      <c r="F54" s="160">
        <f t="shared" si="116"/>
        <v>0.98981084239252703</v>
      </c>
      <c r="G54" s="98">
        <f t="shared" si="116"/>
        <v>0.28784827914663724</v>
      </c>
      <c r="H54" s="98">
        <f t="shared" si="116"/>
        <v>0.36131224625933367</v>
      </c>
      <c r="I54" s="98">
        <f t="shared" ref="I54:K54" si="117">SUM(I52:I53)</f>
        <v>0.45521535887243075</v>
      </c>
      <c r="J54" s="160">
        <f t="shared" si="117"/>
        <v>0.44421419513388732</v>
      </c>
      <c r="K54" s="160">
        <f t="shared" si="117"/>
        <v>1.5485866490016549</v>
      </c>
      <c r="L54" s="160">
        <f>SUM(L52:L53)</f>
        <v>0.41402002461184167</v>
      </c>
      <c r="M54" s="98">
        <f t="shared" ref="M54:N54" si="118">SUM(M52:M53)</f>
        <v>0.48704035245407334</v>
      </c>
      <c r="N54" s="98">
        <f t="shared" si="118"/>
        <v>0.47733193026925808</v>
      </c>
      <c r="O54" s="98">
        <f t="shared" ref="O54:R54" si="119">SUM(O52:O53)</f>
        <v>0.46042932701085321</v>
      </c>
      <c r="P54" s="279">
        <f t="shared" si="119"/>
        <v>0.46043209380918587</v>
      </c>
      <c r="Q54" s="160">
        <f t="shared" si="119"/>
        <v>1.8391325874492377</v>
      </c>
      <c r="R54" s="279">
        <f t="shared" si="119"/>
        <v>1.8391356806987085</v>
      </c>
      <c r="S54" s="279">
        <f t="shared" ref="S54:U54" si="120">SUM(S52:S53)</f>
        <v>0.49602750662922263</v>
      </c>
      <c r="T54" s="279">
        <f t="shared" si="120"/>
        <v>0.60255499452548877</v>
      </c>
      <c r="U54" s="279">
        <f t="shared" si="120"/>
        <v>0.6228727188115103</v>
      </c>
      <c r="V54" s="279">
        <f t="shared" ref="V54" si="121">SUM(V52:V53)</f>
        <v>-0.2744471334388337</v>
      </c>
      <c r="W54" s="279">
        <f t="shared" ref="W54" si="122">SUM(W52:W53)</f>
        <v>1.4422125448102174</v>
      </c>
      <c r="X54" s="279">
        <f t="shared" ref="X54:Y54" si="123">SUM(X52:X53)</f>
        <v>0.67229867038262792</v>
      </c>
      <c r="Y54" s="160">
        <f t="shared" si="123"/>
        <v>0.41904265183124711</v>
      </c>
      <c r="Z54" s="160">
        <f t="shared" ref="Z54:AA54" si="124">SUM(Z52:Z53)</f>
        <v>0.44252590034533795</v>
      </c>
      <c r="AA54" s="160">
        <f t="shared" si="124"/>
        <v>0.11216121902989415</v>
      </c>
      <c r="AB54" s="160">
        <f t="shared" ref="AB54:AD54" si="125">SUM(AB52:AB53)</f>
        <v>1.6465704914226003</v>
      </c>
      <c r="AC54" s="160">
        <f t="shared" si="125"/>
        <v>0.42749090909090909</v>
      </c>
      <c r="AD54" s="160">
        <f t="shared" si="125"/>
        <v>0.36468129571577845</v>
      </c>
      <c r="AE54" s="160">
        <f t="shared" ref="AE54" si="126">SUM(AE52:AE53)</f>
        <v>0.55486277023483477</v>
      </c>
    </row>
    <row r="55" spans="1:34" x14ac:dyDescent="0.2">
      <c r="A55" s="94" t="s">
        <v>99</v>
      </c>
      <c r="B55" s="82"/>
      <c r="C55" s="82"/>
      <c r="D55" s="82"/>
      <c r="E55" s="82"/>
      <c r="F55" s="82"/>
      <c r="G55" s="82"/>
      <c r="H55" s="82"/>
      <c r="I55" s="82"/>
      <c r="J55" s="82"/>
      <c r="K55" s="82"/>
      <c r="L55" s="82"/>
      <c r="M55" s="82"/>
      <c r="N55" s="82"/>
      <c r="O55" s="82"/>
      <c r="P55" s="278"/>
      <c r="Q55" s="82"/>
      <c r="R55" s="278"/>
      <c r="S55" s="278"/>
      <c r="T55" s="266"/>
      <c r="U55" s="266"/>
      <c r="V55" s="266"/>
      <c r="W55" s="266"/>
      <c r="X55" s="266"/>
    </row>
    <row r="56" spans="1:34" x14ac:dyDescent="0.2">
      <c r="A56" s="95" t="s">
        <v>100</v>
      </c>
      <c r="B56" s="32">
        <f>B43/B61</f>
        <v>0.33345753532761802</v>
      </c>
      <c r="C56" s="32">
        <f>C43/C61</f>
        <v>0.23050651117871052</v>
      </c>
      <c r="D56" s="32">
        <f>D43/D61</f>
        <v>0.18039197066294768</v>
      </c>
      <c r="E56" s="32">
        <v>0.22063376148273953</v>
      </c>
      <c r="F56" s="169">
        <f t="shared" ref="F56:F57" si="127">SUM(B56:E56)</f>
        <v>0.96498977865201563</v>
      </c>
      <c r="G56" s="32">
        <f t="shared" ref="G56:L56" si="128">G43/G61</f>
        <v>0.28095289990702743</v>
      </c>
      <c r="H56" s="32">
        <f t="shared" si="128"/>
        <v>0.35295864612374794</v>
      </c>
      <c r="I56" s="32">
        <f t="shared" si="128"/>
        <v>0.44358450640139618</v>
      </c>
      <c r="J56" s="32">
        <f t="shared" si="128"/>
        <v>0.43072143822996489</v>
      </c>
      <c r="K56" s="32">
        <f t="shared" si="128"/>
        <v>1.5087040357408652</v>
      </c>
      <c r="L56" s="32">
        <f t="shared" si="128"/>
        <v>0.40230955962730514</v>
      </c>
      <c r="M56" s="32">
        <f t="shared" ref="M56:N56" si="129">M43/M61</f>
        <v>0.47449464559162169</v>
      </c>
      <c r="N56" s="32">
        <f t="shared" si="129"/>
        <v>0.46286303406532886</v>
      </c>
      <c r="O56" s="32">
        <f t="shared" ref="O56:R56" si="130">O43/O61</f>
        <v>0.44615608691317349</v>
      </c>
      <c r="P56" s="277">
        <f t="shared" si="130"/>
        <v>0.44615876794117271</v>
      </c>
      <c r="Q56" s="32">
        <f t="shared" si="130"/>
        <v>1.7860842509619095</v>
      </c>
      <c r="R56" s="277">
        <f t="shared" si="130"/>
        <v>1.7860872549890261</v>
      </c>
      <c r="S56" s="277">
        <f t="shared" ref="S56" si="131">S43/S61</f>
        <v>0.47816959822303656</v>
      </c>
      <c r="T56" s="277">
        <f t="shared" ref="T56" si="132">T43/T61</f>
        <v>0.58234128152395892</v>
      </c>
      <c r="U56" s="277">
        <f t="shared" ref="U56" si="133">U43/U61</f>
        <v>0.60144411941537002</v>
      </c>
      <c r="V56" s="277">
        <f t="shared" ref="V56" si="134">V43/V61</f>
        <v>-0.2744471334388337</v>
      </c>
      <c r="W56" s="277">
        <f t="shared" ref="W56" si="135">W43/W61</f>
        <v>1.3924154699406848</v>
      </c>
      <c r="X56" s="277">
        <f t="shared" ref="X56:Y56" si="136">X43/X61</f>
        <v>0.65597824547488881</v>
      </c>
      <c r="Y56" s="32">
        <f t="shared" si="136"/>
        <v>0.41153036252916736</v>
      </c>
      <c r="Z56" s="32">
        <f t="shared" ref="Z56:AA56" si="137">Z43/Z61</f>
        <v>0.43311179277436945</v>
      </c>
      <c r="AA56" s="32">
        <f t="shared" si="137"/>
        <v>0.11044929984822886</v>
      </c>
      <c r="AB56" s="32">
        <f t="shared" ref="AB56:AD56" si="138">AB43/AB61</f>
        <v>1.6193086123718992</v>
      </c>
      <c r="AC56" s="32">
        <f t="shared" si="138"/>
        <v>0.42187006574225588</v>
      </c>
      <c r="AD56" s="32">
        <f t="shared" si="138"/>
        <v>0.3620436273521021</v>
      </c>
      <c r="AE56" s="32">
        <f t="shared" ref="AE56" si="139">AE43/AE61</f>
        <v>0.54883426035332428</v>
      </c>
    </row>
    <row r="57" spans="1:34" x14ac:dyDescent="0.2">
      <c r="A57" s="95" t="s">
        <v>101</v>
      </c>
      <c r="B57" s="82">
        <f>B44/B61</f>
        <v>0</v>
      </c>
      <c r="C57" s="82">
        <f>C44/C61</f>
        <v>0</v>
      </c>
      <c r="D57" s="82">
        <f>D44/D61</f>
        <v>0</v>
      </c>
      <c r="E57" s="82">
        <f>E44/E61</f>
        <v>0</v>
      </c>
      <c r="F57" s="82">
        <f t="shared" si="127"/>
        <v>0</v>
      </c>
      <c r="G57" s="82">
        <f>G44/G61</f>
        <v>0</v>
      </c>
      <c r="H57" s="82">
        <f>H44/H61</f>
        <v>0</v>
      </c>
      <c r="I57" s="82">
        <f>I44/I61</f>
        <v>0</v>
      </c>
      <c r="J57" s="82">
        <f>J44/J61</f>
        <v>0</v>
      </c>
      <c r="K57" s="82">
        <f t="shared" ref="K57" si="140">SUM(G57:J57)</f>
        <v>0</v>
      </c>
      <c r="L57" s="82">
        <f>L44/L61</f>
        <v>0</v>
      </c>
      <c r="M57" s="82">
        <f>M44/M61</f>
        <v>0</v>
      </c>
      <c r="N57" s="82">
        <f>N44/N61</f>
        <v>0</v>
      </c>
      <c r="O57" s="82">
        <f>O44/O61</f>
        <v>0</v>
      </c>
      <c r="P57" s="278">
        <f>O57</f>
        <v>0</v>
      </c>
      <c r="Q57" s="82">
        <f t="shared" ref="Q57" si="141">SUM(L57:O57)</f>
        <v>0</v>
      </c>
      <c r="R57" s="278">
        <f>Q57</f>
        <v>0</v>
      </c>
      <c r="S57" s="278">
        <f t="shared" ref="S57:U57" si="142">S44/S61</f>
        <v>0</v>
      </c>
      <c r="T57" s="278">
        <f t="shared" si="142"/>
        <v>0</v>
      </c>
      <c r="U57" s="278">
        <f t="shared" si="142"/>
        <v>0</v>
      </c>
      <c r="V57" s="278">
        <f t="shared" ref="V57" si="143">V44/V61</f>
        <v>0</v>
      </c>
      <c r="W57" s="278">
        <f t="shared" ref="W57" si="144">W44/W61</f>
        <v>0</v>
      </c>
      <c r="X57" s="278">
        <f t="shared" ref="X57:Y57" si="145">X44/X61</f>
        <v>0</v>
      </c>
      <c r="Y57" s="82">
        <f t="shared" si="145"/>
        <v>0</v>
      </c>
      <c r="Z57" s="82">
        <f t="shared" ref="Z57:AA57" si="146">Z44/Z61</f>
        <v>0</v>
      </c>
      <c r="AA57" s="82">
        <f t="shared" si="146"/>
        <v>0</v>
      </c>
      <c r="AB57" s="82">
        <f t="shared" ref="AB57:AD57" si="147">AB44/AB61</f>
        <v>0</v>
      </c>
      <c r="AC57" s="82">
        <f t="shared" si="147"/>
        <v>0</v>
      </c>
      <c r="AD57" s="82">
        <f t="shared" si="147"/>
        <v>0</v>
      </c>
      <c r="AE57" s="82">
        <f t="shared" ref="AE57" si="148">AE44/AE61</f>
        <v>0</v>
      </c>
    </row>
    <row r="58" spans="1:34" x14ac:dyDescent="0.2">
      <c r="A58" s="99" t="s">
        <v>103</v>
      </c>
      <c r="B58" s="96">
        <f t="shared" ref="B58:G58" si="149">SUM(B56:B57)</f>
        <v>0.33345753532761802</v>
      </c>
      <c r="C58" s="96">
        <f t="shared" si="149"/>
        <v>0.23050651117871052</v>
      </c>
      <c r="D58" s="96">
        <f t="shared" si="149"/>
        <v>0.18039197066294768</v>
      </c>
      <c r="E58" s="96">
        <f t="shared" si="149"/>
        <v>0.22063376148273953</v>
      </c>
      <c r="F58" s="165">
        <f t="shared" si="149"/>
        <v>0.96498977865201563</v>
      </c>
      <c r="G58" s="96">
        <f t="shared" si="149"/>
        <v>0.28095289990702743</v>
      </c>
      <c r="H58" s="96">
        <f t="shared" ref="H58:L58" si="150">SUM(H56:H57)</f>
        <v>0.35295864612374794</v>
      </c>
      <c r="I58" s="96">
        <f t="shared" si="150"/>
        <v>0.44358450640139618</v>
      </c>
      <c r="J58" s="96">
        <f t="shared" si="150"/>
        <v>0.43072143822996489</v>
      </c>
      <c r="K58" s="165">
        <f t="shared" si="150"/>
        <v>1.5087040357408652</v>
      </c>
      <c r="L58" s="96">
        <f t="shared" si="150"/>
        <v>0.40230955962730514</v>
      </c>
      <c r="M58" s="96">
        <f t="shared" ref="M58:N58" si="151">SUM(M56:M57)</f>
        <v>0.47449464559162169</v>
      </c>
      <c r="N58" s="96">
        <f t="shared" si="151"/>
        <v>0.46286303406532886</v>
      </c>
      <c r="O58" s="96">
        <f t="shared" ref="O58:R58" si="152">SUM(O56:O57)</f>
        <v>0.44615608691317349</v>
      </c>
      <c r="P58" s="280">
        <f t="shared" si="152"/>
        <v>0.44615876794117271</v>
      </c>
      <c r="Q58" s="165">
        <f t="shared" si="152"/>
        <v>1.7860842509619095</v>
      </c>
      <c r="R58" s="279">
        <f t="shared" si="152"/>
        <v>1.7860872549890261</v>
      </c>
      <c r="S58" s="279">
        <f t="shared" ref="S58" si="153">SUM(S56:S57)</f>
        <v>0.47816959822303656</v>
      </c>
      <c r="T58" s="279">
        <f t="shared" ref="T58" si="154">SUM(T56:T57)</f>
        <v>0.58234128152395892</v>
      </c>
      <c r="U58" s="279">
        <f t="shared" ref="U58" si="155">SUM(U56:U57)</f>
        <v>0.60144411941537002</v>
      </c>
      <c r="V58" s="279">
        <f t="shared" ref="V58" si="156">SUM(V56:V57)</f>
        <v>-0.2744471334388337</v>
      </c>
      <c r="W58" s="279">
        <f t="shared" ref="W58" si="157">SUM(W56:W57)</f>
        <v>1.3924154699406848</v>
      </c>
      <c r="X58" s="279">
        <f t="shared" ref="X58:Y58" si="158">SUM(X56:X57)</f>
        <v>0.65597824547488881</v>
      </c>
      <c r="Y58" s="160">
        <f t="shared" si="158"/>
        <v>0.41153036252916736</v>
      </c>
      <c r="Z58" s="160">
        <f t="shared" ref="Z58:AA58" si="159">SUM(Z56:Z57)</f>
        <v>0.43311179277436945</v>
      </c>
      <c r="AA58" s="160">
        <f t="shared" si="159"/>
        <v>0.11044929984822886</v>
      </c>
      <c r="AB58" s="160">
        <f t="shared" ref="AB58:AD58" si="160">SUM(AB56:AB57)</f>
        <v>1.6193086123718992</v>
      </c>
      <c r="AC58" s="160">
        <f t="shared" si="160"/>
        <v>0.42187006574225588</v>
      </c>
      <c r="AD58" s="160">
        <f t="shared" si="160"/>
        <v>0.3620436273521021</v>
      </c>
      <c r="AE58" s="160">
        <f t="shared" ref="AE58" si="161">SUM(AE56:AE57)</f>
        <v>0.54883426035332428</v>
      </c>
    </row>
    <row r="59" spans="1:34" x14ac:dyDescent="0.2">
      <c r="A59" s="66" t="s">
        <v>104</v>
      </c>
      <c r="B59" s="33"/>
      <c r="C59" s="33"/>
      <c r="D59" s="33"/>
      <c r="E59" s="33"/>
      <c r="F59" s="33"/>
      <c r="G59" s="33"/>
      <c r="H59" s="33"/>
      <c r="I59" s="33"/>
      <c r="J59" s="33"/>
      <c r="K59" s="33"/>
      <c r="L59" s="33"/>
      <c r="M59" s="33"/>
      <c r="N59" s="33"/>
      <c r="O59" s="33"/>
      <c r="P59" s="281"/>
      <c r="Q59" s="33"/>
      <c r="R59" s="281"/>
      <c r="S59" s="281"/>
      <c r="T59" s="266"/>
      <c r="U59" s="266"/>
      <c r="V59" s="266"/>
      <c r="W59" s="266"/>
      <c r="X59" s="266"/>
    </row>
    <row r="60" spans="1:34" x14ac:dyDescent="0.2">
      <c r="A60" s="63" t="s">
        <v>102</v>
      </c>
      <c r="B60" s="30">
        <v>32523.490366666618</v>
      </c>
      <c r="C60" s="30">
        <v>32812.154703296692</v>
      </c>
      <c r="D60" s="30">
        <v>32890.47519565218</v>
      </c>
      <c r="E60" s="30">
        <v>32986.276315217394</v>
      </c>
      <c r="F60" s="28">
        <v>32804.606438356059</v>
      </c>
      <c r="G60" s="30">
        <v>33236.259144444375</v>
      </c>
      <c r="H60" s="30">
        <v>33417.079340659344</v>
      </c>
      <c r="I60" s="30">
        <v>33307.312032608701</v>
      </c>
      <c r="J60" s="30">
        <v>33231.716054347824</v>
      </c>
      <c r="K60" s="28">
        <v>33298.104457534231</v>
      </c>
      <c r="L60" s="30">
        <v>33380.027965934103</v>
      </c>
      <c r="M60" s="30">
        <v>33621.444131868149</v>
      </c>
      <c r="N60" s="30">
        <v>33624.400510869571</v>
      </c>
      <c r="O60" s="30">
        <v>33638.170054347815</v>
      </c>
      <c r="P60" s="269">
        <f>O60</f>
        <v>33638.170054347815</v>
      </c>
      <c r="Q60" s="28">
        <v>33566.367330601119</v>
      </c>
      <c r="R60" s="269">
        <f>Q60</f>
        <v>33566.367330601119</v>
      </c>
      <c r="S60" s="269">
        <v>33844.897259999983</v>
      </c>
      <c r="T60" s="269">
        <v>33819.319705494512</v>
      </c>
      <c r="U60" s="269">
        <v>33838.373978260854</v>
      </c>
      <c r="V60" s="269">
        <v>34086.710554347832</v>
      </c>
      <c r="W60" s="269">
        <v>33897.916209315204</v>
      </c>
      <c r="X60" s="269">
        <v>34446</v>
      </c>
      <c r="Y60" s="28">
        <v>34512</v>
      </c>
      <c r="Z60" s="28">
        <v>34459</v>
      </c>
      <c r="AA60" s="28">
        <v>34388</v>
      </c>
      <c r="AB60" s="28">
        <v>34451</v>
      </c>
      <c r="AC60" s="28">
        <v>34375</v>
      </c>
      <c r="AD60" s="28">
        <v>34452</v>
      </c>
      <c r="AE60" s="28">
        <v>34322</v>
      </c>
    </row>
    <row r="61" spans="1:34" ht="13.5" thickBot="1" x14ac:dyDescent="0.25">
      <c r="A61" s="97" t="s">
        <v>99</v>
      </c>
      <c r="B61" s="80">
        <v>33428.544324386632</v>
      </c>
      <c r="C61" s="80">
        <v>33673.669174499635</v>
      </c>
      <c r="D61" s="80">
        <v>33676.665195652182</v>
      </c>
      <c r="E61" s="80">
        <f>33761462.1843862/1000</f>
        <v>33761.462184386204</v>
      </c>
      <c r="F61" s="79">
        <v>33636.592628804719</v>
      </c>
      <c r="G61" s="80">
        <v>34051.970999999998</v>
      </c>
      <c r="H61" s="80">
        <v>34207.973462610214</v>
      </c>
      <c r="I61" s="80">
        <v>34180.634763379276</v>
      </c>
      <c r="J61" s="80">
        <v>34272.731026957787</v>
      </c>
      <c r="K61" s="79">
        <v>34178.340336100751</v>
      </c>
      <c r="L61" s="80">
        <v>34351.656999656399</v>
      </c>
      <c r="M61" s="80">
        <v>34510.399963698008</v>
      </c>
      <c r="N61" s="80">
        <v>34675.484579169679</v>
      </c>
      <c r="O61" s="80">
        <v>34714.308409769881</v>
      </c>
      <c r="P61" s="282">
        <f>O61</f>
        <v>34714.308409769881</v>
      </c>
      <c r="Q61" s="79">
        <v>34563.319152919699</v>
      </c>
      <c r="R61" s="282">
        <f>Q61</f>
        <v>34563.319152919699</v>
      </c>
      <c r="S61" s="282">
        <v>35108.881999999998</v>
      </c>
      <c r="T61" s="282">
        <v>34993.225873789612</v>
      </c>
      <c r="U61" s="282">
        <v>35043.987162910104</v>
      </c>
      <c r="V61" s="282">
        <v>34086.710554347832</v>
      </c>
      <c r="W61" s="282">
        <v>35110.210318248312</v>
      </c>
      <c r="X61" s="282">
        <v>35303</v>
      </c>
      <c r="Y61" s="80">
        <v>35142</v>
      </c>
      <c r="Z61" s="80">
        <v>35208</v>
      </c>
      <c r="AA61" s="80">
        <v>34921</v>
      </c>
      <c r="AB61" s="80">
        <v>35031</v>
      </c>
      <c r="AC61" s="80">
        <v>34833</v>
      </c>
      <c r="AD61" s="80">
        <v>34703</v>
      </c>
      <c r="AE61" s="80">
        <v>34699</v>
      </c>
    </row>
    <row r="62" spans="1:34" ht="6" customHeight="1" x14ac:dyDescent="0.2">
      <c r="A62" s="66"/>
      <c r="B62" s="28"/>
      <c r="C62" s="28"/>
      <c r="D62" s="28"/>
      <c r="E62" s="28"/>
      <c r="F62" s="28"/>
      <c r="G62" s="28"/>
      <c r="H62" s="28"/>
      <c r="I62" s="28"/>
      <c r="J62" s="28"/>
      <c r="K62" s="28"/>
      <c r="L62" s="28"/>
      <c r="M62" s="28"/>
      <c r="N62" s="28"/>
      <c r="O62" s="28"/>
      <c r="P62" s="269"/>
      <c r="Q62" s="28"/>
      <c r="R62" s="269"/>
      <c r="S62" s="269"/>
      <c r="T62" s="266"/>
      <c r="U62" s="266"/>
      <c r="V62" s="266"/>
      <c r="W62" s="266"/>
      <c r="X62" s="266"/>
    </row>
    <row r="63" spans="1:34" x14ac:dyDescent="0.2">
      <c r="A63" s="64" t="s">
        <v>92</v>
      </c>
      <c r="B63" s="28"/>
      <c r="C63" s="28"/>
      <c r="D63" s="28"/>
      <c r="E63" s="28"/>
      <c r="F63" s="28"/>
      <c r="G63" s="28"/>
      <c r="H63" s="28"/>
      <c r="I63" s="28"/>
      <c r="J63" s="28"/>
      <c r="K63" s="28"/>
      <c r="L63" s="28"/>
      <c r="M63" s="28"/>
      <c r="N63" s="28"/>
      <c r="O63" s="28"/>
      <c r="P63" s="269"/>
      <c r="Q63" s="28"/>
      <c r="R63" s="269"/>
      <c r="S63" s="269"/>
      <c r="T63" s="266"/>
      <c r="U63" s="266"/>
      <c r="V63" s="266"/>
      <c r="W63" s="266"/>
      <c r="X63" s="266"/>
    </row>
    <row r="64" spans="1:34" x14ac:dyDescent="0.2">
      <c r="A64" s="61" t="s">
        <v>1</v>
      </c>
      <c r="B64" s="43">
        <v>121797</v>
      </c>
      <c r="C64" s="43">
        <f t="shared" ref="C64:AB64" si="162">C8</f>
        <v>119738</v>
      </c>
      <c r="D64" s="43">
        <f t="shared" si="162"/>
        <v>122457</v>
      </c>
      <c r="E64" s="43">
        <f t="shared" si="162"/>
        <v>135286</v>
      </c>
      <c r="F64" s="43">
        <f t="shared" si="162"/>
        <v>499278</v>
      </c>
      <c r="G64" s="43">
        <f t="shared" si="162"/>
        <v>143510</v>
      </c>
      <c r="H64" s="43">
        <f t="shared" si="162"/>
        <v>155621</v>
      </c>
      <c r="I64" s="43">
        <f t="shared" si="162"/>
        <v>163503</v>
      </c>
      <c r="J64" s="43">
        <f t="shared" si="162"/>
        <v>165858</v>
      </c>
      <c r="K64" s="43">
        <f t="shared" si="162"/>
        <v>628492</v>
      </c>
      <c r="L64" s="43">
        <f t="shared" si="162"/>
        <v>167036</v>
      </c>
      <c r="M64" s="43">
        <f t="shared" si="162"/>
        <v>170478</v>
      </c>
      <c r="N64" s="43">
        <f t="shared" si="162"/>
        <v>171200</v>
      </c>
      <c r="O64" s="43">
        <f t="shared" si="162"/>
        <v>177274</v>
      </c>
      <c r="P64" s="272">
        <f t="shared" si="162"/>
        <v>177274</v>
      </c>
      <c r="Q64" s="43">
        <f t="shared" si="162"/>
        <v>685988</v>
      </c>
      <c r="R64" s="272">
        <f t="shared" si="162"/>
        <v>685988</v>
      </c>
      <c r="S64" s="272">
        <f t="shared" si="162"/>
        <v>183033</v>
      </c>
      <c r="T64" s="272">
        <f t="shared" si="162"/>
        <v>189057</v>
      </c>
      <c r="U64" s="272">
        <f t="shared" si="162"/>
        <v>192345</v>
      </c>
      <c r="V64" s="267">
        <f t="shared" si="162"/>
        <v>197875</v>
      </c>
      <c r="W64" s="272">
        <f t="shared" si="162"/>
        <v>762310</v>
      </c>
      <c r="X64" s="272">
        <f t="shared" si="162"/>
        <v>206973</v>
      </c>
      <c r="Y64" s="43">
        <f t="shared" si="162"/>
        <v>210112</v>
      </c>
      <c r="Z64" s="43">
        <f t="shared" si="162"/>
        <v>231124</v>
      </c>
      <c r="AA64" s="43">
        <f t="shared" si="162"/>
        <v>234903</v>
      </c>
      <c r="AB64" s="43">
        <f t="shared" si="162"/>
        <v>883112</v>
      </c>
      <c r="AC64" s="43">
        <f t="shared" ref="AC64:AD64" si="163">AC8</f>
        <v>239573</v>
      </c>
      <c r="AD64" s="43">
        <f t="shared" si="163"/>
        <v>243509</v>
      </c>
      <c r="AE64" s="43">
        <f t="shared" ref="AE64" si="164">AE8</f>
        <v>251392</v>
      </c>
    </row>
    <row r="65" spans="1:34" x14ac:dyDescent="0.2">
      <c r="A65" s="65" t="s">
        <v>159</v>
      </c>
      <c r="B65" s="28">
        <v>2471</v>
      </c>
      <c r="C65" s="28">
        <v>5718</v>
      </c>
      <c r="D65" s="28">
        <v>9626</v>
      </c>
      <c r="E65" s="28">
        <v>8532</v>
      </c>
      <c r="F65" s="28">
        <v>26347</v>
      </c>
      <c r="G65" s="28">
        <v>0</v>
      </c>
      <c r="H65" s="28">
        <v>0</v>
      </c>
      <c r="I65" s="28">
        <v>0</v>
      </c>
      <c r="J65" s="28">
        <v>0</v>
      </c>
      <c r="K65" s="28">
        <f>J65+I65+H65+G65</f>
        <v>0</v>
      </c>
      <c r="L65" s="28">
        <v>0</v>
      </c>
      <c r="M65" s="28">
        <v>0</v>
      </c>
      <c r="N65" s="28">
        <v>0</v>
      </c>
      <c r="O65" s="28">
        <v>0</v>
      </c>
      <c r="P65" s="269">
        <v>0</v>
      </c>
      <c r="Q65" s="28">
        <f>O65+N65+M65+L65</f>
        <v>0</v>
      </c>
      <c r="R65" s="269">
        <f>Q65</f>
        <v>0</v>
      </c>
      <c r="S65" s="269">
        <v>0</v>
      </c>
      <c r="T65" s="269"/>
      <c r="U65" s="269">
        <v>0</v>
      </c>
      <c r="V65" s="269">
        <v>0</v>
      </c>
      <c r="W65" s="269">
        <v>0</v>
      </c>
      <c r="X65" s="269">
        <v>0</v>
      </c>
      <c r="Y65" s="28">
        <v>0</v>
      </c>
      <c r="Z65" s="28">
        <v>0</v>
      </c>
      <c r="AA65" s="28">
        <v>0</v>
      </c>
      <c r="AB65" s="28">
        <v>0</v>
      </c>
      <c r="AC65" s="28">
        <v>0</v>
      </c>
      <c r="AD65" s="28">
        <v>0</v>
      </c>
      <c r="AE65" s="28">
        <v>0</v>
      </c>
    </row>
    <row r="66" spans="1:34" ht="13.5" customHeight="1" x14ac:dyDescent="0.2">
      <c r="A66" s="61" t="s">
        <v>160</v>
      </c>
      <c r="B66" s="43">
        <f t="shared" ref="B66:C66" si="165">B64+B65</f>
        <v>124268</v>
      </c>
      <c r="C66" s="43">
        <f t="shared" si="165"/>
        <v>125456</v>
      </c>
      <c r="D66" s="43">
        <f>D64+D65</f>
        <v>132083</v>
      </c>
      <c r="E66" s="43">
        <f>E64+E65</f>
        <v>143818</v>
      </c>
      <c r="F66" s="43">
        <f>F64+F65</f>
        <v>525625</v>
      </c>
      <c r="G66" s="43">
        <f t="shared" ref="G66:H66" si="166">G64+G65</f>
        <v>143510</v>
      </c>
      <c r="H66" s="43">
        <f t="shared" si="166"/>
        <v>155621</v>
      </c>
      <c r="I66" s="43">
        <f t="shared" ref="I66" si="167">I64+I65</f>
        <v>163503</v>
      </c>
      <c r="J66" s="43">
        <f>J64+J65</f>
        <v>165858</v>
      </c>
      <c r="K66" s="43">
        <f>K64+K65</f>
        <v>628492</v>
      </c>
      <c r="L66" s="43">
        <f>L64+L65</f>
        <v>167036</v>
      </c>
      <c r="M66" s="43">
        <f t="shared" ref="M66:N66" si="168">M64+M65</f>
        <v>170478</v>
      </c>
      <c r="N66" s="43">
        <f t="shared" si="168"/>
        <v>171200</v>
      </c>
      <c r="O66" s="43">
        <f t="shared" ref="O66" si="169">O64+O65</f>
        <v>177274</v>
      </c>
      <c r="P66" s="272">
        <f t="shared" ref="P66:R66" si="170">P64+P65</f>
        <v>177274</v>
      </c>
      <c r="Q66" s="43">
        <f t="shared" si="170"/>
        <v>685988</v>
      </c>
      <c r="R66" s="272">
        <f t="shared" si="170"/>
        <v>685988</v>
      </c>
      <c r="S66" s="272">
        <f t="shared" ref="S66" si="171">S64+S65</f>
        <v>183033</v>
      </c>
      <c r="T66" s="272">
        <f t="shared" ref="T66" si="172">T64+T65</f>
        <v>189057</v>
      </c>
      <c r="U66" s="272">
        <f t="shared" ref="U66" si="173">U64+U65</f>
        <v>192345</v>
      </c>
      <c r="V66" s="267">
        <f t="shared" ref="V66" si="174">V64+V65</f>
        <v>197875</v>
      </c>
      <c r="W66" s="272">
        <f t="shared" ref="W66" si="175">W64+W65</f>
        <v>762310</v>
      </c>
      <c r="X66" s="272">
        <f t="shared" ref="X66:Y66" si="176">X64+X65</f>
        <v>206973</v>
      </c>
      <c r="Y66" s="43">
        <f t="shared" si="176"/>
        <v>210112</v>
      </c>
      <c r="Z66" s="43">
        <f t="shared" ref="Z66:AA66" si="177">Z64+Z65</f>
        <v>231124</v>
      </c>
      <c r="AA66" s="43">
        <f t="shared" si="177"/>
        <v>234903</v>
      </c>
      <c r="AB66" s="43">
        <f t="shared" ref="AB66:AD66" si="178">AB64+AB65</f>
        <v>883112</v>
      </c>
      <c r="AC66" s="43">
        <f t="shared" si="178"/>
        <v>239573</v>
      </c>
      <c r="AD66" s="43">
        <f t="shared" si="178"/>
        <v>243509</v>
      </c>
      <c r="AE66" s="43">
        <f t="shared" ref="AE66" si="179">AE64+AE65</f>
        <v>251392</v>
      </c>
    </row>
    <row r="67" spans="1:34" ht="6.75" customHeight="1" x14ac:dyDescent="0.2">
      <c r="A67" s="64"/>
      <c r="B67" s="28"/>
      <c r="C67" s="28"/>
      <c r="D67" s="28"/>
      <c r="E67" s="28"/>
      <c r="F67" s="28"/>
      <c r="G67" s="28"/>
      <c r="H67" s="28"/>
      <c r="I67" s="28"/>
      <c r="J67" s="28"/>
      <c r="K67" s="28"/>
      <c r="L67" s="28"/>
      <c r="M67" s="28"/>
      <c r="N67" s="28"/>
      <c r="O67" s="28"/>
      <c r="P67" s="269"/>
      <c r="Q67" s="28"/>
      <c r="R67" s="269"/>
      <c r="S67" s="269"/>
      <c r="T67" s="266"/>
      <c r="U67" s="266"/>
      <c r="V67" s="266"/>
      <c r="W67" s="266"/>
      <c r="X67" s="266"/>
    </row>
    <row r="68" spans="1:34" s="27" customFormat="1" x14ac:dyDescent="0.2">
      <c r="A68" s="61" t="s">
        <v>71</v>
      </c>
      <c r="B68" s="43">
        <f t="shared" ref="B68:G68" si="180">B31</f>
        <v>15487</v>
      </c>
      <c r="C68" s="43">
        <f t="shared" si="180"/>
        <v>6097</v>
      </c>
      <c r="D68" s="43">
        <f t="shared" si="180"/>
        <v>5391</v>
      </c>
      <c r="E68" s="43">
        <f t="shared" si="180"/>
        <v>7065</v>
      </c>
      <c r="F68" s="43">
        <f t="shared" si="180"/>
        <v>34040</v>
      </c>
      <c r="G68" s="43">
        <f t="shared" si="180"/>
        <v>13468</v>
      </c>
      <c r="H68" s="43">
        <f t="shared" ref="H68:L68" si="181">H31</f>
        <v>15248</v>
      </c>
      <c r="I68" s="43">
        <f t="shared" si="181"/>
        <v>20749</v>
      </c>
      <c r="J68" s="43">
        <f>J31</f>
        <v>17878</v>
      </c>
      <c r="K68" s="43">
        <f t="shared" si="181"/>
        <v>67343</v>
      </c>
      <c r="L68" s="43">
        <f t="shared" si="181"/>
        <v>16452</v>
      </c>
      <c r="M68" s="43">
        <f t="shared" ref="M68:N68" si="182">M31</f>
        <v>16236</v>
      </c>
      <c r="N68" s="43">
        <f t="shared" si="182"/>
        <v>17359</v>
      </c>
      <c r="O68" s="43">
        <f t="shared" ref="O68:R68" si="183">O31</f>
        <v>14175</v>
      </c>
      <c r="P68" s="272">
        <f t="shared" si="183"/>
        <v>15145.174049368623</v>
      </c>
      <c r="Q68" s="43">
        <f t="shared" si="183"/>
        <v>64222</v>
      </c>
      <c r="R68" s="272">
        <f t="shared" si="183"/>
        <v>66949.716704388498</v>
      </c>
      <c r="S68" s="267">
        <f>S31</f>
        <v>17212</v>
      </c>
      <c r="T68" s="272">
        <f t="shared" ref="T68" si="184">T31</f>
        <v>18268</v>
      </c>
      <c r="U68" s="272">
        <f t="shared" ref="U68" si="185">U31</f>
        <v>20945</v>
      </c>
      <c r="V68" s="267">
        <f t="shared" ref="V68" si="186">V31</f>
        <v>16300</v>
      </c>
      <c r="W68" s="272">
        <f t="shared" ref="W68" si="187">W31</f>
        <v>72725</v>
      </c>
      <c r="X68" s="272">
        <f t="shared" ref="X68:Y68" si="188">X31</f>
        <v>15150</v>
      </c>
      <c r="Y68" s="43">
        <f t="shared" si="188"/>
        <v>17090</v>
      </c>
      <c r="Z68" s="43">
        <f t="shared" ref="Z68:AA68" si="189">Z31</f>
        <v>19674</v>
      </c>
      <c r="AA68" s="43">
        <f t="shared" si="189"/>
        <v>-2093</v>
      </c>
      <c r="AB68" s="43">
        <f t="shared" ref="AB68:AD68" si="190">AB31</f>
        <v>49821</v>
      </c>
      <c r="AC68" s="43">
        <f t="shared" si="190"/>
        <v>16861</v>
      </c>
      <c r="AD68" s="43">
        <f t="shared" si="190"/>
        <v>13856</v>
      </c>
      <c r="AE68" s="43">
        <f t="shared" ref="AE68" si="191">AE31</f>
        <v>22422</v>
      </c>
      <c r="AH68" s="26"/>
    </row>
    <row r="69" spans="1:34" x14ac:dyDescent="0.2">
      <c r="A69" s="65" t="s">
        <v>209</v>
      </c>
      <c r="B69" s="60">
        <v>1536.3753999999999</v>
      </c>
      <c r="C69" s="60">
        <v>1488.9848000000002</v>
      </c>
      <c r="D69" s="60">
        <v>1441</v>
      </c>
      <c r="E69" s="60">
        <v>2157</v>
      </c>
      <c r="F69" s="60">
        <v>6623</v>
      </c>
      <c r="G69" s="60">
        <v>2059</v>
      </c>
      <c r="H69" s="60">
        <v>2808</v>
      </c>
      <c r="I69" s="60">
        <v>2642</v>
      </c>
      <c r="J69" s="60">
        <v>2717</v>
      </c>
      <c r="K69" s="60">
        <v>10226</v>
      </c>
      <c r="L69" s="60">
        <v>2715</v>
      </c>
      <c r="M69" s="60">
        <f>2717+1</f>
        <v>2718</v>
      </c>
      <c r="N69" s="60">
        <v>2848</v>
      </c>
      <c r="O69" s="59">
        <v>3592.1</v>
      </c>
      <c r="P69" s="274">
        <f>O69</f>
        <v>3592.1</v>
      </c>
      <c r="Q69" s="60">
        <f>SUM(L69:O69)</f>
        <v>11873.1</v>
      </c>
      <c r="R69" s="274">
        <f>Q69</f>
        <v>11873.1</v>
      </c>
      <c r="S69" s="274">
        <v>3498</v>
      </c>
      <c r="T69" s="274">
        <v>3507</v>
      </c>
      <c r="U69" s="274">
        <v>3487</v>
      </c>
      <c r="V69" s="269">
        <f>+W69-SUM(S69,T69,U69)</f>
        <v>3483</v>
      </c>
      <c r="W69" s="274">
        <v>13975</v>
      </c>
      <c r="X69" s="274">
        <v>3947</v>
      </c>
      <c r="Y69" s="60">
        <v>3761</v>
      </c>
      <c r="Z69" s="28">
        <v>6718</v>
      </c>
      <c r="AA69" s="238">
        <f t="shared" ref="AA69" si="192">+AB69-SUM(X69:Z69)</f>
        <v>5951</v>
      </c>
      <c r="AB69" s="60">
        <v>20377</v>
      </c>
      <c r="AC69" s="60">
        <v>5528</v>
      </c>
      <c r="AD69" s="60">
        <v>5554</v>
      </c>
      <c r="AE69" s="60">
        <v>5502</v>
      </c>
    </row>
    <row r="70" spans="1:34" x14ac:dyDescent="0.2">
      <c r="A70" s="65" t="s">
        <v>210</v>
      </c>
      <c r="B70" s="60">
        <v>4176</v>
      </c>
      <c r="C70" s="60">
        <v>1966</v>
      </c>
      <c r="D70" s="60">
        <v>2376</v>
      </c>
      <c r="E70" s="60">
        <v>2493</v>
      </c>
      <c r="F70" s="60">
        <v>11011</v>
      </c>
      <c r="G70" s="60">
        <v>4255</v>
      </c>
      <c r="H70" s="60">
        <v>3553</v>
      </c>
      <c r="I70" s="60">
        <v>4471</v>
      </c>
      <c r="J70" s="60">
        <v>3767.6945391242807</v>
      </c>
      <c r="K70" s="60">
        <v>16047</v>
      </c>
      <c r="L70" s="60">
        <v>5808.8470505205478</v>
      </c>
      <c r="M70" s="60">
        <v>4450</v>
      </c>
      <c r="N70" s="60">
        <v>4484</v>
      </c>
      <c r="O70" s="59">
        <v>5027.2230380716428</v>
      </c>
      <c r="P70" s="274">
        <f>O70</f>
        <v>5027.2230380716428</v>
      </c>
      <c r="Q70" s="60">
        <f>SUM(L70:O70)</f>
        <v>19770.070088592191</v>
      </c>
      <c r="R70" s="274">
        <f>Q70</f>
        <v>19770.070088592191</v>
      </c>
      <c r="S70" s="274">
        <v>5956</v>
      </c>
      <c r="T70" s="274">
        <v>5107</v>
      </c>
      <c r="U70" s="274">
        <v>5708</v>
      </c>
      <c r="V70" s="269">
        <f>+W70-SUM(S70,T70,U70)</f>
        <v>6270</v>
      </c>
      <c r="W70" s="274">
        <v>23041</v>
      </c>
      <c r="X70" s="274">
        <v>5074</v>
      </c>
      <c r="Y70" s="60">
        <v>6893</v>
      </c>
      <c r="Z70" s="28">
        <v>5344</v>
      </c>
      <c r="AA70" s="238">
        <f>+AB70-SUM(X70:Z70)</f>
        <v>6590</v>
      </c>
      <c r="AB70" s="60">
        <v>23901</v>
      </c>
      <c r="AC70" s="60">
        <v>6956</v>
      </c>
      <c r="AD70" s="60">
        <v>7155</v>
      </c>
      <c r="AE70" s="60">
        <v>7427</v>
      </c>
    </row>
    <row r="71" spans="1:34" x14ac:dyDescent="0.2">
      <c r="A71" s="65" t="s">
        <v>159</v>
      </c>
      <c r="B71" s="112">
        <v>2471</v>
      </c>
      <c r="C71" s="112">
        <f>C65</f>
        <v>5718</v>
      </c>
      <c r="D71" s="112">
        <f>D65</f>
        <v>9626</v>
      </c>
      <c r="E71" s="112">
        <f>E65</f>
        <v>8532</v>
      </c>
      <c r="F71" s="112">
        <f>F65</f>
        <v>26347</v>
      </c>
      <c r="G71" s="112">
        <v>0</v>
      </c>
      <c r="H71" s="112">
        <v>0</v>
      </c>
      <c r="I71" s="112">
        <v>0</v>
      </c>
      <c r="J71" s="112">
        <f>J65</f>
        <v>0</v>
      </c>
      <c r="K71" s="112">
        <f>K65</f>
        <v>0</v>
      </c>
      <c r="L71" s="112">
        <v>0</v>
      </c>
      <c r="M71" s="112">
        <v>0</v>
      </c>
      <c r="N71" s="112">
        <v>0</v>
      </c>
      <c r="O71" s="112">
        <v>0</v>
      </c>
      <c r="P71" s="283">
        <v>0</v>
      </c>
      <c r="Q71" s="112">
        <f>Q65</f>
        <v>0</v>
      </c>
      <c r="R71" s="283">
        <v>0</v>
      </c>
      <c r="S71" s="283">
        <v>0</v>
      </c>
      <c r="T71" s="283">
        <v>0</v>
      </c>
      <c r="U71" s="283">
        <v>0</v>
      </c>
      <c r="V71" s="274">
        <f>+W71-SUM(S71,T71,U71)</f>
        <v>0</v>
      </c>
      <c r="W71" s="283">
        <v>0</v>
      </c>
      <c r="X71" s="283">
        <v>0</v>
      </c>
      <c r="Y71" s="112">
        <v>0</v>
      </c>
      <c r="Z71" s="112">
        <v>0</v>
      </c>
      <c r="AA71" s="112">
        <v>0</v>
      </c>
      <c r="AB71" s="112">
        <v>0</v>
      </c>
      <c r="AC71" s="112">
        <v>0</v>
      </c>
      <c r="AD71" s="112">
        <v>0</v>
      </c>
      <c r="AE71" s="112">
        <v>0</v>
      </c>
    </row>
    <row r="72" spans="1:34" x14ac:dyDescent="0.2">
      <c r="A72" s="65" t="s">
        <v>224</v>
      </c>
      <c r="B72" s="112">
        <v>0</v>
      </c>
      <c r="C72" s="112">
        <v>0</v>
      </c>
      <c r="D72" s="112">
        <v>0</v>
      </c>
      <c r="E72" s="112">
        <v>0</v>
      </c>
      <c r="F72" s="112">
        <v>0</v>
      </c>
      <c r="G72" s="112">
        <v>0</v>
      </c>
      <c r="H72" s="112">
        <v>0</v>
      </c>
      <c r="I72" s="112">
        <v>0</v>
      </c>
      <c r="J72" s="112">
        <v>0</v>
      </c>
      <c r="K72" s="112">
        <v>0</v>
      </c>
      <c r="L72" s="112">
        <v>0</v>
      </c>
      <c r="M72" s="112">
        <v>0</v>
      </c>
      <c r="N72" s="112">
        <v>0</v>
      </c>
      <c r="O72" s="112">
        <v>0</v>
      </c>
      <c r="P72" s="283">
        <v>0</v>
      </c>
      <c r="Q72" s="112">
        <v>0</v>
      </c>
      <c r="R72" s="283">
        <v>0</v>
      </c>
      <c r="S72" s="283">
        <v>0</v>
      </c>
      <c r="T72" s="283">
        <v>0</v>
      </c>
      <c r="U72" s="283">
        <v>0</v>
      </c>
      <c r="V72" s="283">
        <v>0</v>
      </c>
      <c r="W72" s="283">
        <v>0</v>
      </c>
      <c r="X72" s="283">
        <v>2400</v>
      </c>
      <c r="Y72" s="347">
        <v>0</v>
      </c>
      <c r="Z72" s="347">
        <v>0</v>
      </c>
      <c r="AA72" s="347">
        <v>0</v>
      </c>
      <c r="AB72" s="112">
        <f>SUM(X72:AA72)</f>
        <v>2400</v>
      </c>
      <c r="AC72" s="112">
        <v>0</v>
      </c>
      <c r="AD72" s="112">
        <v>0</v>
      </c>
      <c r="AE72" s="112">
        <v>0</v>
      </c>
    </row>
    <row r="73" spans="1:34" x14ac:dyDescent="0.2">
      <c r="A73" s="65" t="s">
        <v>231</v>
      </c>
      <c r="B73" s="112">
        <v>0</v>
      </c>
      <c r="C73" s="112">
        <v>0</v>
      </c>
      <c r="D73" s="112">
        <v>0</v>
      </c>
      <c r="E73" s="112">
        <v>0</v>
      </c>
      <c r="F73" s="112">
        <v>0</v>
      </c>
      <c r="G73" s="112">
        <v>0</v>
      </c>
      <c r="H73" s="112">
        <v>0</v>
      </c>
      <c r="I73" s="112">
        <v>0</v>
      </c>
      <c r="J73" s="112">
        <v>0</v>
      </c>
      <c r="K73" s="112">
        <v>0</v>
      </c>
      <c r="L73" s="112">
        <v>0</v>
      </c>
      <c r="M73" s="112">
        <v>0</v>
      </c>
      <c r="N73" s="112">
        <v>0</v>
      </c>
      <c r="O73" s="112">
        <v>0</v>
      </c>
      <c r="P73" s="283">
        <v>0</v>
      </c>
      <c r="Q73" s="112">
        <v>0</v>
      </c>
      <c r="R73" s="283">
        <v>0</v>
      </c>
      <c r="S73" s="283">
        <v>0</v>
      </c>
      <c r="T73" s="283">
        <v>48</v>
      </c>
      <c r="U73" s="283">
        <v>457</v>
      </c>
      <c r="V73" s="283">
        <v>321</v>
      </c>
      <c r="W73" s="283">
        <v>826</v>
      </c>
      <c r="X73" s="283">
        <v>363</v>
      </c>
      <c r="Y73" s="347">
        <v>841</v>
      </c>
      <c r="Z73" s="347">
        <v>855</v>
      </c>
      <c r="AA73" s="238">
        <f t="shared" ref="AA73:AA74" si="193">+AB73-SUM(X73:Z73)</f>
        <v>236</v>
      </c>
      <c r="AB73" s="347">
        <v>2295</v>
      </c>
      <c r="AC73" s="347">
        <v>0</v>
      </c>
      <c r="AD73" s="347">
        <v>0</v>
      </c>
      <c r="AE73" s="347">
        <v>0</v>
      </c>
    </row>
    <row r="74" spans="1:34" ht="25.5" x14ac:dyDescent="0.2">
      <c r="A74" s="381" t="s">
        <v>262</v>
      </c>
      <c r="B74" s="112"/>
      <c r="C74" s="112"/>
      <c r="D74" s="112"/>
      <c r="E74" s="112"/>
      <c r="F74" s="382">
        <v>0</v>
      </c>
      <c r="G74" s="382"/>
      <c r="H74" s="382"/>
      <c r="I74" s="382"/>
      <c r="J74" s="382"/>
      <c r="K74" s="382">
        <v>0</v>
      </c>
      <c r="L74" s="382"/>
      <c r="M74" s="382"/>
      <c r="N74" s="382"/>
      <c r="O74" s="382"/>
      <c r="P74" s="383"/>
      <c r="Q74" s="382">
        <v>0</v>
      </c>
      <c r="R74" s="383">
        <v>0</v>
      </c>
      <c r="S74" s="383">
        <v>0</v>
      </c>
      <c r="T74" s="383">
        <v>0</v>
      </c>
      <c r="U74" s="383">
        <v>0</v>
      </c>
      <c r="V74" s="383">
        <v>0</v>
      </c>
      <c r="W74" s="383">
        <v>0</v>
      </c>
      <c r="X74" s="383">
        <v>0</v>
      </c>
      <c r="Y74" s="385">
        <v>0</v>
      </c>
      <c r="Z74" s="385">
        <v>0</v>
      </c>
      <c r="AA74" s="387">
        <f t="shared" si="193"/>
        <v>20056</v>
      </c>
      <c r="AB74" s="385">
        <v>20056</v>
      </c>
      <c r="AC74" s="385">
        <f>-AC26</f>
        <v>1227</v>
      </c>
      <c r="AD74" s="385">
        <f>-AD26</f>
        <v>5580</v>
      </c>
      <c r="AE74" s="385">
        <f>-AE26</f>
        <v>489</v>
      </c>
    </row>
    <row r="75" spans="1:34" s="27" customFormat="1" x14ac:dyDescent="0.2">
      <c r="A75" s="61" t="s">
        <v>72</v>
      </c>
      <c r="B75" s="43">
        <f t="shared" ref="B75:AB75" si="194">SUM(B68:B74)</f>
        <v>23670.375400000001</v>
      </c>
      <c r="C75" s="43">
        <f t="shared" si="194"/>
        <v>15269.9848</v>
      </c>
      <c r="D75" s="43">
        <f t="shared" si="194"/>
        <v>18834</v>
      </c>
      <c r="E75" s="43">
        <f t="shared" si="194"/>
        <v>20247</v>
      </c>
      <c r="F75" s="43">
        <f t="shared" si="194"/>
        <v>78021</v>
      </c>
      <c r="G75" s="43">
        <f t="shared" si="194"/>
        <v>19782</v>
      </c>
      <c r="H75" s="43">
        <f t="shared" si="194"/>
        <v>21609</v>
      </c>
      <c r="I75" s="43">
        <f t="shared" si="194"/>
        <v>27862</v>
      </c>
      <c r="J75" s="43">
        <f t="shared" si="194"/>
        <v>24362.694539124281</v>
      </c>
      <c r="K75" s="43">
        <f t="shared" si="194"/>
        <v>93616</v>
      </c>
      <c r="L75" s="43">
        <f t="shared" si="194"/>
        <v>24975.847050520548</v>
      </c>
      <c r="M75" s="43">
        <f t="shared" si="194"/>
        <v>23404</v>
      </c>
      <c r="N75" s="43">
        <f t="shared" si="194"/>
        <v>24691</v>
      </c>
      <c r="O75" s="43">
        <f t="shared" si="194"/>
        <v>22794.323038071641</v>
      </c>
      <c r="P75" s="272">
        <f t="shared" si="194"/>
        <v>23764.497087440264</v>
      </c>
      <c r="Q75" s="43">
        <f t="shared" si="194"/>
        <v>95865.170088592189</v>
      </c>
      <c r="R75" s="272">
        <f t="shared" si="194"/>
        <v>98592.886792980687</v>
      </c>
      <c r="S75" s="272">
        <f t="shared" si="194"/>
        <v>26666</v>
      </c>
      <c r="T75" s="272">
        <f t="shared" si="194"/>
        <v>26930</v>
      </c>
      <c r="U75" s="272">
        <f t="shared" si="194"/>
        <v>30597</v>
      </c>
      <c r="V75" s="272">
        <f t="shared" si="194"/>
        <v>26374</v>
      </c>
      <c r="W75" s="272">
        <f t="shared" si="194"/>
        <v>110567</v>
      </c>
      <c r="X75" s="272">
        <f t="shared" si="194"/>
        <v>26934</v>
      </c>
      <c r="Y75" s="43">
        <f t="shared" si="194"/>
        <v>28585</v>
      </c>
      <c r="Z75" s="43">
        <f t="shared" si="194"/>
        <v>32591</v>
      </c>
      <c r="AA75" s="43">
        <f t="shared" si="194"/>
        <v>30740</v>
      </c>
      <c r="AB75" s="43">
        <f t="shared" si="194"/>
        <v>118850</v>
      </c>
      <c r="AC75" s="43">
        <f t="shared" ref="AC75:AD75" si="195">SUM(AC68:AC74)</f>
        <v>30572</v>
      </c>
      <c r="AD75" s="43">
        <f t="shared" si="195"/>
        <v>32145</v>
      </c>
      <c r="AE75" s="43">
        <f t="shared" ref="AE75" si="196">SUM(AE68:AE74)</f>
        <v>35840</v>
      </c>
      <c r="AH75" s="26"/>
    </row>
    <row r="76" spans="1:34" x14ac:dyDescent="0.2">
      <c r="A76" s="116" t="s">
        <v>62</v>
      </c>
      <c r="B76" s="114">
        <f t="shared" ref="B76:AB76" si="197">IF(B75/B66&lt;0, "NM",B75/B66)</f>
        <v>0.19047844497376637</v>
      </c>
      <c r="C76" s="114">
        <f t="shared" si="197"/>
        <v>0.12171585894656294</v>
      </c>
      <c r="D76" s="114">
        <f t="shared" si="197"/>
        <v>0.14259215796128191</v>
      </c>
      <c r="E76" s="114">
        <f t="shared" si="197"/>
        <v>0.14078209959810317</v>
      </c>
      <c r="F76" s="114">
        <f t="shared" si="197"/>
        <v>0.14843472057074911</v>
      </c>
      <c r="G76" s="114">
        <f t="shared" si="197"/>
        <v>0.13784405267925581</v>
      </c>
      <c r="H76" s="114">
        <f t="shared" si="197"/>
        <v>0.1388565810526857</v>
      </c>
      <c r="I76" s="114">
        <f t="shared" si="197"/>
        <v>0.17040665920502987</v>
      </c>
      <c r="J76" s="114">
        <f t="shared" si="197"/>
        <v>0.14688887204189294</v>
      </c>
      <c r="K76" s="114">
        <f t="shared" si="197"/>
        <v>0.14895336774374215</v>
      </c>
      <c r="L76" s="114">
        <f t="shared" si="197"/>
        <v>0.14952373770037924</v>
      </c>
      <c r="M76" s="114">
        <f t="shared" si="197"/>
        <v>0.13728457630896657</v>
      </c>
      <c r="N76" s="114">
        <f t="shared" si="197"/>
        <v>0.14422313084112148</v>
      </c>
      <c r="O76" s="114">
        <f t="shared" si="197"/>
        <v>0.12858243757162158</v>
      </c>
      <c r="P76" s="284">
        <f t="shared" si="197"/>
        <v>0.13405517496891967</v>
      </c>
      <c r="Q76" s="114">
        <f t="shared" si="197"/>
        <v>0.1397475904660026</v>
      </c>
      <c r="R76" s="284">
        <f t="shared" si="197"/>
        <v>0.14372392344032359</v>
      </c>
      <c r="S76" s="284">
        <f t="shared" si="197"/>
        <v>0.14568957510394301</v>
      </c>
      <c r="T76" s="284">
        <f t="shared" si="197"/>
        <v>0.14244381324150918</v>
      </c>
      <c r="U76" s="284">
        <f t="shared" si="197"/>
        <v>0.15907353973329175</v>
      </c>
      <c r="V76" s="284">
        <f t="shared" si="197"/>
        <v>0.13328616550852812</v>
      </c>
      <c r="W76" s="284">
        <f t="shared" si="197"/>
        <v>0.14504204326323936</v>
      </c>
      <c r="X76" s="284">
        <f t="shared" si="197"/>
        <v>0.13013291588757953</v>
      </c>
      <c r="Y76" s="114">
        <f t="shared" si="197"/>
        <v>0.13604648949131892</v>
      </c>
      <c r="Z76" s="114">
        <f t="shared" si="197"/>
        <v>0.14101088593136152</v>
      </c>
      <c r="AA76" s="114">
        <f t="shared" si="197"/>
        <v>0.13086252623423286</v>
      </c>
      <c r="AB76" s="114">
        <f t="shared" si="197"/>
        <v>0.13458089121198671</v>
      </c>
      <c r="AC76" s="114">
        <f t="shared" ref="AC76:AD76" si="198">IF(AC75/AC66&lt;0, "NM",AC75/AC66)</f>
        <v>0.12761037345610732</v>
      </c>
      <c r="AD76" s="114">
        <f t="shared" si="198"/>
        <v>0.13200744120340521</v>
      </c>
      <c r="AE76" s="394">
        <f t="shared" ref="AE76" si="199">IF(AE75/AE66&lt;0, "NM",AE75/AE66)</f>
        <v>0.1425661914460285</v>
      </c>
    </row>
    <row r="77" spans="1:34" s="27" customFormat="1" x14ac:dyDescent="0.2">
      <c r="A77" s="62" t="s">
        <v>134</v>
      </c>
      <c r="B77" s="34">
        <v>-0.13047529589820084</v>
      </c>
      <c r="C77" s="34">
        <f>C75/B75-1</f>
        <v>-0.35489046785459943</v>
      </c>
      <c r="D77" s="34">
        <f>D75/C75-1</f>
        <v>0.23340004896403044</v>
      </c>
      <c r="E77" s="34">
        <f>E75/D75-1</f>
        <v>7.5023892959541261E-2</v>
      </c>
      <c r="F77" s="35" t="s">
        <v>84</v>
      </c>
      <c r="G77" s="34">
        <f>G75/E75-1</f>
        <v>-2.2966365387464771E-2</v>
      </c>
      <c r="H77" s="34">
        <f>H75/G75-1</f>
        <v>9.2356687898089262E-2</v>
      </c>
      <c r="I77" s="34">
        <f>I75/H75-1</f>
        <v>0.28937016983664221</v>
      </c>
      <c r="J77" s="34">
        <f>J75/I75-1</f>
        <v>-0.12559419499230917</v>
      </c>
      <c r="K77" s="35" t="s">
        <v>84</v>
      </c>
      <c r="L77" s="34">
        <f>L75/J75-1</f>
        <v>2.5167680463735298E-2</v>
      </c>
      <c r="M77" s="34">
        <f>M75/L75-1</f>
        <v>-6.2934684350887227E-2</v>
      </c>
      <c r="N77" s="34">
        <f>N75/M75-1</f>
        <v>5.4990599897453363E-2</v>
      </c>
      <c r="O77" s="34">
        <f>O75/N75-1</f>
        <v>-7.6816530797795046E-2</v>
      </c>
      <c r="P77" s="268">
        <f>P75/N75-1</f>
        <v>-3.7523912055394071E-2</v>
      </c>
      <c r="Q77" s="35" t="s">
        <v>84</v>
      </c>
      <c r="R77" s="275" t="s">
        <v>84</v>
      </c>
      <c r="S77" s="268">
        <f>S75/O75-1</f>
        <v>0.16985268461194436</v>
      </c>
      <c r="T77" s="268">
        <f>T75/S75-1</f>
        <v>9.900247506187565E-3</v>
      </c>
      <c r="U77" s="268">
        <f>U75/T75-1</f>
        <v>0.13616784255477166</v>
      </c>
      <c r="V77" s="268">
        <f>V75/U75-1</f>
        <v>-0.13802006732686212</v>
      </c>
      <c r="W77" s="275" t="s">
        <v>84</v>
      </c>
      <c r="X77" s="268">
        <f>X75/V75-1</f>
        <v>2.123303253203912E-2</v>
      </c>
      <c r="Y77" s="35">
        <f>Y75/X75-1</f>
        <v>6.1297987673572418E-2</v>
      </c>
      <c r="Z77" s="35">
        <f>Z75/Y75-1</f>
        <v>0.14014343186986178</v>
      </c>
      <c r="AA77" s="35">
        <f>AA75/Z75-1</f>
        <v>-5.6794820656009382E-2</v>
      </c>
      <c r="AB77" s="35" t="s">
        <v>84</v>
      </c>
      <c r="AC77" s="162">
        <f>AC75/AA75-1</f>
        <v>-5.4651919323357445E-3</v>
      </c>
      <c r="AD77" s="162">
        <f>AD75/AC75-1</f>
        <v>5.1452309302629784E-2</v>
      </c>
      <c r="AE77" s="162">
        <f>AE75/AD75-1</f>
        <v>0.1149478923627314</v>
      </c>
      <c r="AH77" s="26"/>
    </row>
    <row r="78" spans="1:34" ht="13.5" thickBot="1" x14ac:dyDescent="0.25">
      <c r="A78" s="118" t="s">
        <v>135</v>
      </c>
      <c r="B78" s="83">
        <v>0.36160280024389957</v>
      </c>
      <c r="C78" s="83">
        <v>-0.11642770265187674</v>
      </c>
      <c r="D78" s="83">
        <v>-0.21570750395602567</v>
      </c>
      <c r="E78" s="83">
        <v>-0.25623204590371107</v>
      </c>
      <c r="F78" s="83">
        <v>-9.174936701492975E-2</v>
      </c>
      <c r="G78" s="83">
        <v>-0.16427180956327381</v>
      </c>
      <c r="H78" s="83">
        <v>0.41512911001718877</v>
      </c>
      <c r="I78" s="83">
        <v>0.47934586386322597</v>
      </c>
      <c r="J78" s="83">
        <v>0.20327428948112214</v>
      </c>
      <c r="K78" s="83">
        <f t="shared" ref="K78:O78" si="200">K75/F75-1</f>
        <v>0.19988208302892807</v>
      </c>
      <c r="L78" s="83">
        <f t="shared" si="200"/>
        <v>0.26255419323225904</v>
      </c>
      <c r="M78" s="83">
        <f t="shared" si="200"/>
        <v>8.3067240501642825E-2</v>
      </c>
      <c r="N78" s="83">
        <f t="shared" si="200"/>
        <v>-0.11381092527456749</v>
      </c>
      <c r="O78" s="83">
        <f t="shared" si="200"/>
        <v>-6.4375945712161542E-2</v>
      </c>
      <c r="P78" s="276">
        <f>P75/J75-1</f>
        <v>-2.4553829656377535E-2</v>
      </c>
      <c r="Q78" s="83">
        <f>Q75/K75-1</f>
        <v>2.4025488042558774E-2</v>
      </c>
      <c r="R78" s="276">
        <f>R75/K75-1</f>
        <v>5.316277979170958E-2</v>
      </c>
      <c r="S78" s="276">
        <f>S75/L75-1</f>
        <v>6.767149662874905E-2</v>
      </c>
      <c r="T78" s="276">
        <f>T75/M75-1</f>
        <v>0.15065800717826017</v>
      </c>
      <c r="U78" s="276">
        <f>U75/N75-1</f>
        <v>0.23919646834879105</v>
      </c>
      <c r="V78" s="276">
        <f>V75/P75-1</f>
        <v>0.1098067803816003</v>
      </c>
      <c r="W78" s="276">
        <f t="shared" ref="W78:AB78" si="201">W75/R75-1</f>
        <v>0.12145007207428482</v>
      </c>
      <c r="X78" s="276">
        <f t="shared" si="201"/>
        <v>1.0050251256281451E-2</v>
      </c>
      <c r="Y78" s="83">
        <f t="shared" si="201"/>
        <v>6.1455625696249516E-2</v>
      </c>
      <c r="Z78" s="83">
        <f t="shared" si="201"/>
        <v>6.5169787887701336E-2</v>
      </c>
      <c r="AA78" s="83">
        <f t="shared" si="201"/>
        <v>0.16554182149086216</v>
      </c>
      <c r="AB78" s="83">
        <f t="shared" si="201"/>
        <v>7.4913853138820707E-2</v>
      </c>
      <c r="AC78" s="83">
        <f>AC75/X75-1</f>
        <v>0.13507091408628491</v>
      </c>
      <c r="AD78" s="83">
        <f>AD75/Y75-1</f>
        <v>0.12454084309952762</v>
      </c>
      <c r="AE78" s="83">
        <f>AE75/Z75-1</f>
        <v>9.9690098493449009E-2</v>
      </c>
    </row>
    <row r="79" spans="1:34" ht="6" customHeight="1" x14ac:dyDescent="0.2">
      <c r="A79" s="119"/>
      <c r="B79" s="34"/>
      <c r="C79" s="34"/>
      <c r="D79" s="34"/>
      <c r="E79" s="34"/>
      <c r="F79" s="34"/>
      <c r="G79" s="34"/>
      <c r="H79" s="34"/>
      <c r="I79" s="34"/>
      <c r="J79" s="34"/>
      <c r="K79" s="34"/>
      <c r="L79" s="34"/>
      <c r="M79" s="34"/>
      <c r="N79" s="34"/>
      <c r="O79" s="34"/>
      <c r="P79" s="268"/>
      <c r="Q79" s="34"/>
      <c r="R79" s="268"/>
      <c r="S79" s="268"/>
      <c r="T79" s="266"/>
      <c r="U79" s="266"/>
      <c r="V79" s="266"/>
      <c r="W79" s="266"/>
      <c r="X79" s="266"/>
    </row>
    <row r="80" spans="1:34" x14ac:dyDescent="0.2">
      <c r="A80" s="61" t="s">
        <v>71</v>
      </c>
      <c r="B80" s="43">
        <f t="shared" ref="B80:AB80" si="202">B68</f>
        <v>15487</v>
      </c>
      <c r="C80" s="43">
        <f t="shared" si="202"/>
        <v>6097</v>
      </c>
      <c r="D80" s="43">
        <f t="shared" si="202"/>
        <v>5391</v>
      </c>
      <c r="E80" s="43">
        <f t="shared" si="202"/>
        <v>7065</v>
      </c>
      <c r="F80" s="43">
        <f t="shared" si="202"/>
        <v>34040</v>
      </c>
      <c r="G80" s="43">
        <f t="shared" si="202"/>
        <v>13468</v>
      </c>
      <c r="H80" s="43">
        <f t="shared" si="202"/>
        <v>15248</v>
      </c>
      <c r="I80" s="43">
        <f t="shared" si="202"/>
        <v>20749</v>
      </c>
      <c r="J80" s="43">
        <f t="shared" si="202"/>
        <v>17878</v>
      </c>
      <c r="K80" s="43">
        <f t="shared" si="202"/>
        <v>67343</v>
      </c>
      <c r="L80" s="43">
        <f t="shared" si="202"/>
        <v>16452</v>
      </c>
      <c r="M80" s="43">
        <f t="shared" si="202"/>
        <v>16236</v>
      </c>
      <c r="N80" s="43">
        <f t="shared" si="202"/>
        <v>17359</v>
      </c>
      <c r="O80" s="43">
        <f t="shared" si="202"/>
        <v>14175</v>
      </c>
      <c r="P80" s="272">
        <f t="shared" si="202"/>
        <v>15145.174049368623</v>
      </c>
      <c r="Q80" s="43">
        <f t="shared" si="202"/>
        <v>64222</v>
      </c>
      <c r="R80" s="272">
        <f t="shared" si="202"/>
        <v>66949.716704388498</v>
      </c>
      <c r="S80" s="272">
        <f t="shared" si="202"/>
        <v>17212</v>
      </c>
      <c r="T80" s="272">
        <f t="shared" si="202"/>
        <v>18268</v>
      </c>
      <c r="U80" s="272">
        <f t="shared" si="202"/>
        <v>20945</v>
      </c>
      <c r="V80" s="267">
        <f t="shared" si="202"/>
        <v>16300</v>
      </c>
      <c r="W80" s="272">
        <f t="shared" si="202"/>
        <v>72725</v>
      </c>
      <c r="X80" s="272">
        <f t="shared" si="202"/>
        <v>15150</v>
      </c>
      <c r="Y80" s="43">
        <f t="shared" si="202"/>
        <v>17090</v>
      </c>
      <c r="Z80" s="43">
        <f t="shared" si="202"/>
        <v>19674</v>
      </c>
      <c r="AA80" s="43">
        <f t="shared" si="202"/>
        <v>-2093</v>
      </c>
      <c r="AB80" s="43">
        <f t="shared" si="202"/>
        <v>49821</v>
      </c>
      <c r="AC80" s="43">
        <f t="shared" ref="AC80:AD80" si="203">AC68</f>
        <v>16861</v>
      </c>
      <c r="AD80" s="43">
        <f t="shared" si="203"/>
        <v>13856</v>
      </c>
      <c r="AE80" s="43">
        <f t="shared" ref="AE80" si="204">AE68</f>
        <v>22422</v>
      </c>
    </row>
    <row r="81" spans="1:31" x14ac:dyDescent="0.2">
      <c r="A81" s="65" t="s">
        <v>131</v>
      </c>
      <c r="B81" s="90">
        <f t="shared" ref="B81:AB81" si="205">-B23-B69</f>
        <v>4819.6246000000001</v>
      </c>
      <c r="C81" s="90">
        <f t="shared" si="205"/>
        <v>5190.0151999999998</v>
      </c>
      <c r="D81" s="90">
        <f t="shared" si="205"/>
        <v>5573</v>
      </c>
      <c r="E81" s="90">
        <f t="shared" si="205"/>
        <v>5822</v>
      </c>
      <c r="F81" s="90">
        <f t="shared" si="205"/>
        <v>21405</v>
      </c>
      <c r="G81" s="90">
        <f t="shared" si="205"/>
        <v>4994</v>
      </c>
      <c r="H81" s="90">
        <f t="shared" si="205"/>
        <v>5253</v>
      </c>
      <c r="I81" s="90">
        <f t="shared" si="205"/>
        <v>5415</v>
      </c>
      <c r="J81" s="90">
        <f t="shared" si="205"/>
        <v>5577</v>
      </c>
      <c r="K81" s="90">
        <f t="shared" si="205"/>
        <v>21239</v>
      </c>
      <c r="L81" s="90">
        <f t="shared" si="205"/>
        <v>5418</v>
      </c>
      <c r="M81" s="90">
        <f t="shared" si="205"/>
        <v>5552</v>
      </c>
      <c r="N81" s="90">
        <f t="shared" si="205"/>
        <v>5749</v>
      </c>
      <c r="O81" s="90">
        <f t="shared" si="205"/>
        <v>5987.9</v>
      </c>
      <c r="P81" s="285">
        <f t="shared" si="205"/>
        <v>5937.4421771969046</v>
      </c>
      <c r="Q81" s="90">
        <f t="shared" si="205"/>
        <v>22706.9</v>
      </c>
      <c r="R81" s="285">
        <f t="shared" si="205"/>
        <v>22587.345826269113</v>
      </c>
      <c r="S81" s="285">
        <f t="shared" si="205"/>
        <v>5874</v>
      </c>
      <c r="T81" s="285">
        <f t="shared" si="205"/>
        <v>6028</v>
      </c>
      <c r="U81" s="285">
        <f t="shared" si="205"/>
        <v>6095</v>
      </c>
      <c r="V81" s="269">
        <f t="shared" si="205"/>
        <v>6577</v>
      </c>
      <c r="W81" s="285">
        <f t="shared" si="205"/>
        <v>24574</v>
      </c>
      <c r="X81" s="285">
        <f t="shared" si="205"/>
        <v>6557</v>
      </c>
      <c r="Y81" s="90">
        <f t="shared" si="205"/>
        <v>6821</v>
      </c>
      <c r="Z81" s="28">
        <f t="shared" si="205"/>
        <v>7381</v>
      </c>
      <c r="AA81" s="28">
        <f t="shared" si="205"/>
        <v>7430</v>
      </c>
      <c r="AB81" s="90">
        <f t="shared" si="205"/>
        <v>28189</v>
      </c>
      <c r="AC81" s="90">
        <f t="shared" ref="AC81:AD81" si="206">-AC23-AC69</f>
        <v>8139</v>
      </c>
      <c r="AD81" s="90">
        <f t="shared" si="206"/>
        <v>7198</v>
      </c>
      <c r="AE81" s="90">
        <f t="shared" ref="AE81" si="207">-AE23-AE69</f>
        <v>7545</v>
      </c>
    </row>
    <row r="82" spans="1:31" x14ac:dyDescent="0.2">
      <c r="A82" s="65" t="s">
        <v>209</v>
      </c>
      <c r="B82" s="90">
        <f t="shared" ref="B82:AB82" si="208">B69</f>
        <v>1536.3753999999999</v>
      </c>
      <c r="C82" s="90">
        <f t="shared" si="208"/>
        <v>1488.9848000000002</v>
      </c>
      <c r="D82" s="90">
        <f t="shared" si="208"/>
        <v>1441</v>
      </c>
      <c r="E82" s="90">
        <f t="shared" si="208"/>
        <v>2157</v>
      </c>
      <c r="F82" s="90">
        <f t="shared" si="208"/>
        <v>6623</v>
      </c>
      <c r="G82" s="90">
        <f t="shared" si="208"/>
        <v>2059</v>
      </c>
      <c r="H82" s="90">
        <f t="shared" si="208"/>
        <v>2808</v>
      </c>
      <c r="I82" s="90">
        <f t="shared" si="208"/>
        <v>2642</v>
      </c>
      <c r="J82" s="90">
        <f t="shared" si="208"/>
        <v>2717</v>
      </c>
      <c r="K82" s="90">
        <f t="shared" si="208"/>
        <v>10226</v>
      </c>
      <c r="L82" s="90">
        <f t="shared" si="208"/>
        <v>2715</v>
      </c>
      <c r="M82" s="90">
        <f t="shared" si="208"/>
        <v>2718</v>
      </c>
      <c r="N82" s="90">
        <f t="shared" si="208"/>
        <v>2848</v>
      </c>
      <c r="O82" s="164">
        <f t="shared" si="208"/>
        <v>3592.1</v>
      </c>
      <c r="P82" s="285">
        <f t="shared" si="208"/>
        <v>3592.1</v>
      </c>
      <c r="Q82" s="90">
        <f t="shared" si="208"/>
        <v>11873.1</v>
      </c>
      <c r="R82" s="285">
        <f t="shared" si="208"/>
        <v>11873.1</v>
      </c>
      <c r="S82" s="285">
        <f t="shared" si="208"/>
        <v>3498</v>
      </c>
      <c r="T82" s="285">
        <f t="shared" si="208"/>
        <v>3507</v>
      </c>
      <c r="U82" s="285">
        <f t="shared" si="208"/>
        <v>3487</v>
      </c>
      <c r="V82" s="269">
        <f t="shared" si="208"/>
        <v>3483</v>
      </c>
      <c r="W82" s="285">
        <f t="shared" si="208"/>
        <v>13975</v>
      </c>
      <c r="X82" s="285">
        <f t="shared" si="208"/>
        <v>3947</v>
      </c>
      <c r="Y82" s="90">
        <f t="shared" si="208"/>
        <v>3761</v>
      </c>
      <c r="Z82" s="28">
        <f t="shared" si="208"/>
        <v>6718</v>
      </c>
      <c r="AA82" s="28">
        <f t="shared" si="208"/>
        <v>5951</v>
      </c>
      <c r="AB82" s="90">
        <f t="shared" si="208"/>
        <v>20377</v>
      </c>
      <c r="AC82" s="90">
        <f t="shared" ref="AC82:AD86" si="209">AC69</f>
        <v>5528</v>
      </c>
      <c r="AD82" s="90">
        <f t="shared" si="209"/>
        <v>5554</v>
      </c>
      <c r="AE82" s="90">
        <f t="shared" ref="AE82" si="210">AE69</f>
        <v>5502</v>
      </c>
    </row>
    <row r="83" spans="1:31" x14ac:dyDescent="0.2">
      <c r="A83" s="65" t="s">
        <v>210</v>
      </c>
      <c r="B83" s="90">
        <f t="shared" ref="B83:AB83" si="211">B70</f>
        <v>4176</v>
      </c>
      <c r="C83" s="90">
        <f t="shared" si="211"/>
        <v>1966</v>
      </c>
      <c r="D83" s="90">
        <f t="shared" si="211"/>
        <v>2376</v>
      </c>
      <c r="E83" s="90">
        <f t="shared" si="211"/>
        <v>2493</v>
      </c>
      <c r="F83" s="90">
        <f t="shared" si="211"/>
        <v>11011</v>
      </c>
      <c r="G83" s="90">
        <f t="shared" si="211"/>
        <v>4255</v>
      </c>
      <c r="H83" s="90">
        <f t="shared" si="211"/>
        <v>3553</v>
      </c>
      <c r="I83" s="90">
        <f t="shared" si="211"/>
        <v>4471</v>
      </c>
      <c r="J83" s="90">
        <f t="shared" si="211"/>
        <v>3767.6945391242807</v>
      </c>
      <c r="K83" s="90">
        <f t="shared" si="211"/>
        <v>16047</v>
      </c>
      <c r="L83" s="90">
        <f t="shared" si="211"/>
        <v>5808.8470505205478</v>
      </c>
      <c r="M83" s="90">
        <f t="shared" si="211"/>
        <v>4450</v>
      </c>
      <c r="N83" s="90">
        <f t="shared" si="211"/>
        <v>4484</v>
      </c>
      <c r="O83" s="30">
        <f t="shared" si="211"/>
        <v>5027.2230380716428</v>
      </c>
      <c r="P83" s="285">
        <f t="shared" si="211"/>
        <v>5027.2230380716428</v>
      </c>
      <c r="Q83" s="90">
        <f t="shared" si="211"/>
        <v>19770.070088592191</v>
      </c>
      <c r="R83" s="285">
        <f t="shared" si="211"/>
        <v>19770.070088592191</v>
      </c>
      <c r="S83" s="285">
        <f t="shared" si="211"/>
        <v>5956</v>
      </c>
      <c r="T83" s="285">
        <f t="shared" si="211"/>
        <v>5107</v>
      </c>
      <c r="U83" s="285">
        <f t="shared" si="211"/>
        <v>5708</v>
      </c>
      <c r="V83" s="269">
        <f t="shared" si="211"/>
        <v>6270</v>
      </c>
      <c r="W83" s="285">
        <f t="shared" si="211"/>
        <v>23041</v>
      </c>
      <c r="X83" s="285">
        <f t="shared" si="211"/>
        <v>5074</v>
      </c>
      <c r="Y83" s="90">
        <f t="shared" si="211"/>
        <v>6893</v>
      </c>
      <c r="Z83" s="28">
        <f t="shared" si="211"/>
        <v>5344</v>
      </c>
      <c r="AA83" s="28">
        <f t="shared" si="211"/>
        <v>6590</v>
      </c>
      <c r="AB83" s="90">
        <f t="shared" si="211"/>
        <v>23901</v>
      </c>
      <c r="AC83" s="90">
        <f t="shared" ref="AC83" si="212">AC70</f>
        <v>6956</v>
      </c>
      <c r="AD83" s="90">
        <f t="shared" si="209"/>
        <v>7155</v>
      </c>
      <c r="AE83" s="90">
        <f t="shared" ref="AE83" si="213">AE70</f>
        <v>7427</v>
      </c>
    </row>
    <row r="84" spans="1:31" x14ac:dyDescent="0.2">
      <c r="A84" s="65" t="s">
        <v>159</v>
      </c>
      <c r="B84" s="90">
        <f t="shared" ref="B84:R84" si="214">B71</f>
        <v>2471</v>
      </c>
      <c r="C84" s="90">
        <f t="shared" si="214"/>
        <v>5718</v>
      </c>
      <c r="D84" s="90">
        <f t="shared" si="214"/>
        <v>9626</v>
      </c>
      <c r="E84" s="90">
        <f t="shared" si="214"/>
        <v>8532</v>
      </c>
      <c r="F84" s="112">
        <f t="shared" si="214"/>
        <v>26347</v>
      </c>
      <c r="G84" s="33">
        <f t="shared" si="214"/>
        <v>0</v>
      </c>
      <c r="H84" s="33">
        <f t="shared" si="214"/>
        <v>0</v>
      </c>
      <c r="I84" s="33">
        <f t="shared" si="214"/>
        <v>0</v>
      </c>
      <c r="J84" s="33">
        <f t="shared" si="214"/>
        <v>0</v>
      </c>
      <c r="K84" s="256">
        <f t="shared" si="214"/>
        <v>0</v>
      </c>
      <c r="L84" s="33">
        <f t="shared" si="214"/>
        <v>0</v>
      </c>
      <c r="M84" s="33">
        <f t="shared" si="214"/>
        <v>0</v>
      </c>
      <c r="N84" s="33">
        <f t="shared" si="214"/>
        <v>0</v>
      </c>
      <c r="O84" s="33">
        <f t="shared" si="214"/>
        <v>0</v>
      </c>
      <c r="P84" s="281">
        <f t="shared" si="214"/>
        <v>0</v>
      </c>
      <c r="Q84" s="256">
        <f t="shared" si="214"/>
        <v>0</v>
      </c>
      <c r="R84" s="281">
        <f t="shared" si="214"/>
        <v>0</v>
      </c>
      <c r="S84" s="281"/>
      <c r="T84" s="281">
        <f t="shared" ref="T84:AB84" si="215">T71</f>
        <v>0</v>
      </c>
      <c r="U84" s="281">
        <f t="shared" si="215"/>
        <v>0</v>
      </c>
      <c r="V84" s="269">
        <f t="shared" si="215"/>
        <v>0</v>
      </c>
      <c r="W84" s="281">
        <f t="shared" si="215"/>
        <v>0</v>
      </c>
      <c r="X84" s="281">
        <f t="shared" si="215"/>
        <v>0</v>
      </c>
      <c r="Y84" s="33">
        <f t="shared" si="215"/>
        <v>0</v>
      </c>
      <c r="Z84" s="28">
        <f t="shared" si="215"/>
        <v>0</v>
      </c>
      <c r="AA84" s="28">
        <f t="shared" si="215"/>
        <v>0</v>
      </c>
      <c r="AB84" s="33">
        <f t="shared" si="215"/>
        <v>0</v>
      </c>
      <c r="AC84" s="33">
        <f t="shared" ref="AC84" si="216">AC71</f>
        <v>0</v>
      </c>
      <c r="AD84" s="33">
        <f t="shared" si="209"/>
        <v>0</v>
      </c>
      <c r="AE84" s="33">
        <f t="shared" ref="AE84" si="217">AE71</f>
        <v>0</v>
      </c>
    </row>
    <row r="85" spans="1:31" x14ac:dyDescent="0.2">
      <c r="A85" s="65" t="s">
        <v>223</v>
      </c>
      <c r="B85" s="90">
        <v>0</v>
      </c>
      <c r="C85" s="90">
        <v>0</v>
      </c>
      <c r="D85" s="90">
        <v>0</v>
      </c>
      <c r="E85" s="90">
        <v>0</v>
      </c>
      <c r="F85" s="112">
        <v>0</v>
      </c>
      <c r="G85" s="33">
        <v>0</v>
      </c>
      <c r="H85" s="33">
        <v>0</v>
      </c>
      <c r="I85" s="33">
        <v>0</v>
      </c>
      <c r="J85" s="33">
        <v>0</v>
      </c>
      <c r="K85" s="256">
        <v>0</v>
      </c>
      <c r="L85" s="33">
        <v>0</v>
      </c>
      <c r="M85" s="33">
        <v>0</v>
      </c>
      <c r="N85" s="33">
        <v>0</v>
      </c>
      <c r="O85" s="33">
        <v>0</v>
      </c>
      <c r="P85" s="281">
        <v>0</v>
      </c>
      <c r="Q85" s="256">
        <v>0</v>
      </c>
      <c r="R85" s="281">
        <v>0</v>
      </c>
      <c r="S85" s="281">
        <v>0</v>
      </c>
      <c r="T85" s="281">
        <v>0</v>
      </c>
      <c r="U85" s="281">
        <v>0</v>
      </c>
      <c r="V85" s="269">
        <v>0</v>
      </c>
      <c r="W85" s="281">
        <v>0</v>
      </c>
      <c r="X85" s="269">
        <f t="shared" ref="X85:AB86" si="218">X72</f>
        <v>2400</v>
      </c>
      <c r="Y85" s="28">
        <f t="shared" si="218"/>
        <v>0</v>
      </c>
      <c r="Z85" s="28">
        <f t="shared" si="218"/>
        <v>0</v>
      </c>
      <c r="AA85" s="28">
        <f t="shared" si="218"/>
        <v>0</v>
      </c>
      <c r="AB85" s="28">
        <f t="shared" si="218"/>
        <v>2400</v>
      </c>
      <c r="AC85" s="28">
        <f t="shared" ref="AC85" si="219">AC72</f>
        <v>0</v>
      </c>
      <c r="AD85" s="28">
        <f t="shared" si="209"/>
        <v>0</v>
      </c>
      <c r="AE85" s="28">
        <f t="shared" ref="AE85" si="220">AE72</f>
        <v>0</v>
      </c>
    </row>
    <row r="86" spans="1:31" x14ac:dyDescent="0.2">
      <c r="A86" s="65" t="s">
        <v>231</v>
      </c>
      <c r="B86" s="112">
        <v>0</v>
      </c>
      <c r="C86" s="112">
        <v>0</v>
      </c>
      <c r="D86" s="112">
        <v>0</v>
      </c>
      <c r="E86" s="112">
        <v>0</v>
      </c>
      <c r="F86" s="112">
        <v>0</v>
      </c>
      <c r="G86" s="112">
        <v>0</v>
      </c>
      <c r="H86" s="112">
        <v>0</v>
      </c>
      <c r="I86" s="112">
        <v>0</v>
      </c>
      <c r="J86" s="112">
        <v>0</v>
      </c>
      <c r="K86" s="112">
        <v>0</v>
      </c>
      <c r="L86" s="112">
        <v>0</v>
      </c>
      <c r="M86" s="112">
        <v>0</v>
      </c>
      <c r="N86" s="112">
        <v>0</v>
      </c>
      <c r="O86" s="112">
        <v>0</v>
      </c>
      <c r="P86" s="283">
        <v>0</v>
      </c>
      <c r="Q86" s="112">
        <v>0</v>
      </c>
      <c r="R86" s="283">
        <v>0</v>
      </c>
      <c r="S86" s="283">
        <v>0</v>
      </c>
      <c r="T86" s="269">
        <f>T73</f>
        <v>48</v>
      </c>
      <c r="U86" s="283">
        <f>U73</f>
        <v>457</v>
      </c>
      <c r="V86" s="283">
        <f>V73</f>
        <v>321</v>
      </c>
      <c r="W86" s="283">
        <f>W73</f>
        <v>826</v>
      </c>
      <c r="X86" s="283">
        <f t="shared" si="218"/>
        <v>363</v>
      </c>
      <c r="Y86" s="347">
        <f t="shared" si="218"/>
        <v>841</v>
      </c>
      <c r="Z86" s="347">
        <f t="shared" si="218"/>
        <v>855</v>
      </c>
      <c r="AA86" s="347">
        <f t="shared" si="218"/>
        <v>236</v>
      </c>
      <c r="AB86" s="28">
        <f t="shared" si="218"/>
        <v>2295</v>
      </c>
      <c r="AC86" s="28">
        <f t="shared" ref="AC86" si="221">AC73</f>
        <v>0</v>
      </c>
      <c r="AD86" s="28">
        <f t="shared" si="209"/>
        <v>0</v>
      </c>
      <c r="AE86" s="28">
        <f t="shared" ref="AE86" si="222">AE73</f>
        <v>0</v>
      </c>
    </row>
    <row r="87" spans="1:31" ht="25.5" x14ac:dyDescent="0.2">
      <c r="A87" s="381" t="s">
        <v>259</v>
      </c>
      <c r="B87" s="112"/>
      <c r="C87" s="112"/>
      <c r="D87" s="112"/>
      <c r="E87" s="112"/>
      <c r="F87" s="382">
        <v>0</v>
      </c>
      <c r="G87" s="382"/>
      <c r="H87" s="382"/>
      <c r="I87" s="382"/>
      <c r="J87" s="382"/>
      <c r="K87" s="382">
        <v>0</v>
      </c>
      <c r="L87" s="382"/>
      <c r="M87" s="382"/>
      <c r="N87" s="382"/>
      <c r="O87" s="382"/>
      <c r="P87" s="383"/>
      <c r="Q87" s="382">
        <v>0</v>
      </c>
      <c r="R87" s="383">
        <v>0</v>
      </c>
      <c r="S87" s="383">
        <v>0</v>
      </c>
      <c r="T87" s="384">
        <v>0</v>
      </c>
      <c r="U87" s="383">
        <v>0</v>
      </c>
      <c r="V87" s="383">
        <v>0</v>
      </c>
      <c r="W87" s="383">
        <v>0</v>
      </c>
      <c r="X87" s="383">
        <v>0</v>
      </c>
      <c r="Y87" s="385">
        <v>0</v>
      </c>
      <c r="Z87" s="385">
        <v>0</v>
      </c>
      <c r="AA87" s="385">
        <f>AA74</f>
        <v>20056</v>
      </c>
      <c r="AB87" s="386">
        <f>AB74</f>
        <v>20056</v>
      </c>
      <c r="AC87" s="386">
        <f>AC74</f>
        <v>1227</v>
      </c>
      <c r="AD87" s="386">
        <f>AD74</f>
        <v>5580</v>
      </c>
      <c r="AE87" s="386">
        <f>AE74</f>
        <v>489</v>
      </c>
    </row>
    <row r="88" spans="1:31" x14ac:dyDescent="0.2">
      <c r="A88" s="61" t="s">
        <v>128</v>
      </c>
      <c r="B88" s="43">
        <f t="shared" ref="B88:AB88" si="223">SUM(B80:B87)</f>
        <v>28490</v>
      </c>
      <c r="C88" s="43">
        <f t="shared" si="223"/>
        <v>20460</v>
      </c>
      <c r="D88" s="43">
        <f t="shared" si="223"/>
        <v>24407</v>
      </c>
      <c r="E88" s="43">
        <f t="shared" si="223"/>
        <v>26069</v>
      </c>
      <c r="F88" s="43">
        <f t="shared" si="223"/>
        <v>99426</v>
      </c>
      <c r="G88" s="43">
        <f t="shared" si="223"/>
        <v>24776</v>
      </c>
      <c r="H88" s="43">
        <f t="shared" si="223"/>
        <v>26862</v>
      </c>
      <c r="I88" s="43">
        <f t="shared" si="223"/>
        <v>33277</v>
      </c>
      <c r="J88" s="43">
        <f t="shared" si="223"/>
        <v>29939.694539124281</v>
      </c>
      <c r="K88" s="43">
        <f t="shared" si="223"/>
        <v>114855</v>
      </c>
      <c r="L88" s="43">
        <f t="shared" si="223"/>
        <v>30393.847050520548</v>
      </c>
      <c r="M88" s="43">
        <f t="shared" si="223"/>
        <v>28956</v>
      </c>
      <c r="N88" s="43">
        <f t="shared" si="223"/>
        <v>30440</v>
      </c>
      <c r="O88" s="43">
        <f t="shared" si="223"/>
        <v>28782.223038071643</v>
      </c>
      <c r="P88" s="272">
        <f t="shared" si="223"/>
        <v>29701.939264637171</v>
      </c>
      <c r="Q88" s="43">
        <f t="shared" si="223"/>
        <v>118572.07008859218</v>
      </c>
      <c r="R88" s="272">
        <f t="shared" si="223"/>
        <v>121180.23261924981</v>
      </c>
      <c r="S88" s="272">
        <f t="shared" si="223"/>
        <v>32540</v>
      </c>
      <c r="T88" s="272">
        <f t="shared" si="223"/>
        <v>32958</v>
      </c>
      <c r="U88" s="272">
        <f t="shared" si="223"/>
        <v>36692</v>
      </c>
      <c r="V88" s="272">
        <f t="shared" si="223"/>
        <v>32951</v>
      </c>
      <c r="W88" s="272">
        <f t="shared" si="223"/>
        <v>135141</v>
      </c>
      <c r="X88" s="272">
        <f t="shared" si="223"/>
        <v>33491</v>
      </c>
      <c r="Y88" s="43">
        <f t="shared" si="223"/>
        <v>35406</v>
      </c>
      <c r="Z88" s="43">
        <f t="shared" si="223"/>
        <v>39972</v>
      </c>
      <c r="AA88" s="43">
        <f t="shared" si="223"/>
        <v>38170</v>
      </c>
      <c r="AB88" s="43">
        <f t="shared" si="223"/>
        <v>147039</v>
      </c>
      <c r="AC88" s="43">
        <f t="shared" ref="AC88:AD88" si="224">SUM(AC80:AC87)</f>
        <v>38711</v>
      </c>
      <c r="AD88" s="43">
        <f t="shared" si="224"/>
        <v>39343</v>
      </c>
      <c r="AE88" s="43">
        <f t="shared" ref="AE88" si="225">SUM(AE80:AE87)</f>
        <v>43385</v>
      </c>
    </row>
    <row r="89" spans="1:31" x14ac:dyDescent="0.2">
      <c r="A89" s="116" t="s">
        <v>129</v>
      </c>
      <c r="B89" s="111">
        <f t="shared" ref="B89:AB89" si="226">IF(B88/B66&lt;0, "NM",B88/B66)</f>
        <v>0.22926256156049829</v>
      </c>
      <c r="C89" s="111">
        <f t="shared" si="226"/>
        <v>0.16308506568039791</v>
      </c>
      <c r="D89" s="111">
        <f t="shared" si="226"/>
        <v>0.18478532437936751</v>
      </c>
      <c r="E89" s="111">
        <f t="shared" si="226"/>
        <v>0.18126381954970866</v>
      </c>
      <c r="F89" s="111">
        <f t="shared" si="226"/>
        <v>0.18915766944114148</v>
      </c>
      <c r="G89" s="111">
        <f t="shared" si="226"/>
        <v>0.17264302139223747</v>
      </c>
      <c r="H89" s="111">
        <f t="shared" si="226"/>
        <v>0.17261166552072021</v>
      </c>
      <c r="I89" s="111">
        <f t="shared" si="226"/>
        <v>0.20352531757827075</v>
      </c>
      <c r="J89" s="111">
        <f t="shared" si="226"/>
        <v>0.18051402126592797</v>
      </c>
      <c r="K89" s="111">
        <f t="shared" si="226"/>
        <v>0.18274695620628426</v>
      </c>
      <c r="L89" s="111">
        <f t="shared" si="226"/>
        <v>0.18195985925501418</v>
      </c>
      <c r="M89" s="111">
        <f t="shared" si="226"/>
        <v>0.16985182838841376</v>
      </c>
      <c r="N89" s="111">
        <f t="shared" si="226"/>
        <v>0.177803738317757</v>
      </c>
      <c r="O89" s="111">
        <f t="shared" si="226"/>
        <v>0.1623600925012785</v>
      </c>
      <c r="P89" s="286">
        <f t="shared" si="226"/>
        <v>0.16754819806986457</v>
      </c>
      <c r="Q89" s="111">
        <f t="shared" si="226"/>
        <v>0.17284860681031181</v>
      </c>
      <c r="R89" s="286">
        <f t="shared" si="226"/>
        <v>0.17665065951481632</v>
      </c>
      <c r="S89" s="286">
        <f t="shared" si="226"/>
        <v>0.1777821485743008</v>
      </c>
      <c r="T89" s="286">
        <f t="shared" si="226"/>
        <v>0.17432837715609578</v>
      </c>
      <c r="U89" s="286">
        <f t="shared" si="226"/>
        <v>0.19076139228989575</v>
      </c>
      <c r="V89" s="286">
        <f t="shared" si="226"/>
        <v>0.16652432090966518</v>
      </c>
      <c r="W89" s="286">
        <f t="shared" si="226"/>
        <v>0.1772782726187509</v>
      </c>
      <c r="X89" s="286">
        <f t="shared" si="226"/>
        <v>0.16181337662400411</v>
      </c>
      <c r="Y89" s="111">
        <f t="shared" si="226"/>
        <v>0.16851012793176973</v>
      </c>
      <c r="Z89" s="111">
        <f t="shared" si="226"/>
        <v>0.17294612415846039</v>
      </c>
      <c r="AA89" s="111">
        <f t="shared" si="226"/>
        <v>0.1624926033298851</v>
      </c>
      <c r="AB89" s="111">
        <f t="shared" si="226"/>
        <v>0.1665009647700405</v>
      </c>
      <c r="AC89" s="111">
        <f t="shared" ref="AC89:AD89" si="227">IF(AC88/AC66&lt;0, "NM",AC88/AC66)</f>
        <v>0.16158331698480213</v>
      </c>
      <c r="AD89" s="111">
        <f t="shared" si="227"/>
        <v>0.16156692360446637</v>
      </c>
      <c r="AE89" s="111">
        <f t="shared" ref="AE89" si="228">IF(AE88/AE66&lt;0, "NM",AE88/AE66)</f>
        <v>0.17257907968431771</v>
      </c>
    </row>
    <row r="90" spans="1:31" x14ac:dyDescent="0.2">
      <c r="A90" s="62" t="s">
        <v>134</v>
      </c>
      <c r="B90" s="114">
        <v>-0.10295404882902293</v>
      </c>
      <c r="C90" s="114">
        <f>C88/B88-1</f>
        <v>-0.28185328185328185</v>
      </c>
      <c r="D90" s="114">
        <f>D88/C88-1</f>
        <v>0.19291300097751707</v>
      </c>
      <c r="E90" s="114">
        <f>E88/D88-1</f>
        <v>6.8095218584832251E-2</v>
      </c>
      <c r="F90" s="111" t="s">
        <v>84</v>
      </c>
      <c r="G90" s="114">
        <f>G88/E88-1</f>
        <v>-4.9599140741877323E-2</v>
      </c>
      <c r="H90" s="114">
        <f>H88/G88-1</f>
        <v>8.4194381659670636E-2</v>
      </c>
      <c r="I90" s="114">
        <f>I88/H88-1</f>
        <v>0.23881319335864792</v>
      </c>
      <c r="J90" s="114">
        <f>J88/I88-1</f>
        <v>-0.10028865164755596</v>
      </c>
      <c r="K90" s="111" t="s">
        <v>84</v>
      </c>
      <c r="L90" s="114">
        <f>L88/J88-1</f>
        <v>1.5168909315450563E-2</v>
      </c>
      <c r="M90" s="114">
        <f>M88/L88-1</f>
        <v>-4.7307175301980142E-2</v>
      </c>
      <c r="N90" s="114">
        <f>N88/M88-1</f>
        <v>5.1250172675783912E-2</v>
      </c>
      <c r="O90" s="114">
        <f>O88/N88-1</f>
        <v>-5.446047838135204E-2</v>
      </c>
      <c r="P90" s="284">
        <f>P88/N88-1</f>
        <v>-2.4246410491551518E-2</v>
      </c>
      <c r="Q90" s="111" t="s">
        <v>84</v>
      </c>
      <c r="R90" s="286" t="s">
        <v>84</v>
      </c>
      <c r="S90" s="284">
        <f>S88/O88-1</f>
        <v>0.13055895498265579</v>
      </c>
      <c r="T90" s="284">
        <f>T88/S88-1</f>
        <v>1.2845728334357709E-2</v>
      </c>
      <c r="U90" s="284">
        <f>U88/T88-1</f>
        <v>0.11329570969112202</v>
      </c>
      <c r="V90" s="284">
        <f>V88/U88-1</f>
        <v>-0.10195682982666521</v>
      </c>
      <c r="W90" s="286" t="s">
        <v>84</v>
      </c>
      <c r="X90" s="286">
        <f>X88/V88-1</f>
        <v>1.6387970016084497E-2</v>
      </c>
      <c r="Y90" s="111">
        <f>Y88/X88-1</f>
        <v>5.7179540772147819E-2</v>
      </c>
      <c r="Z90" s="111">
        <f>Z88/Y88-1</f>
        <v>0.12896119301813247</v>
      </c>
      <c r="AA90" s="111">
        <f>AA88/Z88-1</f>
        <v>-4.5081557089962976E-2</v>
      </c>
      <c r="AB90" s="111" t="s">
        <v>84</v>
      </c>
      <c r="AC90" s="373">
        <f>AC88/AA88-1</f>
        <v>1.4173434634529691E-2</v>
      </c>
      <c r="AD90" s="373">
        <f>AD88/AC88-1</f>
        <v>1.6326108857947386E-2</v>
      </c>
      <c r="AE90" s="373">
        <f>AE88/AD88-1</f>
        <v>0.10273746282693241</v>
      </c>
    </row>
    <row r="91" spans="1:31" ht="13.5" thickBot="1" x14ac:dyDescent="0.25">
      <c r="A91" s="118" t="s">
        <v>135</v>
      </c>
      <c r="B91" s="83">
        <v>0.27974773382684548</v>
      </c>
      <c r="C91" s="83">
        <v>-7.2048663473413432E-2</v>
      </c>
      <c r="D91" s="83">
        <v>-0.14207880769095571</v>
      </c>
      <c r="E91" s="83">
        <v>-0.17918248855471386</v>
      </c>
      <c r="F91" s="83">
        <v>-4.8733170257015068E-2</v>
      </c>
      <c r="G91" s="83">
        <v>-0.13036153036153031</v>
      </c>
      <c r="H91" s="83">
        <v>0.31290322580645169</v>
      </c>
      <c r="I91" s="83">
        <v>0.36342033023312981</v>
      </c>
      <c r="J91" s="83">
        <v>0.14847882692563119</v>
      </c>
      <c r="K91" s="83">
        <f>K88/F88-1</f>
        <v>0.15518073743286465</v>
      </c>
      <c r="L91" s="83">
        <f t="shared" ref="L91:M91" si="229">L88/G88-1</f>
        <v>0.22674552189701913</v>
      </c>
      <c r="M91" s="83">
        <f t="shared" si="229"/>
        <v>7.79539870448962E-2</v>
      </c>
      <c r="N91" s="83">
        <f>N88/I88-1</f>
        <v>-8.5254079394176174E-2</v>
      </c>
      <c r="O91" s="83">
        <f>O88/J88-1</f>
        <v>-3.8660097201061561E-2</v>
      </c>
      <c r="P91" s="276">
        <f>P88/J88-1</f>
        <v>-7.9411389510477548E-3</v>
      </c>
      <c r="Q91" s="83">
        <f>Q88/K88-1</f>
        <v>3.2363154312761155E-2</v>
      </c>
      <c r="R91" s="276">
        <f>R88/K88-1</f>
        <v>5.5071460704800179E-2</v>
      </c>
      <c r="S91" s="276">
        <f>S88/L88-1</f>
        <v>7.0611428224670814E-2</v>
      </c>
      <c r="T91" s="276">
        <f>T88/M88-1</f>
        <v>0.1382096974720266</v>
      </c>
      <c r="U91" s="276">
        <f>U88/N88-1</f>
        <v>0.20538764783180019</v>
      </c>
      <c r="V91" s="276">
        <f>V88/P88-1</f>
        <v>0.1093888417996709</v>
      </c>
      <c r="W91" s="276">
        <f t="shared" ref="W91:AE91" si="230">W88/R88-1</f>
        <v>0.11520663955659449</v>
      </c>
      <c r="X91" s="276">
        <f t="shared" si="230"/>
        <v>2.9225568531038748E-2</v>
      </c>
      <c r="Y91" s="83">
        <f t="shared" si="230"/>
        <v>7.4276351720371281E-2</v>
      </c>
      <c r="Z91" s="83">
        <f t="shared" si="230"/>
        <v>8.939278316799304E-2</v>
      </c>
      <c r="AA91" s="83">
        <f t="shared" si="230"/>
        <v>0.15838669539619432</v>
      </c>
      <c r="AB91" s="83">
        <f t="shared" si="230"/>
        <v>8.804137900415121E-2</v>
      </c>
      <c r="AC91" s="83">
        <f t="shared" si="230"/>
        <v>0.1558627691021468</v>
      </c>
      <c r="AD91" s="83">
        <f t="shared" si="230"/>
        <v>0.11119584251256853</v>
      </c>
      <c r="AE91" s="83">
        <f t="shared" si="230"/>
        <v>8.5384769338537003E-2</v>
      </c>
    </row>
    <row r="92" spans="1:31" ht="6" customHeight="1" x14ac:dyDescent="0.2">
      <c r="A92" s="116"/>
      <c r="B92" s="111"/>
      <c r="C92" s="111"/>
      <c r="D92" s="111"/>
      <c r="E92" s="111"/>
      <c r="F92" s="111"/>
      <c r="G92" s="111"/>
      <c r="H92" s="111"/>
      <c r="I92" s="111"/>
      <c r="J92" s="111"/>
      <c r="K92" s="111"/>
      <c r="L92" s="111"/>
      <c r="M92" s="111"/>
      <c r="N92" s="111"/>
      <c r="O92" s="111"/>
      <c r="P92" s="286"/>
      <c r="Q92" s="111"/>
      <c r="R92" s="286"/>
      <c r="S92" s="286"/>
      <c r="T92" s="266"/>
      <c r="U92" s="266"/>
      <c r="V92" s="266"/>
      <c r="W92" s="266"/>
      <c r="X92" s="266"/>
    </row>
    <row r="93" spans="1:31" x14ac:dyDescent="0.2">
      <c r="A93" s="61" t="s">
        <v>130</v>
      </c>
      <c r="B93" s="113">
        <f t="shared" ref="B93:AB93" si="231">B46</f>
        <v>11147</v>
      </c>
      <c r="C93" s="113">
        <f t="shared" si="231"/>
        <v>7762</v>
      </c>
      <c r="D93" s="113">
        <f t="shared" si="231"/>
        <v>6075</v>
      </c>
      <c r="E93" s="113">
        <f t="shared" si="231"/>
        <v>7461</v>
      </c>
      <c r="F93" s="113">
        <f t="shared" si="231"/>
        <v>32445</v>
      </c>
      <c r="G93" s="113">
        <f t="shared" si="231"/>
        <v>9567</v>
      </c>
      <c r="H93" s="113">
        <f t="shared" si="231"/>
        <v>12074</v>
      </c>
      <c r="I93" s="113">
        <f t="shared" si="231"/>
        <v>15162</v>
      </c>
      <c r="J93" s="113">
        <f t="shared" si="231"/>
        <v>14762</v>
      </c>
      <c r="K93" s="113">
        <f t="shared" si="231"/>
        <v>51565</v>
      </c>
      <c r="L93" s="113">
        <f t="shared" si="231"/>
        <v>13820</v>
      </c>
      <c r="M93" s="113">
        <f t="shared" si="231"/>
        <v>16375</v>
      </c>
      <c r="N93" s="113">
        <f t="shared" si="231"/>
        <v>16050</v>
      </c>
      <c r="O93" s="113">
        <f t="shared" si="231"/>
        <v>15488</v>
      </c>
      <c r="P93" s="267">
        <f t="shared" si="231"/>
        <v>15488.093070032821</v>
      </c>
      <c r="Q93" s="113">
        <f t="shared" si="231"/>
        <v>61733</v>
      </c>
      <c r="R93" s="267">
        <f t="shared" si="231"/>
        <v>61733.103829147978</v>
      </c>
      <c r="S93" s="267">
        <f t="shared" si="231"/>
        <v>16788</v>
      </c>
      <c r="T93" s="267">
        <f t="shared" si="231"/>
        <v>20378</v>
      </c>
      <c r="U93" s="267">
        <f t="shared" si="231"/>
        <v>21077</v>
      </c>
      <c r="V93" s="267">
        <f t="shared" si="231"/>
        <v>-9355</v>
      </c>
      <c r="W93" s="267">
        <f t="shared" si="231"/>
        <v>48888</v>
      </c>
      <c r="X93" s="267">
        <f t="shared" si="231"/>
        <v>23158</v>
      </c>
      <c r="Y93" s="113">
        <f t="shared" si="231"/>
        <v>14462</v>
      </c>
      <c r="Z93" s="113">
        <f t="shared" si="231"/>
        <v>15249</v>
      </c>
      <c r="AA93" s="113">
        <f t="shared" si="231"/>
        <v>3857</v>
      </c>
      <c r="AB93" s="113">
        <f t="shared" si="231"/>
        <v>56726</v>
      </c>
      <c r="AC93" s="113">
        <f t="shared" ref="AC93:AD93" si="232">AC46</f>
        <v>14695</v>
      </c>
      <c r="AD93" s="113">
        <f t="shared" si="232"/>
        <v>12564</v>
      </c>
      <c r="AE93" s="113">
        <f t="shared" ref="AE93" si="233">AE46</f>
        <v>19044</v>
      </c>
    </row>
    <row r="94" spans="1:31" x14ac:dyDescent="0.2">
      <c r="A94" s="65" t="s">
        <v>210</v>
      </c>
      <c r="B94" s="112">
        <f t="shared" ref="B94:AB94" si="234">B70</f>
        <v>4176</v>
      </c>
      <c r="C94" s="112">
        <f t="shared" si="234"/>
        <v>1966</v>
      </c>
      <c r="D94" s="112">
        <f t="shared" si="234"/>
        <v>2376</v>
      </c>
      <c r="E94" s="112">
        <f t="shared" si="234"/>
        <v>2493</v>
      </c>
      <c r="F94" s="112">
        <f t="shared" si="234"/>
        <v>11011</v>
      </c>
      <c r="G94" s="112">
        <f t="shared" si="234"/>
        <v>4255</v>
      </c>
      <c r="H94" s="112">
        <f t="shared" si="234"/>
        <v>3553</v>
      </c>
      <c r="I94" s="112">
        <f t="shared" si="234"/>
        <v>4471</v>
      </c>
      <c r="J94" s="112">
        <f t="shared" si="234"/>
        <v>3767.6945391242807</v>
      </c>
      <c r="K94" s="112">
        <f t="shared" si="234"/>
        <v>16047</v>
      </c>
      <c r="L94" s="112">
        <f t="shared" si="234"/>
        <v>5808.8470505205478</v>
      </c>
      <c r="M94" s="112">
        <f t="shared" si="234"/>
        <v>4450</v>
      </c>
      <c r="N94" s="112">
        <f t="shared" si="234"/>
        <v>4484</v>
      </c>
      <c r="O94" s="112">
        <f t="shared" si="234"/>
        <v>5027.2230380716428</v>
      </c>
      <c r="P94" s="283">
        <f t="shared" si="234"/>
        <v>5027.2230380716428</v>
      </c>
      <c r="Q94" s="112">
        <f t="shared" si="234"/>
        <v>19770.070088592191</v>
      </c>
      <c r="R94" s="283">
        <f t="shared" si="234"/>
        <v>19770.070088592191</v>
      </c>
      <c r="S94" s="283">
        <f t="shared" si="234"/>
        <v>5956</v>
      </c>
      <c r="T94" s="283">
        <f t="shared" si="234"/>
        <v>5107</v>
      </c>
      <c r="U94" s="283">
        <f t="shared" si="234"/>
        <v>5708</v>
      </c>
      <c r="V94" s="283">
        <f t="shared" si="234"/>
        <v>6270</v>
      </c>
      <c r="W94" s="283">
        <f t="shared" si="234"/>
        <v>23041</v>
      </c>
      <c r="X94" s="283">
        <f t="shared" si="234"/>
        <v>5074</v>
      </c>
      <c r="Y94" s="112">
        <f t="shared" si="234"/>
        <v>6893</v>
      </c>
      <c r="Z94" s="112">
        <f t="shared" si="234"/>
        <v>5344</v>
      </c>
      <c r="AA94" s="112">
        <f t="shared" si="234"/>
        <v>6590</v>
      </c>
      <c r="AB94" s="112">
        <f t="shared" si="234"/>
        <v>23901</v>
      </c>
      <c r="AC94" s="112">
        <f t="shared" ref="AC94:AD94" si="235">AC70</f>
        <v>6956</v>
      </c>
      <c r="AD94" s="112">
        <f t="shared" si="235"/>
        <v>7155</v>
      </c>
      <c r="AE94" s="112">
        <f t="shared" ref="AE94" si="236">AE70</f>
        <v>7427</v>
      </c>
    </row>
    <row r="95" spans="1:31" x14ac:dyDescent="0.2">
      <c r="A95" s="65" t="s">
        <v>209</v>
      </c>
      <c r="B95" s="112">
        <f t="shared" ref="B95:AB95" si="237">B69</f>
        <v>1536.3753999999999</v>
      </c>
      <c r="C95" s="112">
        <f t="shared" si="237"/>
        <v>1488.9848000000002</v>
      </c>
      <c r="D95" s="112">
        <f t="shared" si="237"/>
        <v>1441</v>
      </c>
      <c r="E95" s="112">
        <f t="shared" si="237"/>
        <v>2157</v>
      </c>
      <c r="F95" s="112">
        <f t="shared" si="237"/>
        <v>6623</v>
      </c>
      <c r="G95" s="112">
        <f t="shared" si="237"/>
        <v>2059</v>
      </c>
      <c r="H95" s="112">
        <f t="shared" si="237"/>
        <v>2808</v>
      </c>
      <c r="I95" s="112">
        <f t="shared" si="237"/>
        <v>2642</v>
      </c>
      <c r="J95" s="112">
        <f t="shared" si="237"/>
        <v>2717</v>
      </c>
      <c r="K95" s="112">
        <f t="shared" si="237"/>
        <v>10226</v>
      </c>
      <c r="L95" s="112">
        <f t="shared" si="237"/>
        <v>2715</v>
      </c>
      <c r="M95" s="112">
        <f t="shared" si="237"/>
        <v>2718</v>
      </c>
      <c r="N95" s="112">
        <f t="shared" si="237"/>
        <v>2848</v>
      </c>
      <c r="O95" s="112">
        <f t="shared" si="237"/>
        <v>3592.1</v>
      </c>
      <c r="P95" s="283">
        <f t="shared" si="237"/>
        <v>3592.1</v>
      </c>
      <c r="Q95" s="112">
        <f t="shared" si="237"/>
        <v>11873.1</v>
      </c>
      <c r="R95" s="283">
        <f t="shared" si="237"/>
        <v>11873.1</v>
      </c>
      <c r="S95" s="283">
        <f t="shared" si="237"/>
        <v>3498</v>
      </c>
      <c r="T95" s="283">
        <f t="shared" si="237"/>
        <v>3507</v>
      </c>
      <c r="U95" s="283">
        <f t="shared" si="237"/>
        <v>3487</v>
      </c>
      <c r="V95" s="283">
        <f t="shared" si="237"/>
        <v>3483</v>
      </c>
      <c r="W95" s="283">
        <f t="shared" si="237"/>
        <v>13975</v>
      </c>
      <c r="X95" s="283">
        <f t="shared" si="237"/>
        <v>3947</v>
      </c>
      <c r="Y95" s="112">
        <f t="shared" si="237"/>
        <v>3761</v>
      </c>
      <c r="Z95" s="112">
        <f t="shared" si="237"/>
        <v>6718</v>
      </c>
      <c r="AA95" s="112">
        <f t="shared" si="237"/>
        <v>5951</v>
      </c>
      <c r="AB95" s="112">
        <f t="shared" si="237"/>
        <v>20377</v>
      </c>
      <c r="AC95" s="112">
        <f t="shared" ref="AC95:AD95" si="238">AC69</f>
        <v>5528</v>
      </c>
      <c r="AD95" s="112">
        <f t="shared" si="238"/>
        <v>5554</v>
      </c>
      <c r="AE95" s="112">
        <f t="shared" ref="AE95" si="239">AE69</f>
        <v>5502</v>
      </c>
    </row>
    <row r="96" spans="1:31" x14ac:dyDescent="0.2">
      <c r="A96" s="65" t="s">
        <v>159</v>
      </c>
      <c r="B96" s="112">
        <f t="shared" ref="B96:AB96" si="240">B84</f>
        <v>2471</v>
      </c>
      <c r="C96" s="112">
        <f t="shared" si="240"/>
        <v>5718</v>
      </c>
      <c r="D96" s="112">
        <f t="shared" si="240"/>
        <v>9626</v>
      </c>
      <c r="E96" s="112">
        <f t="shared" si="240"/>
        <v>8532</v>
      </c>
      <c r="F96" s="112">
        <f t="shared" si="240"/>
        <v>26347</v>
      </c>
      <c r="G96" s="112">
        <f t="shared" si="240"/>
        <v>0</v>
      </c>
      <c r="H96" s="112">
        <f t="shared" si="240"/>
        <v>0</v>
      </c>
      <c r="I96" s="112">
        <f t="shared" si="240"/>
        <v>0</v>
      </c>
      <c r="J96" s="112">
        <f t="shared" si="240"/>
        <v>0</v>
      </c>
      <c r="K96" s="112">
        <f t="shared" si="240"/>
        <v>0</v>
      </c>
      <c r="L96" s="112">
        <f t="shared" si="240"/>
        <v>0</v>
      </c>
      <c r="M96" s="112">
        <f t="shared" si="240"/>
        <v>0</v>
      </c>
      <c r="N96" s="112">
        <f t="shared" si="240"/>
        <v>0</v>
      </c>
      <c r="O96" s="112">
        <f t="shared" si="240"/>
        <v>0</v>
      </c>
      <c r="P96" s="283">
        <f t="shared" si="240"/>
        <v>0</v>
      </c>
      <c r="Q96" s="112">
        <f t="shared" si="240"/>
        <v>0</v>
      </c>
      <c r="R96" s="283">
        <f t="shared" si="240"/>
        <v>0</v>
      </c>
      <c r="S96" s="283">
        <f t="shared" si="240"/>
        <v>0</v>
      </c>
      <c r="T96" s="283">
        <f t="shared" si="240"/>
        <v>0</v>
      </c>
      <c r="U96" s="283">
        <f t="shared" si="240"/>
        <v>0</v>
      </c>
      <c r="V96" s="324">
        <f t="shared" si="240"/>
        <v>0</v>
      </c>
      <c r="W96" s="283">
        <f t="shared" si="240"/>
        <v>0</v>
      </c>
      <c r="X96" s="283">
        <f t="shared" si="240"/>
        <v>0</v>
      </c>
      <c r="Y96" s="112">
        <f t="shared" si="240"/>
        <v>0</v>
      </c>
      <c r="Z96" s="112">
        <f t="shared" si="240"/>
        <v>0</v>
      </c>
      <c r="AA96" s="112">
        <f t="shared" si="240"/>
        <v>0</v>
      </c>
      <c r="AB96" s="112">
        <f t="shared" si="240"/>
        <v>0</v>
      </c>
      <c r="AC96" s="112">
        <f t="shared" ref="AC96:AD96" si="241">AC84</f>
        <v>0</v>
      </c>
      <c r="AD96" s="112">
        <f t="shared" si="241"/>
        <v>0</v>
      </c>
      <c r="AE96" s="112">
        <f t="shared" ref="AE96" si="242">AE84</f>
        <v>0</v>
      </c>
    </row>
    <row r="97" spans="1:31" x14ac:dyDescent="0.2">
      <c r="A97" s="65" t="s">
        <v>223</v>
      </c>
      <c r="B97" s="152">
        <v>0</v>
      </c>
      <c r="C97" s="152">
        <v>0</v>
      </c>
      <c r="D97" s="152">
        <v>0</v>
      </c>
      <c r="E97" s="152">
        <v>0</v>
      </c>
      <c r="F97" s="152">
        <v>0</v>
      </c>
      <c r="G97" s="152">
        <v>0</v>
      </c>
      <c r="H97" s="152">
        <v>0</v>
      </c>
      <c r="I97" s="152">
        <v>0</v>
      </c>
      <c r="J97" s="152">
        <v>0</v>
      </c>
      <c r="K97" s="152">
        <v>0</v>
      </c>
      <c r="L97" s="152">
        <v>0</v>
      </c>
      <c r="M97" s="152">
        <v>0</v>
      </c>
      <c r="N97" s="152">
        <v>0</v>
      </c>
      <c r="O97" s="152">
        <v>0</v>
      </c>
      <c r="P97" s="287">
        <f>O97</f>
        <v>0</v>
      </c>
      <c r="Q97" s="112">
        <f>SUM(L97:O97)</f>
        <v>0</v>
      </c>
      <c r="R97" s="287">
        <f>Q97</f>
        <v>0</v>
      </c>
      <c r="S97" s="287">
        <v>0</v>
      </c>
      <c r="T97" s="287">
        <v>0</v>
      </c>
      <c r="U97" s="287">
        <v>0</v>
      </c>
      <c r="V97" s="269">
        <f>+W97-SUM(S97,T97,U97)</f>
        <v>0</v>
      </c>
      <c r="W97" s="287">
        <v>0</v>
      </c>
      <c r="X97" s="283">
        <f>X85</f>
        <v>2400</v>
      </c>
      <c r="Y97" s="112">
        <v>0</v>
      </c>
      <c r="Z97" s="112">
        <v>0</v>
      </c>
      <c r="AA97" s="112">
        <v>0</v>
      </c>
      <c r="AB97" s="112">
        <f>SUM(X97:AA97)</f>
        <v>2400</v>
      </c>
      <c r="AC97" s="112">
        <v>0</v>
      </c>
      <c r="AD97" s="112">
        <v>0</v>
      </c>
      <c r="AE97" s="112">
        <v>0</v>
      </c>
    </row>
    <row r="98" spans="1:31" x14ac:dyDescent="0.2">
      <c r="A98" s="65" t="s">
        <v>255</v>
      </c>
      <c r="B98" s="152">
        <v>0</v>
      </c>
      <c r="C98" s="152">
        <v>0</v>
      </c>
      <c r="D98" s="152">
        <v>0</v>
      </c>
      <c r="E98" s="152">
        <v>0</v>
      </c>
      <c r="F98" s="152">
        <v>0</v>
      </c>
      <c r="G98" s="152">
        <v>0</v>
      </c>
      <c r="H98" s="152">
        <v>0</v>
      </c>
      <c r="I98" s="152">
        <v>0</v>
      </c>
      <c r="J98" s="152">
        <v>0</v>
      </c>
      <c r="K98" s="152">
        <v>0</v>
      </c>
      <c r="L98" s="152">
        <v>0</v>
      </c>
      <c r="M98" s="152">
        <v>0</v>
      </c>
      <c r="N98" s="152">
        <v>0</v>
      </c>
      <c r="O98" s="152">
        <v>0</v>
      </c>
      <c r="P98" s="287">
        <f>O98</f>
        <v>0</v>
      </c>
      <c r="Q98" s="112">
        <f>SUM(L98:O98)</f>
        <v>0</v>
      </c>
      <c r="R98" s="287">
        <f>Q98</f>
        <v>0</v>
      </c>
      <c r="S98" s="287">
        <v>0</v>
      </c>
      <c r="T98" s="287">
        <v>0</v>
      </c>
      <c r="U98" s="287">
        <v>0</v>
      </c>
      <c r="V98" s="269">
        <f>+W98-SUM(S98,T98,U98)</f>
        <v>29185</v>
      </c>
      <c r="W98" s="283">
        <v>29185</v>
      </c>
      <c r="X98" s="283">
        <v>-4836</v>
      </c>
      <c r="Y98" s="112">
        <v>0</v>
      </c>
      <c r="Z98" s="112">
        <v>0</v>
      </c>
      <c r="AA98" s="238">
        <f t="shared" ref="AA98" si="243">+AB98-SUM(X98:Z98)</f>
        <v>-2974</v>
      </c>
      <c r="AB98" s="112">
        <v>-7810</v>
      </c>
      <c r="AC98" s="112">
        <v>0</v>
      </c>
      <c r="AD98" s="112">
        <v>0</v>
      </c>
      <c r="AE98" s="112">
        <v>0</v>
      </c>
    </row>
    <row r="99" spans="1:31" x14ac:dyDescent="0.2">
      <c r="A99" s="65" t="s">
        <v>253</v>
      </c>
      <c r="B99" s="112">
        <v>0</v>
      </c>
      <c r="C99" s="112">
        <v>0</v>
      </c>
      <c r="D99" s="112">
        <v>0</v>
      </c>
      <c r="E99" s="112">
        <v>0</v>
      </c>
      <c r="F99" s="112">
        <v>0</v>
      </c>
      <c r="G99" s="112">
        <v>0</v>
      </c>
      <c r="H99" s="112">
        <v>0</v>
      </c>
      <c r="I99" s="112">
        <v>0</v>
      </c>
      <c r="J99" s="112">
        <v>0</v>
      </c>
      <c r="K99" s="112">
        <v>0</v>
      </c>
      <c r="L99" s="112">
        <v>0</v>
      </c>
      <c r="M99" s="112">
        <v>0</v>
      </c>
      <c r="N99" s="112">
        <v>0</v>
      </c>
      <c r="O99" s="112">
        <v>0</v>
      </c>
      <c r="P99" s="283">
        <v>0</v>
      </c>
      <c r="Q99" s="112">
        <v>0</v>
      </c>
      <c r="R99" s="283">
        <v>0</v>
      </c>
      <c r="S99" s="283">
        <v>0</v>
      </c>
      <c r="T99" s="283">
        <f>T73</f>
        <v>48</v>
      </c>
      <c r="U99" s="283">
        <f>U86</f>
        <v>457</v>
      </c>
      <c r="V99" s="283">
        <f t="shared" ref="V99:Z99" si="244">V73</f>
        <v>321</v>
      </c>
      <c r="W99" s="283">
        <f t="shared" si="244"/>
        <v>826</v>
      </c>
      <c r="X99" s="283">
        <f t="shared" si="244"/>
        <v>363</v>
      </c>
      <c r="Y99" s="347">
        <f t="shared" si="244"/>
        <v>841</v>
      </c>
      <c r="Z99" s="347">
        <f t="shared" si="244"/>
        <v>855</v>
      </c>
      <c r="AA99" s="238">
        <f t="shared" ref="AA99:AA102" si="245">+AB99-SUM(X99:Z99)</f>
        <v>-1014</v>
      </c>
      <c r="AB99" s="347">
        <v>1045</v>
      </c>
      <c r="AC99" s="347">
        <v>0</v>
      </c>
      <c r="AD99" s="347">
        <v>0</v>
      </c>
      <c r="AE99" s="347">
        <v>-761</v>
      </c>
    </row>
    <row r="100" spans="1:31" x14ac:dyDescent="0.2">
      <c r="A100" s="65" t="s">
        <v>246</v>
      </c>
      <c r="B100" s="112"/>
      <c r="C100" s="112"/>
      <c r="D100" s="112"/>
      <c r="E100" s="112"/>
      <c r="F100" s="112">
        <v>0</v>
      </c>
      <c r="G100" s="112"/>
      <c r="H100" s="112"/>
      <c r="I100" s="112"/>
      <c r="J100" s="112"/>
      <c r="K100" s="112">
        <v>0</v>
      </c>
      <c r="L100" s="112"/>
      <c r="M100" s="112"/>
      <c r="N100" s="112"/>
      <c r="O100" s="112"/>
      <c r="P100" s="283"/>
      <c r="Q100" s="112">
        <v>0</v>
      </c>
      <c r="R100" s="283">
        <v>0</v>
      </c>
      <c r="S100" s="283">
        <v>0</v>
      </c>
      <c r="T100" s="283">
        <v>0</v>
      </c>
      <c r="U100" s="283">
        <v>0</v>
      </c>
      <c r="V100" s="283">
        <v>0</v>
      </c>
      <c r="W100" s="283">
        <v>0</v>
      </c>
      <c r="X100" s="283">
        <v>0</v>
      </c>
      <c r="Y100" s="347">
        <v>0</v>
      </c>
      <c r="Z100" s="347">
        <v>0</v>
      </c>
      <c r="AA100" s="238">
        <f t="shared" si="245"/>
        <v>600</v>
      </c>
      <c r="AB100" s="347">
        <v>600</v>
      </c>
      <c r="AC100" s="347">
        <v>600</v>
      </c>
      <c r="AD100" s="347">
        <v>618</v>
      </c>
      <c r="AE100" s="347">
        <v>618</v>
      </c>
    </row>
    <row r="101" spans="1:31" ht="25.5" x14ac:dyDescent="0.2">
      <c r="A101" s="381" t="s">
        <v>259</v>
      </c>
      <c r="B101" s="112"/>
      <c r="C101" s="112"/>
      <c r="D101" s="112"/>
      <c r="E101" s="112"/>
      <c r="F101" s="382">
        <v>0</v>
      </c>
      <c r="G101" s="382"/>
      <c r="H101" s="382"/>
      <c r="I101" s="382"/>
      <c r="J101" s="382"/>
      <c r="K101" s="382">
        <v>0</v>
      </c>
      <c r="L101" s="382"/>
      <c r="M101" s="382"/>
      <c r="N101" s="382"/>
      <c r="O101" s="382"/>
      <c r="P101" s="383"/>
      <c r="Q101" s="382">
        <v>0</v>
      </c>
      <c r="R101" s="383">
        <v>0</v>
      </c>
      <c r="S101" s="383">
        <v>0</v>
      </c>
      <c r="T101" s="383">
        <v>0</v>
      </c>
      <c r="U101" s="383">
        <v>0</v>
      </c>
      <c r="V101" s="383">
        <v>0</v>
      </c>
      <c r="W101" s="383">
        <v>0</v>
      </c>
      <c r="X101" s="383">
        <v>0</v>
      </c>
      <c r="Y101" s="385">
        <v>0</v>
      </c>
      <c r="Z101" s="385">
        <v>0</v>
      </c>
      <c r="AA101" s="385">
        <f>AA87</f>
        <v>20056</v>
      </c>
      <c r="AB101" s="385">
        <f>AB87</f>
        <v>20056</v>
      </c>
      <c r="AC101" s="385">
        <f>AC87</f>
        <v>1227</v>
      </c>
      <c r="AD101" s="385">
        <v>5580</v>
      </c>
      <c r="AE101" s="385">
        <f>AE87</f>
        <v>489</v>
      </c>
    </row>
    <row r="102" spans="1:31" hidden="1" x14ac:dyDescent="0.2">
      <c r="A102" s="65" t="s">
        <v>247</v>
      </c>
      <c r="B102" s="112"/>
      <c r="C102" s="112"/>
      <c r="D102" s="112"/>
      <c r="E102" s="112"/>
      <c r="F102" s="112">
        <v>0</v>
      </c>
      <c r="G102" s="112"/>
      <c r="H102" s="112"/>
      <c r="I102" s="112"/>
      <c r="J102" s="112"/>
      <c r="K102" s="112">
        <v>0</v>
      </c>
      <c r="L102" s="112"/>
      <c r="M102" s="112"/>
      <c r="N102" s="112"/>
      <c r="O102" s="112"/>
      <c r="P102" s="283"/>
      <c r="Q102" s="112">
        <v>0</v>
      </c>
      <c r="R102" s="283">
        <v>0</v>
      </c>
      <c r="S102" s="283"/>
      <c r="T102" s="283"/>
      <c r="U102" s="283"/>
      <c r="V102" s="283"/>
      <c r="W102" s="283">
        <v>0</v>
      </c>
      <c r="X102" s="283">
        <v>0</v>
      </c>
      <c r="Y102" s="347">
        <v>0</v>
      </c>
      <c r="Z102" s="347">
        <v>0</v>
      </c>
      <c r="AA102" s="347">
        <f t="shared" si="245"/>
        <v>0</v>
      </c>
      <c r="AB102" s="347">
        <v>0</v>
      </c>
      <c r="AC102" s="347">
        <v>0</v>
      </c>
      <c r="AD102" s="347">
        <v>0</v>
      </c>
      <c r="AE102" s="347">
        <v>0</v>
      </c>
    </row>
    <row r="103" spans="1:31" x14ac:dyDescent="0.2">
      <c r="A103" s="65" t="s">
        <v>132</v>
      </c>
      <c r="B103" s="30">
        <v>-1596.0031416096554</v>
      </c>
      <c r="C103" s="30">
        <v>-751</v>
      </c>
      <c r="D103" s="30">
        <v>-907</v>
      </c>
      <c r="E103" s="30">
        <v>-951</v>
      </c>
      <c r="F103" s="112">
        <v>-4205</v>
      </c>
      <c r="G103" s="30">
        <v>-1626</v>
      </c>
      <c r="H103" s="30">
        <v>-1320</v>
      </c>
      <c r="I103" s="30">
        <v>-1704</v>
      </c>
      <c r="J103" s="30">
        <v>-1431</v>
      </c>
      <c r="K103" s="112">
        <f>SUM(G103:J103)</f>
        <v>-6081</v>
      </c>
      <c r="L103" s="30">
        <f>-2336+180</f>
        <v>-2156</v>
      </c>
      <c r="M103" s="30">
        <v>-1600</v>
      </c>
      <c r="N103" s="30">
        <v>-1561.4</v>
      </c>
      <c r="O103" s="30">
        <v>-1898.4</v>
      </c>
      <c r="P103" s="269">
        <f t="shared" ref="P103:P106" si="246">O103</f>
        <v>-1898.4</v>
      </c>
      <c r="Q103" s="112">
        <f t="shared" ref="Q103:Q105" si="247">SUM(L103:O103)</f>
        <v>-7215.7999999999993</v>
      </c>
      <c r="R103" s="269">
        <f t="shared" ref="R103:R106" si="248">Q103</f>
        <v>-7215.7999999999993</v>
      </c>
      <c r="S103" s="269">
        <v>-4260.3999999999996</v>
      </c>
      <c r="T103" s="269">
        <v>-3483.4</v>
      </c>
      <c r="U103" s="269">
        <v>-5563.7</v>
      </c>
      <c r="V103" s="269">
        <f>ROUND(+W103-SUM(S103,T103,U103),0)</f>
        <v>-5063</v>
      </c>
      <c r="W103" s="269">
        <v>-18370</v>
      </c>
      <c r="X103" s="269">
        <v>-5913.4848000000002</v>
      </c>
      <c r="Y103" s="28">
        <v>-1891</v>
      </c>
      <c r="Z103" s="28">
        <v>-1460</v>
      </c>
      <c r="AA103" s="238">
        <f>+AB103-SUM(X103:Z103)</f>
        <v>-2836.5151999999998</v>
      </c>
      <c r="AB103" s="28">
        <v>-12101</v>
      </c>
      <c r="AC103" s="28">
        <v>-2481</v>
      </c>
      <c r="AD103" s="28">
        <v>-1571</v>
      </c>
      <c r="AE103" s="28">
        <v>-1790</v>
      </c>
    </row>
    <row r="104" spans="1:31" x14ac:dyDescent="0.2">
      <c r="A104" s="65" t="s">
        <v>211</v>
      </c>
      <c r="B104" s="30">
        <v>-170</v>
      </c>
      <c r="C104" s="30">
        <v>-170</v>
      </c>
      <c r="D104" s="30">
        <v>-191</v>
      </c>
      <c r="E104" s="30">
        <v>-348</v>
      </c>
      <c r="F104" s="112">
        <v>-879</v>
      </c>
      <c r="G104" s="30">
        <v>-433</v>
      </c>
      <c r="H104" s="30">
        <v>-716</v>
      </c>
      <c r="I104" s="30">
        <v>-656</v>
      </c>
      <c r="J104" s="30">
        <v>-679</v>
      </c>
      <c r="K104" s="112">
        <f>SUM(G104:J104)</f>
        <v>-2484</v>
      </c>
      <c r="L104" s="30">
        <v>-720</v>
      </c>
      <c r="M104" s="30">
        <v>-734</v>
      </c>
      <c r="N104" s="30">
        <v>-717.4</v>
      </c>
      <c r="O104" s="30">
        <v>-901.4</v>
      </c>
      <c r="P104" s="269">
        <f t="shared" si="246"/>
        <v>-901.4</v>
      </c>
      <c r="Q104" s="112">
        <f>ROUND(SUM(L104:O104),0)</f>
        <v>-3073</v>
      </c>
      <c r="R104" s="269">
        <f t="shared" si="248"/>
        <v>-3073</v>
      </c>
      <c r="S104" s="269">
        <v>-951</v>
      </c>
      <c r="T104" s="269">
        <v>-948.89</v>
      </c>
      <c r="U104" s="269">
        <v>-942.49</v>
      </c>
      <c r="V104" s="269">
        <f>ROUND(+W104-SUM(S104,T104,U104),0)</f>
        <v>-947</v>
      </c>
      <c r="W104" s="269">
        <v>-3789</v>
      </c>
      <c r="X104" s="269">
        <v>-725.53359999999998</v>
      </c>
      <c r="Y104" s="28">
        <v>-679</v>
      </c>
      <c r="Z104" s="28">
        <v>-1435</v>
      </c>
      <c r="AA104" s="238">
        <f t="shared" ref="AA104" si="249">+AB104-SUM(X104:Z104)</f>
        <v>-1511.4664000000002</v>
      </c>
      <c r="AB104" s="28">
        <v>-4351</v>
      </c>
      <c r="AC104" s="28">
        <v>-1193</v>
      </c>
      <c r="AD104" s="28">
        <v>-1198</v>
      </c>
      <c r="AE104" s="28">
        <v>-1188</v>
      </c>
    </row>
    <row r="105" spans="1:31" x14ac:dyDescent="0.2">
      <c r="A105" s="65" t="s">
        <v>158</v>
      </c>
      <c r="B105" s="30">
        <v>-938.98</v>
      </c>
      <c r="C105" s="30">
        <v>-2173</v>
      </c>
      <c r="D105" s="30">
        <v>-3658</v>
      </c>
      <c r="E105" s="30">
        <v>-3242</v>
      </c>
      <c r="F105" s="112">
        <v>-10012</v>
      </c>
      <c r="G105" s="30">
        <v>0</v>
      </c>
      <c r="H105" s="30">
        <v>0</v>
      </c>
      <c r="I105" s="30">
        <v>0</v>
      </c>
      <c r="J105" s="30">
        <v>0</v>
      </c>
      <c r="K105" s="30">
        <v>0</v>
      </c>
      <c r="L105" s="30">
        <v>0</v>
      </c>
      <c r="M105" s="30">
        <v>0</v>
      </c>
      <c r="N105" s="30">
        <v>0</v>
      </c>
      <c r="O105" s="30">
        <v>0</v>
      </c>
      <c r="P105" s="269">
        <f t="shared" si="246"/>
        <v>0</v>
      </c>
      <c r="Q105" s="112">
        <f t="shared" si="247"/>
        <v>0</v>
      </c>
      <c r="R105" s="269">
        <f t="shared" si="248"/>
        <v>0</v>
      </c>
      <c r="S105" s="269">
        <v>0</v>
      </c>
      <c r="T105" s="269">
        <v>0</v>
      </c>
      <c r="U105" s="269">
        <v>0</v>
      </c>
      <c r="V105" s="269">
        <f>+W105-SUM(S105,T105,U105)</f>
        <v>0</v>
      </c>
      <c r="W105" s="269">
        <v>0</v>
      </c>
      <c r="X105" s="269">
        <v>0</v>
      </c>
      <c r="Y105" s="30">
        <v>0</v>
      </c>
      <c r="Z105" s="30">
        <v>0</v>
      </c>
      <c r="AA105" s="30">
        <v>0</v>
      </c>
      <c r="AB105" s="30">
        <v>0</v>
      </c>
      <c r="AC105" s="30">
        <v>0</v>
      </c>
      <c r="AD105" s="30">
        <v>0</v>
      </c>
      <c r="AE105" s="30">
        <v>0</v>
      </c>
    </row>
    <row r="106" spans="1:31" x14ac:dyDescent="0.2">
      <c r="A106" s="65" t="s">
        <v>172</v>
      </c>
      <c r="B106" s="152"/>
      <c r="C106" s="152"/>
      <c r="D106" s="152"/>
      <c r="E106" s="152"/>
      <c r="F106" s="152">
        <v>0</v>
      </c>
      <c r="G106" s="152"/>
      <c r="H106" s="152"/>
      <c r="I106" s="152"/>
      <c r="J106" s="152"/>
      <c r="K106" s="152">
        <v>0</v>
      </c>
      <c r="L106" s="112">
        <v>-150</v>
      </c>
      <c r="M106" s="112">
        <v>-2365</v>
      </c>
      <c r="N106" s="112">
        <v>0</v>
      </c>
      <c r="O106" s="112">
        <v>0</v>
      </c>
      <c r="P106" s="283">
        <f t="shared" si="246"/>
        <v>0</v>
      </c>
      <c r="Q106" s="112">
        <f>ROUND(SUM(L106:O106),0)</f>
        <v>-2515</v>
      </c>
      <c r="R106" s="283">
        <f t="shared" si="248"/>
        <v>-2515</v>
      </c>
      <c r="S106" s="283">
        <v>0</v>
      </c>
      <c r="T106" s="283">
        <v>0</v>
      </c>
      <c r="U106" s="283">
        <v>0</v>
      </c>
      <c r="V106" s="269">
        <f>+W106-SUM(S106,T106,U106)</f>
        <v>0</v>
      </c>
      <c r="W106" s="283">
        <v>0</v>
      </c>
      <c r="X106" s="283">
        <v>0</v>
      </c>
      <c r="Y106" s="112">
        <v>0</v>
      </c>
      <c r="Z106" s="112">
        <v>0</v>
      </c>
      <c r="AA106" s="112">
        <v>0</v>
      </c>
      <c r="AB106" s="112">
        <v>0</v>
      </c>
      <c r="AC106" s="112">
        <v>0</v>
      </c>
      <c r="AD106" s="112">
        <v>0</v>
      </c>
      <c r="AE106" s="112">
        <v>0</v>
      </c>
    </row>
    <row r="107" spans="1:31" x14ac:dyDescent="0.2">
      <c r="A107" s="65" t="s">
        <v>233</v>
      </c>
      <c r="B107" s="152"/>
      <c r="C107" s="152"/>
      <c r="D107" s="152"/>
      <c r="E107" s="152"/>
      <c r="F107" s="152">
        <v>0</v>
      </c>
      <c r="G107" s="152"/>
      <c r="H107" s="152"/>
      <c r="I107" s="152"/>
      <c r="J107" s="152"/>
      <c r="K107" s="152">
        <v>0</v>
      </c>
      <c r="L107" s="112"/>
      <c r="M107" s="112"/>
      <c r="N107" s="112"/>
      <c r="O107" s="112"/>
      <c r="P107" s="283"/>
      <c r="Q107" s="112">
        <v>0</v>
      </c>
      <c r="R107" s="283">
        <v>0</v>
      </c>
      <c r="S107" s="283">
        <v>0</v>
      </c>
      <c r="T107" s="283">
        <v>0</v>
      </c>
      <c r="U107" s="283">
        <v>0</v>
      </c>
      <c r="V107" s="269">
        <v>0</v>
      </c>
      <c r="W107" s="283">
        <v>0</v>
      </c>
      <c r="X107" s="283">
        <f>-X97*25.5%</f>
        <v>-612</v>
      </c>
      <c r="Y107" s="112">
        <v>0</v>
      </c>
      <c r="Z107" s="112">
        <v>0</v>
      </c>
      <c r="AA107" s="112">
        <v>0</v>
      </c>
      <c r="AB107" s="112">
        <f>SUM(X107:AA107)</f>
        <v>-612</v>
      </c>
      <c r="AC107" s="112">
        <v>0</v>
      </c>
      <c r="AD107" s="112">
        <v>0</v>
      </c>
      <c r="AE107" s="112">
        <v>0</v>
      </c>
    </row>
    <row r="108" spans="1:31" x14ac:dyDescent="0.2">
      <c r="A108" s="65" t="s">
        <v>254</v>
      </c>
      <c r="B108" s="112">
        <v>0</v>
      </c>
      <c r="C108" s="112">
        <v>0</v>
      </c>
      <c r="D108" s="112">
        <v>0</v>
      </c>
      <c r="E108" s="112">
        <v>0</v>
      </c>
      <c r="F108" s="112">
        <v>0</v>
      </c>
      <c r="G108" s="112">
        <v>0</v>
      </c>
      <c r="H108" s="112">
        <v>0</v>
      </c>
      <c r="I108" s="112">
        <v>0</v>
      </c>
      <c r="J108" s="112">
        <v>0</v>
      </c>
      <c r="K108" s="112">
        <v>0</v>
      </c>
      <c r="L108" s="112">
        <v>0</v>
      </c>
      <c r="M108" s="112">
        <v>0</v>
      </c>
      <c r="N108" s="112">
        <v>0</v>
      </c>
      <c r="O108" s="112">
        <v>0</v>
      </c>
      <c r="P108" s="283">
        <v>0</v>
      </c>
      <c r="Q108" s="112">
        <v>0</v>
      </c>
      <c r="R108" s="283">
        <v>0</v>
      </c>
      <c r="S108" s="283">
        <v>0</v>
      </c>
      <c r="T108" s="283">
        <f>-ROUND(T99*40%,0)</f>
        <v>-19</v>
      </c>
      <c r="U108" s="283">
        <f>-ROUND(U99*40%,0)</f>
        <v>-183</v>
      </c>
      <c r="V108" s="283">
        <f>-ROUND(V99*40%,0)</f>
        <v>-128</v>
      </c>
      <c r="W108" s="283">
        <f>-ROUND(W99*40%,0)</f>
        <v>-330</v>
      </c>
      <c r="X108" s="283">
        <v>-38</v>
      </c>
      <c r="Y108" s="347">
        <v>-12</v>
      </c>
      <c r="Z108" s="347">
        <v>-218</v>
      </c>
      <c r="AA108" s="238">
        <f t="shared" ref="AA108:AA112" si="250">+AB108-SUM(X108:Z108)</f>
        <v>253</v>
      </c>
      <c r="AB108" s="112">
        <v>-15</v>
      </c>
      <c r="AC108" s="112">
        <v>0</v>
      </c>
      <c r="AD108" s="112">
        <v>0</v>
      </c>
      <c r="AE108" s="112">
        <v>186</v>
      </c>
    </row>
    <row r="109" spans="1:31" x14ac:dyDescent="0.2">
      <c r="A109" s="65" t="s">
        <v>248</v>
      </c>
      <c r="B109" s="112"/>
      <c r="C109" s="112"/>
      <c r="D109" s="112"/>
      <c r="E109" s="112"/>
      <c r="F109" s="112">
        <v>0</v>
      </c>
      <c r="G109" s="112"/>
      <c r="H109" s="112"/>
      <c r="I109" s="112"/>
      <c r="J109" s="112"/>
      <c r="K109" s="112">
        <v>0</v>
      </c>
      <c r="L109" s="112"/>
      <c r="M109" s="112"/>
      <c r="N109" s="112"/>
      <c r="O109" s="112"/>
      <c r="P109" s="283"/>
      <c r="Q109" s="112">
        <v>0</v>
      </c>
      <c r="R109" s="283">
        <v>0</v>
      </c>
      <c r="S109" s="283">
        <v>0</v>
      </c>
      <c r="T109" s="283">
        <v>0</v>
      </c>
      <c r="U109" s="283">
        <v>0</v>
      </c>
      <c r="V109" s="283">
        <v>0</v>
      </c>
      <c r="W109" s="283">
        <v>0</v>
      </c>
      <c r="X109" s="283">
        <v>0</v>
      </c>
      <c r="Y109" s="347">
        <v>0</v>
      </c>
      <c r="Z109" s="347">
        <v>0</v>
      </c>
      <c r="AA109" s="238">
        <f t="shared" si="250"/>
        <v>-150</v>
      </c>
      <c r="AB109" s="112">
        <v>-150</v>
      </c>
      <c r="AC109" s="112">
        <v>-147</v>
      </c>
      <c r="AD109" s="112">
        <v>-150</v>
      </c>
      <c r="AE109" s="112">
        <v>-150</v>
      </c>
    </row>
    <row r="110" spans="1:31" x14ac:dyDescent="0.2">
      <c r="A110" s="65" t="s">
        <v>264</v>
      </c>
      <c r="B110" s="112"/>
      <c r="C110" s="112"/>
      <c r="D110" s="112"/>
      <c r="E110" s="112"/>
      <c r="F110" s="112">
        <v>0</v>
      </c>
      <c r="G110" s="112"/>
      <c r="H110" s="112"/>
      <c r="I110" s="112"/>
      <c r="J110" s="112"/>
      <c r="K110" s="112">
        <v>0</v>
      </c>
      <c r="L110" s="112"/>
      <c r="M110" s="112"/>
      <c r="N110" s="112"/>
      <c r="O110" s="112"/>
      <c r="P110" s="283"/>
      <c r="Q110" s="112">
        <v>0</v>
      </c>
      <c r="R110" s="283">
        <v>0</v>
      </c>
      <c r="S110" s="283">
        <v>0</v>
      </c>
      <c r="T110" s="283">
        <v>0</v>
      </c>
      <c r="U110" s="283">
        <v>0</v>
      </c>
      <c r="V110" s="283">
        <v>0</v>
      </c>
      <c r="W110" s="283">
        <v>0</v>
      </c>
      <c r="X110" s="283">
        <v>0</v>
      </c>
      <c r="Y110" s="347">
        <v>0</v>
      </c>
      <c r="Z110" s="347">
        <v>0</v>
      </c>
      <c r="AA110" s="238">
        <f t="shared" si="250"/>
        <v>0</v>
      </c>
      <c r="AB110" s="112">
        <v>0</v>
      </c>
      <c r="AC110" s="112">
        <v>0</v>
      </c>
      <c r="AD110" s="112">
        <v>-1471</v>
      </c>
      <c r="AE110" s="112">
        <v>0</v>
      </c>
    </row>
    <row r="111" spans="1:31" ht="25.5" x14ac:dyDescent="0.2">
      <c r="A111" s="381" t="s">
        <v>260</v>
      </c>
      <c r="B111" s="112"/>
      <c r="C111" s="112"/>
      <c r="D111" s="112"/>
      <c r="E111" s="112"/>
      <c r="F111" s="382">
        <v>0</v>
      </c>
      <c r="G111" s="382"/>
      <c r="H111" s="382"/>
      <c r="I111" s="382"/>
      <c r="J111" s="382"/>
      <c r="K111" s="382">
        <v>0</v>
      </c>
      <c r="L111" s="382"/>
      <c r="M111" s="382"/>
      <c r="N111" s="382"/>
      <c r="O111" s="382"/>
      <c r="P111" s="383"/>
      <c r="Q111" s="382">
        <v>0</v>
      </c>
      <c r="R111" s="383">
        <v>0</v>
      </c>
      <c r="S111" s="383">
        <v>0</v>
      </c>
      <c r="T111" s="383">
        <v>0</v>
      </c>
      <c r="U111" s="383">
        <v>0</v>
      </c>
      <c r="V111" s="383">
        <v>0</v>
      </c>
      <c r="W111" s="383">
        <v>0</v>
      </c>
      <c r="X111" s="383">
        <v>0</v>
      </c>
      <c r="Y111" s="385">
        <v>0</v>
      </c>
      <c r="Z111" s="385">
        <v>0</v>
      </c>
      <c r="AA111" s="387">
        <f t="shared" si="250"/>
        <v>-3072</v>
      </c>
      <c r="AB111" s="382">
        <v>-3072</v>
      </c>
      <c r="AC111" s="382">
        <f>-AC101*24.5%</f>
        <v>-300.61500000000001</v>
      </c>
      <c r="AD111" s="382">
        <v>-1367</v>
      </c>
      <c r="AE111" s="382">
        <v>-120</v>
      </c>
    </row>
    <row r="112" spans="1:31" hidden="1" x14ac:dyDescent="0.2">
      <c r="A112" s="65" t="s">
        <v>252</v>
      </c>
      <c r="B112" s="112"/>
      <c r="C112" s="112"/>
      <c r="D112" s="112"/>
      <c r="E112" s="112"/>
      <c r="F112" s="112">
        <v>0</v>
      </c>
      <c r="G112" s="112"/>
      <c r="H112" s="112"/>
      <c r="I112" s="112"/>
      <c r="J112" s="112"/>
      <c r="K112" s="112">
        <v>0</v>
      </c>
      <c r="L112" s="112"/>
      <c r="M112" s="112"/>
      <c r="N112" s="112"/>
      <c r="O112" s="112"/>
      <c r="P112" s="283"/>
      <c r="Q112" s="112">
        <v>0</v>
      </c>
      <c r="R112" s="283">
        <v>0</v>
      </c>
      <c r="S112" s="283">
        <v>0</v>
      </c>
      <c r="T112" s="283">
        <v>0</v>
      </c>
      <c r="U112" s="283">
        <v>0</v>
      </c>
      <c r="V112" s="283">
        <v>0</v>
      </c>
      <c r="W112" s="283">
        <v>0</v>
      </c>
      <c r="X112" s="283">
        <v>0</v>
      </c>
      <c r="Y112" s="347">
        <v>0</v>
      </c>
      <c r="Z112" s="347">
        <v>0</v>
      </c>
      <c r="AA112" s="238">
        <f t="shared" si="250"/>
        <v>0</v>
      </c>
      <c r="AB112" s="112">
        <v>0</v>
      </c>
      <c r="AC112" s="112">
        <v>0</v>
      </c>
      <c r="AD112" s="112">
        <v>0</v>
      </c>
      <c r="AE112" s="112">
        <v>0</v>
      </c>
    </row>
    <row r="113" spans="1:33" x14ac:dyDescent="0.2">
      <c r="A113" s="61" t="s">
        <v>137</v>
      </c>
      <c r="B113" s="113">
        <f t="shared" ref="B113:AD113" si="251">SUM(B93:B112)</f>
        <v>16625.392258390344</v>
      </c>
      <c r="C113" s="113">
        <f t="shared" si="251"/>
        <v>13840.984799999998</v>
      </c>
      <c r="D113" s="113">
        <f t="shared" si="251"/>
        <v>14762</v>
      </c>
      <c r="E113" s="113">
        <f t="shared" si="251"/>
        <v>16102</v>
      </c>
      <c r="F113" s="113">
        <f t="shared" si="251"/>
        <v>61330</v>
      </c>
      <c r="G113" s="113">
        <f t="shared" si="251"/>
        <v>13822</v>
      </c>
      <c r="H113" s="113">
        <f t="shared" si="251"/>
        <v>16399</v>
      </c>
      <c r="I113" s="113">
        <f t="shared" si="251"/>
        <v>19915</v>
      </c>
      <c r="J113" s="113">
        <f t="shared" si="251"/>
        <v>19136.694539124281</v>
      </c>
      <c r="K113" s="113">
        <f t="shared" si="251"/>
        <v>69273</v>
      </c>
      <c r="L113" s="113">
        <f t="shared" si="251"/>
        <v>19317.847050520548</v>
      </c>
      <c r="M113" s="113">
        <f t="shared" si="251"/>
        <v>18844</v>
      </c>
      <c r="N113" s="113">
        <f t="shared" si="251"/>
        <v>21103.199999999997</v>
      </c>
      <c r="O113" s="113">
        <f t="shared" si="251"/>
        <v>21307.523038071638</v>
      </c>
      <c r="P113" s="267">
        <f t="shared" si="251"/>
        <v>21307.616108104459</v>
      </c>
      <c r="Q113" s="113">
        <f t="shared" si="251"/>
        <v>80572.370088592186</v>
      </c>
      <c r="R113" s="267">
        <f t="shared" si="251"/>
        <v>80572.473917740179</v>
      </c>
      <c r="S113" s="267">
        <f t="shared" si="251"/>
        <v>21030.6</v>
      </c>
      <c r="T113" s="267">
        <f t="shared" si="251"/>
        <v>24588.71</v>
      </c>
      <c r="U113" s="267">
        <f t="shared" si="251"/>
        <v>24039.809999999998</v>
      </c>
      <c r="V113" s="267">
        <f t="shared" si="251"/>
        <v>23766</v>
      </c>
      <c r="W113" s="267">
        <f t="shared" si="251"/>
        <v>93426</v>
      </c>
      <c r="X113" s="267">
        <f t="shared" si="251"/>
        <v>22816.981600000003</v>
      </c>
      <c r="Y113" s="113">
        <f t="shared" si="251"/>
        <v>23375</v>
      </c>
      <c r="Z113" s="113">
        <f t="shared" si="251"/>
        <v>25053</v>
      </c>
      <c r="AA113" s="113">
        <f t="shared" si="251"/>
        <v>25749.018399999997</v>
      </c>
      <c r="AB113" s="113">
        <f t="shared" si="251"/>
        <v>96994</v>
      </c>
      <c r="AC113" s="113">
        <f t="shared" si="251"/>
        <v>24884.384999999998</v>
      </c>
      <c r="AD113" s="113">
        <f t="shared" si="251"/>
        <v>25714</v>
      </c>
      <c r="AE113" s="113">
        <f t="shared" ref="AE113" si="252">SUM(AE93:AE112)</f>
        <v>29257</v>
      </c>
      <c r="AG113" s="27"/>
    </row>
    <row r="114" spans="1:33" x14ac:dyDescent="0.2">
      <c r="A114" s="116" t="s">
        <v>138</v>
      </c>
      <c r="B114" s="111">
        <f t="shared" ref="B114:AD114" si="253">IF(B113/B66&lt;0, "NM",B113/B66)</f>
        <v>0.13378659235193568</v>
      </c>
      <c r="C114" s="111">
        <f t="shared" si="253"/>
        <v>0.11032541129957912</v>
      </c>
      <c r="D114" s="111">
        <f t="shared" si="253"/>
        <v>0.11176305807711817</v>
      </c>
      <c r="E114" s="111">
        <f t="shared" si="253"/>
        <v>0.11196095064595531</v>
      </c>
      <c r="F114" s="111">
        <f t="shared" si="253"/>
        <v>0.11668014268727706</v>
      </c>
      <c r="G114" s="111">
        <f t="shared" si="253"/>
        <v>9.6313845725036581E-2</v>
      </c>
      <c r="H114" s="111">
        <f t="shared" si="253"/>
        <v>0.10537780890753819</v>
      </c>
      <c r="I114" s="111">
        <f t="shared" si="253"/>
        <v>0.12180204644563097</v>
      </c>
      <c r="J114" s="111">
        <f t="shared" si="253"/>
        <v>0.11537999095083916</v>
      </c>
      <c r="K114" s="111">
        <f t="shared" si="253"/>
        <v>0.11022097337754498</v>
      </c>
      <c r="L114" s="111">
        <f t="shared" si="253"/>
        <v>0.11565080013003513</v>
      </c>
      <c r="M114" s="111">
        <f t="shared" si="253"/>
        <v>0.1105362568777203</v>
      </c>
      <c r="N114" s="111">
        <f t="shared" si="253"/>
        <v>0.1232663551401869</v>
      </c>
      <c r="O114" s="111">
        <f t="shared" si="253"/>
        <v>0.12019542086302355</v>
      </c>
      <c r="P114" s="286">
        <f t="shared" si="253"/>
        <v>0.12019594586969583</v>
      </c>
      <c r="Q114" s="111">
        <f t="shared" si="253"/>
        <v>0.11745448912895297</v>
      </c>
      <c r="R114" s="286">
        <f t="shared" si="253"/>
        <v>0.11745464048604375</v>
      </c>
      <c r="S114" s="286">
        <f t="shared" si="253"/>
        <v>0.11490059169657929</v>
      </c>
      <c r="T114" s="286">
        <f t="shared" si="253"/>
        <v>0.13005977033381466</v>
      </c>
      <c r="U114" s="286">
        <f t="shared" si="253"/>
        <v>0.12498276534352334</v>
      </c>
      <c r="V114" s="286">
        <f t="shared" si="253"/>
        <v>0.12010612760581175</v>
      </c>
      <c r="W114" s="286">
        <f t="shared" si="253"/>
        <v>0.122556440293319</v>
      </c>
      <c r="X114" s="286">
        <f t="shared" si="253"/>
        <v>0.11024134355688908</v>
      </c>
      <c r="Y114" s="111">
        <f t="shared" si="253"/>
        <v>0.11125019037465733</v>
      </c>
      <c r="Z114" s="111">
        <f t="shared" si="253"/>
        <v>0.10839635866461293</v>
      </c>
      <c r="AA114" s="111">
        <f t="shared" si="253"/>
        <v>0.10961553662575615</v>
      </c>
      <c r="AB114" s="111">
        <f t="shared" si="253"/>
        <v>0.10983204848309161</v>
      </c>
      <c r="AC114" s="111">
        <f t="shared" si="253"/>
        <v>0.10386973907744194</v>
      </c>
      <c r="AD114" s="111">
        <f t="shared" si="253"/>
        <v>0.10559773971393255</v>
      </c>
      <c r="AE114" s="111">
        <f t="shared" ref="AE114" si="254">IF(AE113/AE66&lt;0, "NM",AE113/AE66)</f>
        <v>0.11637999618126273</v>
      </c>
    </row>
    <row r="115" spans="1:33" ht="6" customHeight="1" x14ac:dyDescent="0.2">
      <c r="A115" s="116"/>
      <c r="B115" s="111"/>
      <c r="C115" s="111"/>
      <c r="D115" s="111"/>
      <c r="E115" s="111"/>
      <c r="F115" s="111"/>
      <c r="G115" s="111"/>
      <c r="H115" s="111"/>
      <c r="I115" s="111"/>
      <c r="J115" s="111"/>
      <c r="K115" s="111"/>
      <c r="L115" s="111"/>
      <c r="M115" s="111"/>
      <c r="N115" s="111"/>
      <c r="O115" s="111"/>
      <c r="P115" s="286"/>
      <c r="Q115" s="111"/>
      <c r="R115" s="286"/>
      <c r="S115" s="286"/>
      <c r="T115" s="266"/>
      <c r="U115" s="266"/>
      <c r="V115" s="266"/>
      <c r="W115" s="266"/>
      <c r="X115" s="266"/>
    </row>
    <row r="116" spans="1:33" x14ac:dyDescent="0.2">
      <c r="A116" s="117" t="s">
        <v>139</v>
      </c>
      <c r="B116" s="115">
        <f>B113/B61</f>
        <v>0.49734119730310444</v>
      </c>
      <c r="C116" s="115">
        <f>C113/C61</f>
        <v>0.41103286749878409</v>
      </c>
      <c r="D116" s="115">
        <f>D113/D61</f>
        <v>0.43834506517307553</v>
      </c>
      <c r="E116" s="115">
        <f>E113/E61</f>
        <v>0.47693431972998951</v>
      </c>
      <c r="F116" s="115">
        <f>F113/F61</f>
        <v>1.8233119114294594</v>
      </c>
      <c r="G116" s="115">
        <f t="shared" ref="G116:U116" si="255">ROUND(G113/G61,2)</f>
        <v>0.41</v>
      </c>
      <c r="H116" s="115">
        <f t="shared" si="255"/>
        <v>0.48</v>
      </c>
      <c r="I116" s="115">
        <f t="shared" si="255"/>
        <v>0.57999999999999996</v>
      </c>
      <c r="J116" s="115">
        <f t="shared" si="255"/>
        <v>0.56000000000000005</v>
      </c>
      <c r="K116" s="115">
        <f t="shared" si="255"/>
        <v>2.0299999999999998</v>
      </c>
      <c r="L116" s="115">
        <f t="shared" si="255"/>
        <v>0.56000000000000005</v>
      </c>
      <c r="M116" s="115">
        <f t="shared" si="255"/>
        <v>0.55000000000000004</v>
      </c>
      <c r="N116" s="115">
        <f t="shared" si="255"/>
        <v>0.61</v>
      </c>
      <c r="O116" s="115">
        <f t="shared" si="255"/>
        <v>0.61</v>
      </c>
      <c r="P116" s="288">
        <f t="shared" si="255"/>
        <v>0.61</v>
      </c>
      <c r="Q116" s="115">
        <f t="shared" si="255"/>
        <v>2.33</v>
      </c>
      <c r="R116" s="288">
        <f t="shared" si="255"/>
        <v>2.33</v>
      </c>
      <c r="S116" s="288">
        <f t="shared" si="255"/>
        <v>0.6</v>
      </c>
      <c r="T116" s="288">
        <f t="shared" si="255"/>
        <v>0.7</v>
      </c>
      <c r="U116" s="288">
        <f t="shared" si="255"/>
        <v>0.69</v>
      </c>
      <c r="V116" s="288">
        <f>ROUND(V113/35293,2)</f>
        <v>0.67</v>
      </c>
      <c r="W116" s="288">
        <f t="shared" ref="W116:AD116" si="256">ROUND(W113/W61,2)</f>
        <v>2.66</v>
      </c>
      <c r="X116" s="288">
        <f t="shared" si="256"/>
        <v>0.65</v>
      </c>
      <c r="Y116" s="345">
        <f t="shared" si="256"/>
        <v>0.67</v>
      </c>
      <c r="Z116" s="345">
        <f t="shared" si="256"/>
        <v>0.71</v>
      </c>
      <c r="AA116" s="345">
        <f t="shared" si="256"/>
        <v>0.74</v>
      </c>
      <c r="AB116" s="115">
        <f t="shared" si="256"/>
        <v>2.77</v>
      </c>
      <c r="AC116" s="115">
        <f t="shared" si="256"/>
        <v>0.71</v>
      </c>
      <c r="AD116" s="115">
        <f t="shared" si="256"/>
        <v>0.74</v>
      </c>
      <c r="AE116" s="115">
        <f t="shared" ref="AE116" si="257">ROUND(AE113/AE61,2)</f>
        <v>0.84</v>
      </c>
    </row>
    <row r="117" spans="1:33" x14ac:dyDescent="0.2">
      <c r="A117" s="123" t="s">
        <v>134</v>
      </c>
      <c r="B117" s="92">
        <v>-0.11088791426199029</v>
      </c>
      <c r="C117" s="92">
        <f>C116/B116-1</f>
        <v>-0.17353947405189474</v>
      </c>
      <c r="D117" s="92">
        <f>D116/C116-1</f>
        <v>6.6447721907232138E-2</v>
      </c>
      <c r="E117" s="173">
        <f>E116/D116-1</f>
        <v>8.8033965984486429E-2</v>
      </c>
      <c r="F117" s="91" t="s">
        <v>84</v>
      </c>
      <c r="G117" s="175">
        <v>-0.14892063905531283</v>
      </c>
      <c r="H117" s="92">
        <v>0.18100243257226545</v>
      </c>
      <c r="I117" s="92">
        <v>0.21540427937079643</v>
      </c>
      <c r="J117" s="173">
        <v>-4.1663509615308514E-2</v>
      </c>
      <c r="K117" s="91" t="s">
        <v>84</v>
      </c>
      <c r="L117" s="175">
        <f>L116/J116-1</f>
        <v>0</v>
      </c>
      <c r="M117" s="92">
        <f>M116/L116-1</f>
        <v>-1.7857142857142905E-2</v>
      </c>
      <c r="N117" s="92">
        <f>N116/M116-1</f>
        <v>0.10909090909090891</v>
      </c>
      <c r="O117" s="92">
        <f>O116/N116-1</f>
        <v>0</v>
      </c>
      <c r="P117" s="289">
        <f>P116/N116-1</f>
        <v>0</v>
      </c>
      <c r="Q117" s="91" t="s">
        <v>84</v>
      </c>
      <c r="R117" s="314" t="s">
        <v>84</v>
      </c>
      <c r="S117" s="289">
        <f>S116/O116-1</f>
        <v>-1.6393442622950838E-2</v>
      </c>
      <c r="T117" s="289">
        <f>T116/S116-1</f>
        <v>0.16666666666666674</v>
      </c>
      <c r="U117" s="289">
        <f>U116/T116-1</f>
        <v>-1.4285714285714346E-2</v>
      </c>
      <c r="V117" s="289">
        <f>V116/U116-1</f>
        <v>-2.8985507246376718E-2</v>
      </c>
      <c r="W117" s="314" t="s">
        <v>84</v>
      </c>
      <c r="X117" s="289">
        <f>X116/V116-1</f>
        <v>-2.9850746268656692E-2</v>
      </c>
      <c r="Y117" s="91">
        <f>Y116/X116-1</f>
        <v>3.0769230769230882E-2</v>
      </c>
      <c r="Z117" s="91">
        <f>Z116/Y116-1</f>
        <v>5.9701492537313383E-2</v>
      </c>
      <c r="AA117" s="91">
        <f>AA116/Z116-1</f>
        <v>4.2253521126760507E-2</v>
      </c>
      <c r="AB117" s="91" t="s">
        <v>84</v>
      </c>
      <c r="AC117" s="175">
        <f>AC116/AA116-1</f>
        <v>-4.0540540540540571E-2</v>
      </c>
      <c r="AD117" s="175">
        <f>AD116/AC116-1</f>
        <v>4.2253521126760507E-2</v>
      </c>
      <c r="AE117" s="175">
        <f>AE116/AD116-1</f>
        <v>0.13513513513513509</v>
      </c>
    </row>
    <row r="118" spans="1:33" x14ac:dyDescent="0.2">
      <c r="A118" s="122" t="s">
        <v>135</v>
      </c>
      <c r="B118" s="34">
        <v>0.2465134230832069</v>
      </c>
      <c r="C118" s="34">
        <v>0.12229612182012661</v>
      </c>
      <c r="D118" s="34">
        <v>-9.4654752633474337E-2</v>
      </c>
      <c r="E118" s="34">
        <v>-0.14736991410600198</v>
      </c>
      <c r="F118" s="34">
        <v>8.0612656067211574E-3</v>
      </c>
      <c r="G118" s="34">
        <v>-0.18384208215711628</v>
      </c>
      <c r="H118" s="34">
        <v>0.16628012599852182</v>
      </c>
      <c r="I118" s="34">
        <v>0.32918081867966165</v>
      </c>
      <c r="J118" s="34">
        <v>0.17073779007215339</v>
      </c>
      <c r="K118" s="34">
        <v>0.1116025876561515</v>
      </c>
      <c r="L118" s="34">
        <f t="shared" ref="L118" si="258">L116/G116-1</f>
        <v>0.36585365853658547</v>
      </c>
      <c r="M118" s="34">
        <f>M116/H116-1</f>
        <v>0.14583333333333348</v>
      </c>
      <c r="N118" s="34">
        <f>N116/I116-1</f>
        <v>5.1724137931034475E-2</v>
      </c>
      <c r="O118" s="34">
        <f>O116/J116-1</f>
        <v>8.9285714285714191E-2</v>
      </c>
      <c r="P118" s="268">
        <f>P116/J116-1</f>
        <v>8.9285714285714191E-2</v>
      </c>
      <c r="Q118" s="34">
        <f>Q116/K116-1</f>
        <v>0.14778325123152714</v>
      </c>
      <c r="R118" s="268">
        <f>R116/K116-1</f>
        <v>0.14778325123152714</v>
      </c>
      <c r="S118" s="268">
        <f>S116/L116-1</f>
        <v>7.1428571428571397E-2</v>
      </c>
      <c r="T118" s="268">
        <f>T116/M116-1</f>
        <v>0.27272727272727249</v>
      </c>
      <c r="U118" s="268">
        <f>U116/O116-1</f>
        <v>0.13114754098360648</v>
      </c>
      <c r="V118" s="268">
        <f>V116/P116-1</f>
        <v>9.8360655737705027E-2</v>
      </c>
      <c r="W118" s="268">
        <f t="shared" ref="W118:AE118" si="259">W116/R116-1</f>
        <v>0.14163090128755362</v>
      </c>
      <c r="X118" s="268">
        <f t="shared" si="259"/>
        <v>8.3333333333333481E-2</v>
      </c>
      <c r="Y118" s="35">
        <f t="shared" si="259"/>
        <v>-4.2857142857142705E-2</v>
      </c>
      <c r="Z118" s="35">
        <f t="shared" si="259"/>
        <v>2.898550724637694E-2</v>
      </c>
      <c r="AA118" s="35">
        <f t="shared" si="259"/>
        <v>0.10447761194029836</v>
      </c>
      <c r="AB118" s="34">
        <f t="shared" si="259"/>
        <v>4.1353383458646586E-2</v>
      </c>
      <c r="AC118" s="34">
        <f t="shared" si="259"/>
        <v>9.2307692307692202E-2</v>
      </c>
      <c r="AD118" s="34">
        <f t="shared" si="259"/>
        <v>0.10447761194029836</v>
      </c>
      <c r="AE118" s="34">
        <f t="shared" si="259"/>
        <v>0.18309859154929575</v>
      </c>
    </row>
    <row r="119" spans="1:33" x14ac:dyDescent="0.2">
      <c r="A119" s="122"/>
      <c r="B119" s="34"/>
      <c r="C119" s="34"/>
      <c r="D119" s="34"/>
      <c r="E119" s="34"/>
      <c r="F119" s="34"/>
      <c r="G119" s="34"/>
      <c r="H119" s="34"/>
      <c r="I119" s="34"/>
      <c r="J119" s="34"/>
      <c r="K119" s="34"/>
      <c r="L119" s="34"/>
      <c r="M119" s="34"/>
      <c r="N119" s="34"/>
      <c r="O119" s="34"/>
      <c r="P119" s="162"/>
      <c r="Q119" s="162"/>
      <c r="R119" s="162"/>
      <c r="S119" s="162"/>
      <c r="T119" s="264"/>
      <c r="U119" s="264"/>
      <c r="V119" s="264"/>
      <c r="W119" s="264"/>
      <c r="X119" s="264"/>
    </row>
    <row r="120" spans="1:33" x14ac:dyDescent="0.2">
      <c r="A120" s="151" t="s">
        <v>152</v>
      </c>
      <c r="B120" s="2"/>
      <c r="C120" s="2"/>
      <c r="D120" s="2"/>
      <c r="E120" s="2"/>
      <c r="F120" s="42"/>
      <c r="G120" s="2"/>
      <c r="H120" s="2"/>
      <c r="I120" s="2"/>
      <c r="J120" s="2"/>
      <c r="K120" s="42"/>
      <c r="L120" s="2"/>
      <c r="M120" s="2"/>
      <c r="N120" s="2"/>
      <c r="O120" s="2"/>
      <c r="P120" s="316"/>
      <c r="Q120" s="317"/>
      <c r="R120" s="316"/>
      <c r="S120" s="316"/>
      <c r="T120" s="31"/>
      <c r="U120" s="31"/>
      <c r="V120" s="31"/>
      <c r="W120" s="31"/>
      <c r="X120" s="31"/>
    </row>
    <row r="121" spans="1:33" x14ac:dyDescent="0.2">
      <c r="A121" s="151"/>
      <c r="B121" s="2"/>
      <c r="C121" s="2"/>
      <c r="D121" s="2"/>
      <c r="E121" s="2"/>
      <c r="F121" s="42"/>
      <c r="G121" s="2"/>
      <c r="H121" s="2"/>
      <c r="I121" s="2"/>
      <c r="J121" s="2"/>
      <c r="K121" s="42"/>
      <c r="L121" s="2"/>
      <c r="M121" s="2"/>
      <c r="N121" s="2"/>
      <c r="O121" s="2"/>
      <c r="P121" s="316"/>
      <c r="Q121" s="317"/>
      <c r="R121" s="316"/>
      <c r="S121" s="316"/>
      <c r="T121" s="31"/>
      <c r="U121" s="31"/>
      <c r="V121" s="329"/>
      <c r="W121" s="329"/>
      <c r="X121" s="329"/>
    </row>
    <row r="122" spans="1:33" ht="14.25" x14ac:dyDescent="0.2">
      <c r="A122" s="315" t="s">
        <v>241</v>
      </c>
      <c r="B122" s="315"/>
      <c r="C122" s="315"/>
      <c r="D122" s="315"/>
      <c r="E122" s="315"/>
      <c r="F122" s="315"/>
      <c r="G122" s="315"/>
      <c r="H122" s="315"/>
      <c r="I122" s="315"/>
      <c r="J122" s="315"/>
      <c r="K122" s="315"/>
      <c r="L122" s="315"/>
      <c r="M122" s="315"/>
      <c r="N122" s="315"/>
      <c r="O122" s="315"/>
      <c r="P122" s="318"/>
      <c r="Q122" s="318"/>
      <c r="R122" s="318"/>
      <c r="S122" s="318"/>
      <c r="T122" s="318"/>
      <c r="U122" s="318"/>
      <c r="V122" s="318"/>
      <c r="W122" s="318"/>
      <c r="X122" s="318"/>
      <c r="Y122" s="315"/>
      <c r="Z122" s="315"/>
      <c r="AA122" s="315"/>
      <c r="AB122" s="315"/>
      <c r="AC122" s="315"/>
      <c r="AD122" s="315"/>
      <c r="AE122" s="315"/>
    </row>
    <row r="123" spans="1:33" x14ac:dyDescent="0.2">
      <c r="A123" s="151" t="s">
        <v>236</v>
      </c>
      <c r="B123" s="2"/>
      <c r="C123" s="2"/>
      <c r="D123" s="2"/>
      <c r="E123" s="2"/>
      <c r="F123" s="42"/>
      <c r="G123" s="2"/>
      <c r="H123" s="2"/>
      <c r="I123" s="2"/>
      <c r="J123" s="2"/>
      <c r="K123" s="42"/>
      <c r="L123" s="2"/>
      <c r="M123" s="2"/>
      <c r="N123" s="2"/>
      <c r="O123" s="2"/>
      <c r="P123" s="316"/>
      <c r="Q123" s="317"/>
      <c r="R123" s="316"/>
      <c r="S123" s="316"/>
      <c r="T123" s="31"/>
      <c r="U123" s="31"/>
      <c r="V123" s="31"/>
      <c r="W123" s="31"/>
      <c r="X123" s="31"/>
    </row>
    <row r="124" spans="1:33" ht="22.5" customHeight="1" x14ac:dyDescent="0.2">
      <c r="A124" s="151" t="s">
        <v>242</v>
      </c>
      <c r="B124" s="2"/>
      <c r="C124" s="2"/>
      <c r="D124" s="2"/>
      <c r="E124" s="2"/>
      <c r="F124" s="42"/>
      <c r="G124" s="2"/>
      <c r="H124" s="2"/>
      <c r="I124" s="2"/>
      <c r="J124" s="2"/>
      <c r="K124" s="42"/>
      <c r="L124" s="2"/>
      <c r="M124" s="2"/>
      <c r="N124" s="2"/>
      <c r="O124" s="2"/>
      <c r="P124" s="316"/>
      <c r="Q124" s="317"/>
      <c r="R124" s="316"/>
      <c r="S124" s="316"/>
      <c r="T124" s="31"/>
      <c r="U124" s="31"/>
      <c r="V124" s="31"/>
      <c r="W124" s="31"/>
      <c r="X124" s="31"/>
    </row>
    <row r="125" spans="1:33" x14ac:dyDescent="0.2">
      <c r="A125" s="151" t="s">
        <v>222</v>
      </c>
      <c r="P125" s="31"/>
      <c r="Q125" s="31"/>
      <c r="R125" s="31"/>
      <c r="S125" s="31"/>
      <c r="T125" s="31"/>
      <c r="U125" s="31"/>
      <c r="V125" s="31"/>
      <c r="W125" s="31"/>
      <c r="X125" s="31"/>
    </row>
    <row r="127" spans="1:33" x14ac:dyDescent="0.2">
      <c r="A127" s="151" t="s">
        <v>249</v>
      </c>
      <c r="F127" s="33"/>
      <c r="K127" s="33"/>
      <c r="Q127" s="33"/>
      <c r="R127" s="33"/>
    </row>
    <row r="128" spans="1:33" x14ac:dyDescent="0.2">
      <c r="F128" s="33"/>
      <c r="K128" s="33"/>
      <c r="Q128" s="33"/>
      <c r="R128" s="33"/>
    </row>
    <row r="130" spans="2:19" x14ac:dyDescent="0.2">
      <c r="B130" s="100"/>
      <c r="C130" s="100"/>
      <c r="D130" s="100"/>
      <c r="E130" s="100"/>
      <c r="F130" s="100"/>
      <c r="G130" s="100"/>
      <c r="H130" s="100"/>
      <c r="I130" s="100"/>
      <c r="J130" s="100"/>
      <c r="K130" s="100"/>
      <c r="L130" s="100"/>
      <c r="M130" s="100"/>
      <c r="N130" s="100"/>
      <c r="Q130" s="100"/>
      <c r="R130" s="100"/>
      <c r="S130" s="100"/>
    </row>
  </sheetData>
  <customSheetViews>
    <customSheetView guid="{168DC811-186D-42DC-8A72-3741D1063270}" scale="80" showGridLines="0">
      <pane xSplit="1" ySplit="5" topLeftCell="G6" activePane="bottomRight" state="frozen"/>
      <selection pane="bottomRight" activeCell="Q8" sqref="Q8"/>
      <colBreaks count="1" manualBreakCount="1">
        <brk id="8" max="1048575" man="1"/>
      </colBreaks>
      <pageMargins left="0.7" right="0.7" top="0.75" bottom="0.75" header="0.3" footer="0.3"/>
      <pageSetup scale="62" orientation="landscape" horizontalDpi="300" verticalDpi="300" r:id="rId1"/>
    </customSheetView>
  </customSheetViews>
  <phoneticPr fontId="0" type="noConversion"/>
  <pageMargins left="0.25" right="0" top="0.25" bottom="0" header="0.3" footer="0.3"/>
  <pageSetup paperSize="9" scale="42" orientation="portrait" r:id="rId2"/>
  <ignoredErrors>
    <ignoredError sqref="AA8 AA12 AA17 AA20 AA23 AA35:AA36 AA41:AA42 AA69:AA70 AA98 AB72 AA74 AA26 AA111 AA100 AA102 AA105:AB107 AA109 K103:K104 AA112 AA110 AA108 AA104" formulaRange="1"/>
    <ignoredError sqref="AA101:AB101 Q103:Q104" formula="1"/>
    <ignoredError sqref="Q105:Q106 Q97:Q98" formula="1" formulaRange="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R71"/>
  <sheetViews>
    <sheetView showGridLines="0" zoomScale="80" zoomScaleNormal="80" zoomScaleSheetLayoutView="80" workbookViewId="0">
      <pane xSplit="2" ySplit="4" topLeftCell="F5" activePane="bottomRight" state="frozen"/>
      <selection activeCell="I106" sqref="I106"/>
      <selection pane="topRight" activeCell="I106" sqref="I106"/>
      <selection pane="bottomLeft" activeCell="I106" sqref="I106"/>
      <selection pane="bottomRight" activeCell="Y8" sqref="Y8"/>
    </sheetView>
  </sheetViews>
  <sheetFormatPr defaultColWidth="9.140625" defaultRowHeight="12.75" outlineLevelCol="1" x14ac:dyDescent="0.2"/>
  <cols>
    <col min="1" max="1" width="47.140625" style="23" customWidth="1"/>
    <col min="2" max="2" width="3.140625" style="2" customWidth="1"/>
    <col min="3" max="5" width="12.140625" style="2" hidden="1" customWidth="1" outlineLevel="1"/>
    <col min="6" max="6" width="12.140625" style="2" customWidth="1" collapsed="1"/>
    <col min="7" max="9" width="12.140625" style="2" hidden="1" customWidth="1" outlineLevel="1"/>
    <col min="10" max="10" width="12.140625" style="2" customWidth="1" collapsed="1"/>
    <col min="11" max="13" width="12.140625" style="2" hidden="1" customWidth="1" outlineLevel="1"/>
    <col min="14" max="14" width="10" style="2" bestFit="1" customWidth="1" collapsed="1"/>
    <col min="15" max="15" width="10" style="2" hidden="1" customWidth="1" outlineLevel="1"/>
    <col min="16" max="16" width="11.28515625" style="2" hidden="1" customWidth="1" outlineLevel="1"/>
    <col min="17" max="17" width="10" style="2" hidden="1" customWidth="1" outlineLevel="1"/>
    <col min="18" max="18" width="11.5703125" style="2" bestFit="1" customWidth="1" collapsed="1"/>
    <col min="19" max="19" width="11.5703125" style="2" bestFit="1" customWidth="1"/>
    <col min="20" max="20" width="12.28515625" style="2" bestFit="1" customWidth="1"/>
    <col min="21" max="25" width="12" style="2" bestFit="1" customWidth="1"/>
    <col min="26" max="16384" width="9.140625" style="2"/>
  </cols>
  <sheetData>
    <row r="1" spans="1:25" x14ac:dyDescent="0.2">
      <c r="A1" s="11"/>
    </row>
    <row r="2" spans="1:25" ht="45" customHeight="1" x14ac:dyDescent="0.2"/>
    <row r="3" spans="1:25" x14ac:dyDescent="0.2">
      <c r="A3" s="18" t="s">
        <v>15</v>
      </c>
      <c r="C3" s="3">
        <v>2014</v>
      </c>
      <c r="D3" s="3">
        <v>2014</v>
      </c>
      <c r="E3" s="3">
        <v>2014</v>
      </c>
      <c r="F3" s="3">
        <v>2014</v>
      </c>
      <c r="G3" s="3">
        <v>2015</v>
      </c>
      <c r="H3" s="3">
        <v>2015</v>
      </c>
      <c r="I3" s="3">
        <v>2015</v>
      </c>
      <c r="J3" s="3">
        <v>2015</v>
      </c>
      <c r="K3" s="3">
        <v>2016</v>
      </c>
      <c r="L3" s="3">
        <v>2016</v>
      </c>
      <c r="M3" s="3">
        <v>2016</v>
      </c>
      <c r="N3" s="3">
        <v>2016</v>
      </c>
      <c r="O3" s="3">
        <v>2017</v>
      </c>
      <c r="P3" s="3">
        <v>2017</v>
      </c>
      <c r="Q3" s="3">
        <v>2017</v>
      </c>
      <c r="R3" s="3">
        <v>2017</v>
      </c>
      <c r="S3" s="3">
        <v>2018</v>
      </c>
      <c r="T3" s="3">
        <v>2018</v>
      </c>
      <c r="U3" s="3">
        <v>2018</v>
      </c>
      <c r="V3" s="3">
        <v>2018</v>
      </c>
      <c r="W3" s="3">
        <v>2019</v>
      </c>
      <c r="X3" s="3">
        <v>2019</v>
      </c>
      <c r="Y3" s="3">
        <v>2019</v>
      </c>
    </row>
    <row r="4" spans="1:25" s="8" customFormat="1" x14ac:dyDescent="0.2">
      <c r="A4" s="25" t="s">
        <v>67</v>
      </c>
      <c r="C4" s="81" t="s">
        <v>9</v>
      </c>
      <c r="D4" s="81" t="s">
        <v>10</v>
      </c>
      <c r="E4" s="81" t="s">
        <v>11</v>
      </c>
      <c r="F4" s="81" t="s">
        <v>12</v>
      </c>
      <c r="G4" s="81" t="s">
        <v>9</v>
      </c>
      <c r="H4" s="81" t="s">
        <v>10</v>
      </c>
      <c r="I4" s="81" t="s">
        <v>11</v>
      </c>
      <c r="J4" s="81" t="s">
        <v>12</v>
      </c>
      <c r="K4" s="81" t="s">
        <v>169</v>
      </c>
      <c r="L4" s="81" t="s">
        <v>171</v>
      </c>
      <c r="M4" s="81" t="s">
        <v>173</v>
      </c>
      <c r="N4" s="81" t="s">
        <v>176</v>
      </c>
      <c r="O4" s="81" t="s">
        <v>9</v>
      </c>
      <c r="P4" s="81" t="s">
        <v>10</v>
      </c>
      <c r="Q4" s="81" t="s">
        <v>11</v>
      </c>
      <c r="R4" s="81" t="s">
        <v>12</v>
      </c>
      <c r="S4" s="81" t="s">
        <v>9</v>
      </c>
      <c r="T4" s="81" t="s">
        <v>10</v>
      </c>
      <c r="U4" s="81" t="s">
        <v>11</v>
      </c>
      <c r="V4" s="81" t="s">
        <v>12</v>
      </c>
      <c r="W4" s="81" t="s">
        <v>9</v>
      </c>
      <c r="X4" s="81" t="s">
        <v>10</v>
      </c>
      <c r="Y4" s="81" t="s">
        <v>11</v>
      </c>
    </row>
    <row r="5" spans="1:25" s="3" customFormat="1" x14ac:dyDescent="0.2">
      <c r="A5" s="18"/>
    </row>
    <row r="6" spans="1:25" s="38" customFormat="1" x14ac:dyDescent="0.2">
      <c r="A6" s="51" t="s">
        <v>17</v>
      </c>
      <c r="B6" s="38" t="s">
        <v>21</v>
      </c>
    </row>
    <row r="7" spans="1:25" x14ac:dyDescent="0.2">
      <c r="A7" s="69" t="s">
        <v>18</v>
      </c>
      <c r="B7" s="124" t="s">
        <v>21</v>
      </c>
    </row>
    <row r="8" spans="1:25" x14ac:dyDescent="0.2">
      <c r="A8" s="71" t="s">
        <v>106</v>
      </c>
      <c r="B8" s="133" t="s">
        <v>21</v>
      </c>
      <c r="C8" s="134">
        <v>143692</v>
      </c>
      <c r="D8" s="134">
        <v>160937</v>
      </c>
      <c r="E8" s="134">
        <v>161428</v>
      </c>
      <c r="F8" s="134">
        <v>176499</v>
      </c>
      <c r="G8" s="134">
        <v>151319</v>
      </c>
      <c r="H8" s="134">
        <v>94651</v>
      </c>
      <c r="I8" s="134">
        <v>90656</v>
      </c>
      <c r="J8" s="134">
        <v>205323</v>
      </c>
      <c r="K8" s="134">
        <v>95774</v>
      </c>
      <c r="L8" s="134">
        <v>93113</v>
      </c>
      <c r="M8" s="134">
        <v>98374</v>
      </c>
      <c r="N8" s="134">
        <v>213155</v>
      </c>
      <c r="O8" s="134">
        <v>91700</v>
      </c>
      <c r="P8" s="134">
        <v>89414</v>
      </c>
      <c r="Q8" s="134">
        <v>87665</v>
      </c>
      <c r="R8" s="134">
        <v>86795</v>
      </c>
      <c r="S8" s="134">
        <v>69955</v>
      </c>
      <c r="T8" s="134">
        <v>84091</v>
      </c>
      <c r="U8" s="134">
        <v>97636</v>
      </c>
      <c r="V8" s="134">
        <v>95881</v>
      </c>
      <c r="W8" s="134">
        <v>86688</v>
      </c>
      <c r="X8" s="134">
        <v>84842</v>
      </c>
      <c r="Y8" s="134">
        <v>101432</v>
      </c>
    </row>
    <row r="9" spans="1:25" x14ac:dyDescent="0.2">
      <c r="A9" s="71" t="s">
        <v>105</v>
      </c>
      <c r="B9" s="133" t="s">
        <v>21</v>
      </c>
      <c r="C9" s="132">
        <v>7169</v>
      </c>
      <c r="D9" s="132">
        <v>7556</v>
      </c>
      <c r="E9" s="132">
        <v>6561</v>
      </c>
      <c r="F9" s="132">
        <v>11577</v>
      </c>
      <c r="G9" s="132">
        <v>14330</v>
      </c>
      <c r="H9" s="132">
        <v>77880</v>
      </c>
      <c r="I9" s="132">
        <v>93184</v>
      </c>
      <c r="J9" s="132">
        <v>13676</v>
      </c>
      <c r="K9" s="132">
        <v>97079</v>
      </c>
      <c r="L9" s="132">
        <v>107594</v>
      </c>
      <c r="M9" s="132">
        <v>115637</v>
      </c>
      <c r="N9" s="132">
        <v>13491</v>
      </c>
      <c r="O9" s="132">
        <v>126472</v>
      </c>
      <c r="P9" s="170">
        <v>147915</v>
      </c>
      <c r="Q9" s="170">
        <v>161702</v>
      </c>
      <c r="R9" s="170">
        <v>178479</v>
      </c>
      <c r="S9" s="170">
        <v>169461</v>
      </c>
      <c r="T9" s="170">
        <v>149045</v>
      </c>
      <c r="U9" s="170">
        <v>144878</v>
      </c>
      <c r="V9" s="170">
        <v>184489</v>
      </c>
      <c r="W9" s="170">
        <v>216056</v>
      </c>
      <c r="X9" s="170">
        <v>168204</v>
      </c>
      <c r="Y9" s="170">
        <v>179340</v>
      </c>
    </row>
    <row r="10" spans="1:25" x14ac:dyDescent="0.2">
      <c r="A10" s="71" t="s">
        <v>19</v>
      </c>
      <c r="B10" s="133"/>
      <c r="C10" s="132">
        <v>816</v>
      </c>
      <c r="D10" s="132">
        <v>571</v>
      </c>
      <c r="E10" s="132">
        <v>1082</v>
      </c>
      <c r="F10" s="132">
        <v>1395</v>
      </c>
      <c r="G10" s="132">
        <v>2774</v>
      </c>
      <c r="H10" s="132">
        <v>2466</v>
      </c>
      <c r="I10" s="132">
        <v>2547</v>
      </c>
      <c r="J10" s="132">
        <v>1872</v>
      </c>
      <c r="K10" s="132">
        <v>2722</v>
      </c>
      <c r="L10" s="132">
        <v>1537</v>
      </c>
      <c r="M10" s="132">
        <v>2256</v>
      </c>
      <c r="N10" s="132">
        <v>3846</v>
      </c>
      <c r="O10" s="132">
        <v>2691</v>
      </c>
      <c r="P10" s="170">
        <v>1898</v>
      </c>
      <c r="Q10" s="170">
        <v>1913</v>
      </c>
      <c r="R10" s="170">
        <v>3674</v>
      </c>
      <c r="S10" s="170">
        <v>2727</v>
      </c>
      <c r="T10" s="170">
        <v>2256</v>
      </c>
      <c r="U10" s="170">
        <v>4679</v>
      </c>
      <c r="V10" s="170">
        <v>5608</v>
      </c>
      <c r="W10" s="170">
        <v>5364</v>
      </c>
      <c r="X10" s="170">
        <v>4098</v>
      </c>
      <c r="Y10" s="170">
        <v>5412</v>
      </c>
    </row>
    <row r="11" spans="1:25" x14ac:dyDescent="0.2">
      <c r="A11" s="71" t="s">
        <v>194</v>
      </c>
      <c r="B11" s="133" t="s">
        <v>21</v>
      </c>
      <c r="C11" s="132">
        <v>77737</v>
      </c>
      <c r="D11" s="132">
        <v>73721</v>
      </c>
      <c r="E11" s="132">
        <v>75685</v>
      </c>
      <c r="F11" s="132">
        <v>80244</v>
      </c>
      <c r="G11" s="132">
        <v>89323</v>
      </c>
      <c r="H11" s="132">
        <v>94216</v>
      </c>
      <c r="I11" s="132">
        <v>98272</v>
      </c>
      <c r="J11" s="132">
        <v>92650</v>
      </c>
      <c r="K11" s="132">
        <v>107601</v>
      </c>
      <c r="L11" s="132">
        <v>111383</v>
      </c>
      <c r="M11" s="132">
        <v>109086</v>
      </c>
      <c r="N11" s="132">
        <v>113067</v>
      </c>
      <c r="O11" s="132">
        <v>119811</v>
      </c>
      <c r="P11" s="170">
        <v>123798</v>
      </c>
      <c r="Q11" s="170">
        <v>133862</v>
      </c>
      <c r="R11" s="170">
        <v>135705</v>
      </c>
      <c r="S11" s="170">
        <v>137150</v>
      </c>
      <c r="T11" s="170">
        <v>147099</v>
      </c>
      <c r="U11" s="170">
        <v>164307</v>
      </c>
      <c r="V11" s="170">
        <v>164752</v>
      </c>
      <c r="W11" s="170">
        <v>176889</v>
      </c>
      <c r="X11" s="170">
        <v>180680</v>
      </c>
      <c r="Y11" s="170">
        <v>179702</v>
      </c>
    </row>
    <row r="12" spans="1:25" x14ac:dyDescent="0.2">
      <c r="A12" s="71" t="s">
        <v>197</v>
      </c>
      <c r="B12" s="133" t="s">
        <v>21</v>
      </c>
      <c r="C12" s="132">
        <v>5455</v>
      </c>
      <c r="D12" s="132">
        <v>4843</v>
      </c>
      <c r="E12" s="132">
        <v>4691</v>
      </c>
      <c r="F12" s="132">
        <v>4455</v>
      </c>
      <c r="G12" s="132">
        <v>4921</v>
      </c>
      <c r="H12" s="132">
        <v>4649</v>
      </c>
      <c r="I12" s="132">
        <v>4738</v>
      </c>
      <c r="J12" s="253">
        <v>0</v>
      </c>
      <c r="K12" s="253">
        <v>0</v>
      </c>
      <c r="L12" s="253">
        <v>0</v>
      </c>
      <c r="M12" s="253">
        <v>0</v>
      </c>
      <c r="N12" s="253">
        <v>0</v>
      </c>
      <c r="O12" s="253">
        <v>0</v>
      </c>
      <c r="P12" s="254">
        <v>0</v>
      </c>
      <c r="Q12" s="254">
        <v>0</v>
      </c>
      <c r="R12" s="254">
        <v>0</v>
      </c>
      <c r="S12" s="170">
        <v>0</v>
      </c>
      <c r="T12" s="170">
        <v>0</v>
      </c>
      <c r="U12" s="170">
        <v>0</v>
      </c>
      <c r="V12" s="170">
        <v>0</v>
      </c>
      <c r="W12" s="170">
        <v>0</v>
      </c>
      <c r="X12" s="170">
        <v>0</v>
      </c>
      <c r="Y12" s="170">
        <v>0</v>
      </c>
    </row>
    <row r="13" spans="1:25" x14ac:dyDescent="0.2">
      <c r="A13" s="71" t="s">
        <v>195</v>
      </c>
      <c r="B13" s="133" t="s">
        <v>21</v>
      </c>
      <c r="C13" s="132">
        <v>3978</v>
      </c>
      <c r="D13" s="132">
        <v>8447</v>
      </c>
      <c r="E13" s="132">
        <v>7817</v>
      </c>
      <c r="F13" s="132">
        <v>9905</v>
      </c>
      <c r="G13" s="132">
        <f>9364-59</f>
        <v>9305</v>
      </c>
      <c r="H13" s="132">
        <v>6321</v>
      </c>
      <c r="I13" s="132">
        <v>4169</v>
      </c>
      <c r="J13" s="132">
        <v>2432</v>
      </c>
      <c r="K13" s="132">
        <v>6406</v>
      </c>
      <c r="L13" s="132">
        <v>5568</v>
      </c>
      <c r="M13" s="132">
        <v>7110</v>
      </c>
      <c r="N13" s="132">
        <v>6242</v>
      </c>
      <c r="O13" s="132">
        <v>7687</v>
      </c>
      <c r="P13" s="170">
        <v>7337</v>
      </c>
      <c r="Q13" s="170">
        <v>8821</v>
      </c>
      <c r="R13" s="170">
        <v>8801</v>
      </c>
      <c r="S13" s="170">
        <v>17802</v>
      </c>
      <c r="T13" s="170">
        <v>11278</v>
      </c>
      <c r="U13" s="170">
        <v>7700</v>
      </c>
      <c r="V13" s="170">
        <v>9639</v>
      </c>
      <c r="W13" s="170">
        <v>11334</v>
      </c>
      <c r="X13" s="170">
        <v>7906</v>
      </c>
      <c r="Y13" s="170">
        <v>3002</v>
      </c>
    </row>
    <row r="14" spans="1:25" x14ac:dyDescent="0.2">
      <c r="A14" s="71" t="s">
        <v>38</v>
      </c>
      <c r="B14" s="133" t="s">
        <v>21</v>
      </c>
      <c r="C14" s="132">
        <v>19100</v>
      </c>
      <c r="D14" s="132">
        <v>16787</v>
      </c>
      <c r="E14" s="132">
        <v>15820</v>
      </c>
      <c r="F14" s="132">
        <v>18316</v>
      </c>
      <c r="G14" s="132">
        <v>23116</v>
      </c>
      <c r="H14" s="132">
        <v>21425</v>
      </c>
      <c r="I14" s="132">
        <v>18718</v>
      </c>
      <c r="J14" s="132">
        <v>23246</v>
      </c>
      <c r="K14" s="132">
        <v>28172</v>
      </c>
      <c r="L14" s="132">
        <v>24577</v>
      </c>
      <c r="M14" s="132">
        <v>25518</v>
      </c>
      <c r="N14" s="132">
        <v>29023</v>
      </c>
      <c r="O14" s="132">
        <v>35137</v>
      </c>
      <c r="P14" s="170">
        <v>28238</v>
      </c>
      <c r="Q14" s="170">
        <v>29291</v>
      </c>
      <c r="R14" s="170">
        <v>39363</v>
      </c>
      <c r="S14" s="170">
        <v>38878</v>
      </c>
      <c r="T14" s="170">
        <v>32965</v>
      </c>
      <c r="U14" s="170">
        <v>34627</v>
      </c>
      <c r="V14" s="170">
        <v>39566</v>
      </c>
      <c r="W14" s="170">
        <v>39727</v>
      </c>
      <c r="X14" s="170">
        <v>43345</v>
      </c>
      <c r="Y14" s="170">
        <v>37338</v>
      </c>
    </row>
    <row r="15" spans="1:25" x14ac:dyDescent="0.2">
      <c r="A15" s="52" t="s">
        <v>107</v>
      </c>
      <c r="B15" s="142" t="s">
        <v>21</v>
      </c>
      <c r="C15" s="141">
        <f t="shared" ref="C15:S15" si="0">SUM(C8:C14)</f>
        <v>257947</v>
      </c>
      <c r="D15" s="141">
        <f t="shared" si="0"/>
        <v>272862</v>
      </c>
      <c r="E15" s="141">
        <f t="shared" si="0"/>
        <v>273084</v>
      </c>
      <c r="F15" s="141">
        <f t="shared" si="0"/>
        <v>302391</v>
      </c>
      <c r="G15" s="141">
        <f t="shared" si="0"/>
        <v>295088</v>
      </c>
      <c r="H15" s="141">
        <f t="shared" si="0"/>
        <v>301608</v>
      </c>
      <c r="I15" s="141">
        <f t="shared" si="0"/>
        <v>312284</v>
      </c>
      <c r="J15" s="141">
        <f t="shared" si="0"/>
        <v>339199</v>
      </c>
      <c r="K15" s="141">
        <f t="shared" si="0"/>
        <v>337754</v>
      </c>
      <c r="L15" s="141">
        <f t="shared" si="0"/>
        <v>343772</v>
      </c>
      <c r="M15" s="141">
        <f t="shared" si="0"/>
        <v>357981</v>
      </c>
      <c r="N15" s="141">
        <f t="shared" si="0"/>
        <v>378824</v>
      </c>
      <c r="O15" s="141">
        <f t="shared" si="0"/>
        <v>383498</v>
      </c>
      <c r="P15" s="141">
        <f t="shared" si="0"/>
        <v>398600</v>
      </c>
      <c r="Q15" s="141">
        <f t="shared" si="0"/>
        <v>423254</v>
      </c>
      <c r="R15" s="141">
        <f t="shared" si="0"/>
        <v>452817</v>
      </c>
      <c r="S15" s="141">
        <f t="shared" si="0"/>
        <v>435973</v>
      </c>
      <c r="T15" s="141">
        <f t="shared" ref="T15:U15" si="1">SUM(T8:T14)</f>
        <v>426734</v>
      </c>
      <c r="U15" s="141">
        <f t="shared" si="1"/>
        <v>453827</v>
      </c>
      <c r="V15" s="141">
        <f t="shared" ref="V15:X15" si="2">SUM(V8:V14)</f>
        <v>499935</v>
      </c>
      <c r="W15" s="141">
        <f t="shared" si="2"/>
        <v>536058</v>
      </c>
      <c r="X15" s="141">
        <f t="shared" si="2"/>
        <v>489075</v>
      </c>
      <c r="Y15" s="141">
        <f t="shared" ref="Y15" si="3">SUM(Y8:Y14)</f>
        <v>506226</v>
      </c>
    </row>
    <row r="16" spans="1:25" x14ac:dyDescent="0.2">
      <c r="A16" s="19" t="s">
        <v>21</v>
      </c>
      <c r="B16" s="124" t="s">
        <v>21</v>
      </c>
      <c r="P16" s="170"/>
    </row>
    <row r="17" spans="1:25" x14ac:dyDescent="0.2">
      <c r="A17" s="72" t="s">
        <v>196</v>
      </c>
      <c r="B17" s="133" t="s">
        <v>21</v>
      </c>
      <c r="C17" s="134">
        <v>44031</v>
      </c>
      <c r="D17" s="134">
        <v>45978</v>
      </c>
      <c r="E17" s="134">
        <v>45307</v>
      </c>
      <c r="F17" s="134">
        <v>45369</v>
      </c>
      <c r="G17" s="134">
        <v>47467</v>
      </c>
      <c r="H17" s="134">
        <v>48152</v>
      </c>
      <c r="I17" s="134">
        <v>47071</v>
      </c>
      <c r="J17" s="134">
        <v>47991</v>
      </c>
      <c r="K17" s="134">
        <v>47540</v>
      </c>
      <c r="L17" s="134">
        <v>49708</v>
      </c>
      <c r="M17" s="134">
        <v>49006</v>
      </c>
      <c r="N17" s="134">
        <v>49029</v>
      </c>
      <c r="O17" s="134">
        <v>59220</v>
      </c>
      <c r="P17" s="170">
        <v>63978</v>
      </c>
      <c r="Q17" s="170">
        <v>63729</v>
      </c>
      <c r="R17" s="170">
        <v>66757</v>
      </c>
      <c r="S17" s="170">
        <v>67748</v>
      </c>
      <c r="T17" s="170">
        <v>66112</v>
      </c>
      <c r="U17" s="170">
        <v>67675</v>
      </c>
      <c r="V17" s="170">
        <v>73510</v>
      </c>
      <c r="W17" s="170">
        <v>73447</v>
      </c>
      <c r="X17" s="170">
        <v>78083</v>
      </c>
      <c r="Y17" s="170">
        <v>78471</v>
      </c>
    </row>
    <row r="18" spans="1:25" x14ac:dyDescent="0.2">
      <c r="A18" s="72" t="s">
        <v>256</v>
      </c>
      <c r="B18" s="133"/>
      <c r="C18" s="134"/>
      <c r="D18" s="134"/>
      <c r="E18" s="134"/>
      <c r="F18" s="170">
        <v>0</v>
      </c>
      <c r="G18" s="134"/>
      <c r="H18" s="134"/>
      <c r="I18" s="134"/>
      <c r="J18" s="170">
        <v>0</v>
      </c>
      <c r="K18" s="134"/>
      <c r="L18" s="134"/>
      <c r="M18" s="134"/>
      <c r="N18" s="170">
        <v>0</v>
      </c>
      <c r="O18" s="134"/>
      <c r="P18" s="170"/>
      <c r="Q18" s="170"/>
      <c r="R18" s="170">
        <v>0</v>
      </c>
      <c r="S18" s="170">
        <v>0</v>
      </c>
      <c r="T18" s="170">
        <v>0</v>
      </c>
      <c r="U18" s="170">
        <v>0</v>
      </c>
      <c r="V18" s="170">
        <v>0</v>
      </c>
      <c r="W18" s="170">
        <v>89835</v>
      </c>
      <c r="X18" s="170">
        <v>93162</v>
      </c>
      <c r="Y18" s="170">
        <v>88753</v>
      </c>
    </row>
    <row r="19" spans="1:25" x14ac:dyDescent="0.2">
      <c r="A19" s="72" t="s">
        <v>19</v>
      </c>
      <c r="B19" s="133"/>
      <c r="C19" s="134">
        <v>3780</v>
      </c>
      <c r="D19" s="134">
        <v>3800</v>
      </c>
      <c r="E19" s="134">
        <v>3263</v>
      </c>
      <c r="F19" s="170">
        <v>3258</v>
      </c>
      <c r="G19" s="170">
        <v>3367</v>
      </c>
      <c r="H19" s="170">
        <v>3342</v>
      </c>
      <c r="I19" s="170">
        <v>3289</v>
      </c>
      <c r="J19" s="170">
        <v>3319</v>
      </c>
      <c r="K19" s="170">
        <v>3380</v>
      </c>
      <c r="L19" s="170">
        <v>3277</v>
      </c>
      <c r="M19" s="170">
        <v>3380</v>
      </c>
      <c r="N19" s="170">
        <v>3393</v>
      </c>
      <c r="O19" s="134">
        <v>3657</v>
      </c>
      <c r="P19" s="170">
        <v>3692</v>
      </c>
      <c r="Q19" s="170">
        <v>3710</v>
      </c>
      <c r="R19" s="170">
        <v>3808</v>
      </c>
      <c r="S19" s="348">
        <v>3783</v>
      </c>
      <c r="T19" s="170">
        <v>3645</v>
      </c>
      <c r="U19" s="170">
        <v>3499</v>
      </c>
      <c r="V19" s="170">
        <v>2642</v>
      </c>
      <c r="W19" s="170">
        <v>2575</v>
      </c>
      <c r="X19" s="170">
        <v>2507</v>
      </c>
      <c r="Y19" s="170">
        <v>2441</v>
      </c>
    </row>
    <row r="20" spans="1:25" x14ac:dyDescent="0.2">
      <c r="A20" s="72" t="s">
        <v>197</v>
      </c>
      <c r="B20" s="133" t="s">
        <v>21</v>
      </c>
      <c r="C20" s="132">
        <v>9905</v>
      </c>
      <c r="D20" s="132">
        <v>8544</v>
      </c>
      <c r="E20" s="132">
        <v>11017</v>
      </c>
      <c r="F20" s="132">
        <v>11985</v>
      </c>
      <c r="G20" s="132">
        <v>8288</v>
      </c>
      <c r="H20" s="132">
        <v>8039</v>
      </c>
      <c r="I20" s="132">
        <v>7996</v>
      </c>
      <c r="J20" s="132">
        <v>13749</v>
      </c>
      <c r="K20" s="132">
        <v>9711</v>
      </c>
      <c r="L20" s="132">
        <v>10103</v>
      </c>
      <c r="M20" s="132">
        <v>7073</v>
      </c>
      <c r="N20" s="132">
        <v>14799</v>
      </c>
      <c r="O20" s="132">
        <v>16392</v>
      </c>
      <c r="P20" s="170">
        <v>13959</v>
      </c>
      <c r="Q20" s="170">
        <v>16118</v>
      </c>
      <c r="R20" s="170">
        <v>9280</v>
      </c>
      <c r="S20" s="170">
        <v>6518</v>
      </c>
      <c r="T20" s="170">
        <v>12702</v>
      </c>
      <c r="U20" s="170">
        <v>12201</v>
      </c>
      <c r="V20" s="170">
        <v>6602</v>
      </c>
      <c r="W20" s="170">
        <v>4570</v>
      </c>
      <c r="X20" s="170">
        <v>4200</v>
      </c>
      <c r="Y20" s="170">
        <v>6190</v>
      </c>
    </row>
    <row r="21" spans="1:25" x14ac:dyDescent="0.2">
      <c r="A21" s="73" t="s">
        <v>108</v>
      </c>
      <c r="B21" s="140"/>
      <c r="C21" s="132">
        <v>32643</v>
      </c>
      <c r="D21" s="132">
        <v>31147</v>
      </c>
      <c r="E21" s="132">
        <v>30545</v>
      </c>
      <c r="F21" s="132">
        <f>45979+1000</f>
        <v>46979</v>
      </c>
      <c r="G21" s="132">
        <v>60085</v>
      </c>
      <c r="H21" s="132">
        <v>58960</v>
      </c>
      <c r="I21" s="132">
        <v>55462</v>
      </c>
      <c r="J21" s="132">
        <v>52733</v>
      </c>
      <c r="K21" s="132">
        <v>50013</v>
      </c>
      <c r="L21" s="132">
        <v>47278</v>
      </c>
      <c r="M21" s="132">
        <v>50326</v>
      </c>
      <c r="N21" s="132">
        <v>53770</v>
      </c>
      <c r="O21" s="132">
        <v>50356</v>
      </c>
      <c r="P21" s="170">
        <v>46973</v>
      </c>
      <c r="Q21" s="170">
        <v>43568</v>
      </c>
      <c r="R21" s="170">
        <v>48958</v>
      </c>
      <c r="S21" s="170">
        <v>45104</v>
      </c>
      <c r="T21" s="170">
        <v>41170</v>
      </c>
      <c r="U21" s="170">
        <v>114799</v>
      </c>
      <c r="V21" s="170">
        <v>95495</v>
      </c>
      <c r="W21" s="170">
        <v>90008</v>
      </c>
      <c r="X21" s="170">
        <v>84402</v>
      </c>
      <c r="Y21" s="170">
        <v>78845</v>
      </c>
    </row>
    <row r="22" spans="1:25" x14ac:dyDescent="0.2">
      <c r="A22" s="72" t="s">
        <v>22</v>
      </c>
      <c r="B22" s="133" t="s">
        <v>21</v>
      </c>
      <c r="C22" s="132">
        <v>108216</v>
      </c>
      <c r="D22" s="132">
        <v>108120</v>
      </c>
      <c r="E22" s="132">
        <v>112203</v>
      </c>
      <c r="F22" s="132">
        <f>140599-1000</f>
        <v>139599</v>
      </c>
      <c r="G22" s="132">
        <v>172097</v>
      </c>
      <c r="H22" s="132">
        <v>170129</v>
      </c>
      <c r="I22" s="132">
        <v>171753</v>
      </c>
      <c r="J22" s="132">
        <v>171535</v>
      </c>
      <c r="K22" s="132">
        <v>171498</v>
      </c>
      <c r="L22" s="132">
        <v>171035</v>
      </c>
      <c r="M22" s="132">
        <v>177093</v>
      </c>
      <c r="N22" s="132">
        <v>186770</v>
      </c>
      <c r="O22" s="132">
        <v>187952</v>
      </c>
      <c r="P22" s="170">
        <v>188154</v>
      </c>
      <c r="Q22" s="170">
        <v>187953</v>
      </c>
      <c r="R22" s="170">
        <v>204481</v>
      </c>
      <c r="S22" s="170">
        <v>202337</v>
      </c>
      <c r="T22" s="170">
        <v>200981</v>
      </c>
      <c r="U22" s="170">
        <v>357533</v>
      </c>
      <c r="V22" s="170">
        <v>349984</v>
      </c>
      <c r="W22" s="170">
        <v>350239</v>
      </c>
      <c r="X22" s="170">
        <v>350220</v>
      </c>
      <c r="Y22" s="170">
        <v>349530</v>
      </c>
    </row>
    <row r="23" spans="1:25" x14ac:dyDescent="0.2">
      <c r="A23" s="72" t="s">
        <v>31</v>
      </c>
      <c r="B23" s="133" t="s">
        <v>21</v>
      </c>
      <c r="C23" s="132">
        <f>25269-C19</f>
        <v>21489</v>
      </c>
      <c r="D23" s="132">
        <f>27622-D19</f>
        <v>23822</v>
      </c>
      <c r="E23" s="132">
        <f>26402-E19</f>
        <v>23139</v>
      </c>
      <c r="F23" s="132">
        <f>27233-F19</f>
        <v>23975</v>
      </c>
      <c r="G23" s="132">
        <f>27993-G19</f>
        <v>24626</v>
      </c>
      <c r="H23" s="132">
        <f>26830-H19</f>
        <v>23488</v>
      </c>
      <c r="I23" s="132">
        <f>25372-I19</f>
        <v>22083</v>
      </c>
      <c r="J23" s="132">
        <f>25576-J19</f>
        <v>22257</v>
      </c>
      <c r="K23" s="132">
        <f>25764-K19</f>
        <v>22384</v>
      </c>
      <c r="L23" s="132">
        <f>25001-L19</f>
        <v>21724</v>
      </c>
      <c r="M23" s="132">
        <f>27543-M19</f>
        <v>24163</v>
      </c>
      <c r="N23" s="132">
        <f>23336-N19</f>
        <v>19943</v>
      </c>
      <c r="O23" s="132">
        <f>29275-O19</f>
        <v>25618</v>
      </c>
      <c r="P23" s="170">
        <f>35767-P19</f>
        <v>32075</v>
      </c>
      <c r="Q23" s="170">
        <f>34382-Q19</f>
        <v>30672</v>
      </c>
      <c r="R23" s="170">
        <f>40177-R19</f>
        <v>36369</v>
      </c>
      <c r="S23" s="170">
        <v>33863</v>
      </c>
      <c r="T23" s="170">
        <v>36033</v>
      </c>
      <c r="U23" s="170">
        <v>32779</v>
      </c>
      <c r="V23" s="170">
        <v>31015</v>
      </c>
      <c r="W23" s="170">
        <v>33164</v>
      </c>
      <c r="X23" s="170">
        <v>33194</v>
      </c>
      <c r="Y23" s="170">
        <v>32967</v>
      </c>
    </row>
    <row r="24" spans="1:25" x14ac:dyDescent="0.2">
      <c r="A24" s="72" t="s">
        <v>198</v>
      </c>
      <c r="B24" s="133"/>
      <c r="C24" s="253">
        <v>0</v>
      </c>
      <c r="D24" s="253">
        <v>0</v>
      </c>
      <c r="E24" s="253">
        <v>0</v>
      </c>
      <c r="F24" s="253">
        <v>0</v>
      </c>
      <c r="G24" s="253">
        <v>0</v>
      </c>
      <c r="H24" s="253">
        <v>0</v>
      </c>
      <c r="I24" s="253">
        <v>0</v>
      </c>
      <c r="J24" s="253">
        <v>0</v>
      </c>
      <c r="K24" s="253">
        <v>0</v>
      </c>
      <c r="L24" s="253">
        <v>0</v>
      </c>
      <c r="M24" s="253">
        <v>0</v>
      </c>
      <c r="N24" s="253">
        <v>0</v>
      </c>
      <c r="O24" s="253">
        <v>0</v>
      </c>
      <c r="P24" s="170">
        <v>0</v>
      </c>
      <c r="Q24" s="170">
        <v>0</v>
      </c>
      <c r="R24" s="170">
        <v>3000</v>
      </c>
      <c r="S24" s="170">
        <v>2944</v>
      </c>
      <c r="T24" s="170">
        <v>2886</v>
      </c>
      <c r="U24" s="170">
        <v>2824</v>
      </c>
      <c r="V24" s="170">
        <v>2753</v>
      </c>
      <c r="W24" s="170">
        <v>2686</v>
      </c>
      <c r="X24" s="170">
        <v>2624</v>
      </c>
      <c r="Y24" s="170">
        <v>2555</v>
      </c>
    </row>
    <row r="25" spans="1:25" s="8" customFormat="1" x14ac:dyDescent="0.2">
      <c r="A25" s="48" t="s">
        <v>109</v>
      </c>
      <c r="B25" s="139" t="s">
        <v>21</v>
      </c>
      <c r="C25" s="125">
        <f t="shared" ref="C25:T25" si="4">SUM(C15:C24)</f>
        <v>478011</v>
      </c>
      <c r="D25" s="125">
        <f t="shared" si="4"/>
        <v>494273</v>
      </c>
      <c r="E25" s="125">
        <f t="shared" si="4"/>
        <v>498558</v>
      </c>
      <c r="F25" s="125">
        <f t="shared" si="4"/>
        <v>573556</v>
      </c>
      <c r="G25" s="125">
        <f t="shared" si="4"/>
        <v>611018</v>
      </c>
      <c r="H25" s="125">
        <f t="shared" si="4"/>
        <v>613718</v>
      </c>
      <c r="I25" s="125">
        <f t="shared" si="4"/>
        <v>619938</v>
      </c>
      <c r="J25" s="125">
        <f t="shared" si="4"/>
        <v>650783</v>
      </c>
      <c r="K25" s="125">
        <f t="shared" si="4"/>
        <v>642280</v>
      </c>
      <c r="L25" s="125">
        <f t="shared" si="4"/>
        <v>646897</v>
      </c>
      <c r="M25" s="125">
        <f t="shared" si="4"/>
        <v>669022</v>
      </c>
      <c r="N25" s="125">
        <f t="shared" si="4"/>
        <v>706528</v>
      </c>
      <c r="O25" s="125">
        <f t="shared" si="4"/>
        <v>726693</v>
      </c>
      <c r="P25" s="125">
        <f t="shared" si="4"/>
        <v>747431</v>
      </c>
      <c r="Q25" s="125">
        <f t="shared" si="4"/>
        <v>769004</v>
      </c>
      <c r="R25" s="125">
        <f t="shared" si="4"/>
        <v>825470</v>
      </c>
      <c r="S25" s="125">
        <f t="shared" si="4"/>
        <v>798270</v>
      </c>
      <c r="T25" s="125">
        <f t="shared" si="4"/>
        <v>790263</v>
      </c>
      <c r="U25" s="125">
        <f t="shared" ref="U25:V25" si="5">SUM(U15:U24)</f>
        <v>1045137</v>
      </c>
      <c r="V25" s="125">
        <f t="shared" si="5"/>
        <v>1061936</v>
      </c>
      <c r="W25" s="125">
        <f t="shared" ref="W25:X25" si="6">SUM(W15:W24)</f>
        <v>1182582</v>
      </c>
      <c r="X25" s="125">
        <f t="shared" si="6"/>
        <v>1137467</v>
      </c>
      <c r="Y25" s="125">
        <f t="shared" ref="Y25" si="7">SUM(Y15:Y24)</f>
        <v>1145978</v>
      </c>
    </row>
    <row r="26" spans="1:25" x14ac:dyDescent="0.2">
      <c r="A26" s="22" t="s">
        <v>21</v>
      </c>
      <c r="B26" s="124" t="s">
        <v>21</v>
      </c>
      <c r="P26" s="170"/>
    </row>
    <row r="27" spans="1:25" s="38" customFormat="1" x14ac:dyDescent="0.2">
      <c r="A27" s="51" t="s">
        <v>23</v>
      </c>
      <c r="B27" s="138" t="s">
        <v>21</v>
      </c>
      <c r="P27" s="194"/>
    </row>
    <row r="28" spans="1:25" x14ac:dyDescent="0.2">
      <c r="A28" s="69" t="s">
        <v>24</v>
      </c>
      <c r="B28" s="124" t="s">
        <v>21</v>
      </c>
      <c r="P28" s="170"/>
    </row>
    <row r="29" spans="1:25" s="8" customFormat="1" x14ac:dyDescent="0.2">
      <c r="A29" s="71" t="s">
        <v>25</v>
      </c>
      <c r="B29" s="137" t="s">
        <v>21</v>
      </c>
      <c r="C29" s="134">
        <v>4420</v>
      </c>
      <c r="D29" s="134">
        <v>4294</v>
      </c>
      <c r="E29" s="134">
        <v>3343</v>
      </c>
      <c r="F29" s="134">
        <v>4663</v>
      </c>
      <c r="G29" s="134">
        <v>5510</v>
      </c>
      <c r="H29" s="134">
        <v>5832</v>
      </c>
      <c r="I29" s="134">
        <v>3637</v>
      </c>
      <c r="J29" s="134">
        <v>6401</v>
      </c>
      <c r="K29" s="134">
        <v>3146</v>
      </c>
      <c r="L29" s="134">
        <v>4491</v>
      </c>
      <c r="M29" s="134">
        <v>3395</v>
      </c>
      <c r="N29" s="134">
        <v>3288</v>
      </c>
      <c r="O29" s="134">
        <v>5286</v>
      </c>
      <c r="P29" s="170">
        <v>11661</v>
      </c>
      <c r="Q29" s="170">
        <v>3834</v>
      </c>
      <c r="R29" s="170">
        <v>5918</v>
      </c>
      <c r="S29" s="170">
        <v>4114</v>
      </c>
      <c r="T29" s="170">
        <v>5428</v>
      </c>
      <c r="U29" s="170">
        <v>4310</v>
      </c>
      <c r="V29" s="170">
        <v>5653</v>
      </c>
      <c r="W29" s="170">
        <v>4560</v>
      </c>
      <c r="X29" s="170">
        <v>3269</v>
      </c>
      <c r="Y29" s="170">
        <v>3658</v>
      </c>
    </row>
    <row r="30" spans="1:25" s="8" customFormat="1" x14ac:dyDescent="0.2">
      <c r="A30" s="71" t="s">
        <v>199</v>
      </c>
      <c r="B30" s="137"/>
      <c r="C30" s="132">
        <v>0</v>
      </c>
      <c r="D30" s="132">
        <v>0</v>
      </c>
      <c r="E30" s="132">
        <v>0</v>
      </c>
      <c r="F30" s="132">
        <v>0</v>
      </c>
      <c r="G30" s="132">
        <v>5000</v>
      </c>
      <c r="H30" s="132">
        <v>10000</v>
      </c>
      <c r="I30" s="132">
        <v>10000</v>
      </c>
      <c r="J30" s="132">
        <v>10000</v>
      </c>
      <c r="K30" s="132">
        <v>10000</v>
      </c>
      <c r="L30" s="132">
        <v>10000</v>
      </c>
      <c r="M30" s="132">
        <v>5000</v>
      </c>
      <c r="N30" s="132">
        <v>10000</v>
      </c>
      <c r="O30" s="132">
        <v>10000</v>
      </c>
      <c r="P30" s="170">
        <v>10000</v>
      </c>
      <c r="Q30" s="170">
        <v>0</v>
      </c>
      <c r="R30" s="170">
        <v>10318</v>
      </c>
      <c r="S30" s="170">
        <v>318</v>
      </c>
      <c r="T30" s="170">
        <v>10318</v>
      </c>
      <c r="U30" s="170">
        <v>12318</v>
      </c>
      <c r="V30" s="170">
        <v>21423</v>
      </c>
      <c r="W30" s="170">
        <v>20876</v>
      </c>
      <c r="X30" s="170">
        <v>20885</v>
      </c>
      <c r="Y30" s="170">
        <v>20876</v>
      </c>
    </row>
    <row r="31" spans="1:25" x14ac:dyDescent="0.2">
      <c r="A31" s="71" t="s">
        <v>26</v>
      </c>
      <c r="B31" s="135" t="s">
        <v>21</v>
      </c>
      <c r="C31" s="132">
        <v>9520</v>
      </c>
      <c r="D31" s="132">
        <v>9659</v>
      </c>
      <c r="E31" s="132">
        <v>8039</v>
      </c>
      <c r="F31" s="132">
        <v>7690</v>
      </c>
      <c r="G31" s="132">
        <v>13246</v>
      </c>
      <c r="H31" s="132">
        <v>11994</v>
      </c>
      <c r="I31" s="132">
        <v>8110</v>
      </c>
      <c r="J31" s="132">
        <v>11518</v>
      </c>
      <c r="K31" s="132">
        <v>13667</v>
      </c>
      <c r="L31" s="132">
        <v>16157</v>
      </c>
      <c r="M31" s="132">
        <v>9730</v>
      </c>
      <c r="N31" s="132">
        <v>16615</v>
      </c>
      <c r="O31" s="132">
        <v>17968</v>
      </c>
      <c r="P31" s="170">
        <v>14189</v>
      </c>
      <c r="Q31" s="170">
        <v>8662</v>
      </c>
      <c r="R31" s="170">
        <v>10716</v>
      </c>
      <c r="S31" s="170">
        <v>11504</v>
      </c>
      <c r="T31" s="170">
        <v>10448</v>
      </c>
      <c r="U31" s="170">
        <v>7600</v>
      </c>
      <c r="V31" s="170">
        <v>7722</v>
      </c>
      <c r="W31" s="170">
        <v>11132</v>
      </c>
      <c r="X31" s="170">
        <v>11790</v>
      </c>
      <c r="Y31" s="170">
        <v>9585</v>
      </c>
    </row>
    <row r="32" spans="1:25" x14ac:dyDescent="0.2">
      <c r="A32" s="71" t="s">
        <v>27</v>
      </c>
      <c r="B32" s="135" t="s">
        <v>21</v>
      </c>
      <c r="C32" s="132">
        <v>18371</v>
      </c>
      <c r="D32" s="132">
        <v>24886</v>
      </c>
      <c r="E32" s="132">
        <v>28044</v>
      </c>
      <c r="F32" s="132">
        <v>37606</v>
      </c>
      <c r="G32" s="132">
        <v>21021</v>
      </c>
      <c r="H32" s="132">
        <v>28834</v>
      </c>
      <c r="I32" s="132">
        <v>36788</v>
      </c>
      <c r="J32" s="132">
        <v>44526</v>
      </c>
      <c r="K32" s="132">
        <v>24644</v>
      </c>
      <c r="L32" s="132">
        <v>33644</v>
      </c>
      <c r="M32" s="132">
        <v>40660</v>
      </c>
      <c r="N32" s="132">
        <v>50832</v>
      </c>
      <c r="O32" s="132">
        <v>29830</v>
      </c>
      <c r="P32" s="170">
        <v>39135</v>
      </c>
      <c r="Q32" s="170">
        <v>49385</v>
      </c>
      <c r="R32" s="170">
        <v>55664</v>
      </c>
      <c r="S32" s="170">
        <v>27615</v>
      </c>
      <c r="T32" s="170">
        <v>33338</v>
      </c>
      <c r="U32" s="170">
        <v>46638</v>
      </c>
      <c r="V32" s="170">
        <v>54893</v>
      </c>
      <c r="W32" s="170">
        <v>31954</v>
      </c>
      <c r="X32" s="170">
        <v>42967</v>
      </c>
      <c r="Y32" s="170">
        <v>59568</v>
      </c>
    </row>
    <row r="33" spans="1:25" x14ac:dyDescent="0.2">
      <c r="A33" s="71" t="s">
        <v>64</v>
      </c>
      <c r="B33" s="135" t="s">
        <v>21</v>
      </c>
      <c r="C33" s="132">
        <v>30683</v>
      </c>
      <c r="D33" s="132">
        <v>30780</v>
      </c>
      <c r="E33" s="132">
        <v>34637</v>
      </c>
      <c r="F33" s="132">
        <v>41009</v>
      </c>
      <c r="G33" s="132">
        <f>39386+743</f>
        <v>40129</v>
      </c>
      <c r="H33" s="132">
        <v>38232</v>
      </c>
      <c r="I33" s="132">
        <v>34720</v>
      </c>
      <c r="J33" s="132">
        <v>34634</v>
      </c>
      <c r="K33" s="132">
        <v>38187</v>
      </c>
      <c r="L33" s="132">
        <v>36169</v>
      </c>
      <c r="M33" s="132">
        <v>38599</v>
      </c>
      <c r="N33" s="132">
        <v>43496</v>
      </c>
      <c r="O33" s="150">
        <v>47886</v>
      </c>
      <c r="P33" s="170">
        <v>41048</v>
      </c>
      <c r="Q33" s="170">
        <v>49208</v>
      </c>
      <c r="R33" s="170">
        <v>61633</v>
      </c>
      <c r="S33" s="170">
        <v>61394</v>
      </c>
      <c r="T33" s="170">
        <v>60105</v>
      </c>
      <c r="U33" s="170">
        <v>67305</v>
      </c>
      <c r="V33" s="170">
        <v>64392</v>
      </c>
      <c r="W33" s="170">
        <v>66110</v>
      </c>
      <c r="X33" s="170">
        <v>65286</v>
      </c>
      <c r="Y33" s="170">
        <v>70124</v>
      </c>
    </row>
    <row r="34" spans="1:25" x14ac:dyDescent="0.2">
      <c r="A34" s="71" t="s">
        <v>257</v>
      </c>
      <c r="B34" s="135"/>
      <c r="C34" s="132"/>
      <c r="D34" s="132"/>
      <c r="E34" s="132"/>
      <c r="F34" s="170">
        <v>0</v>
      </c>
      <c r="G34" s="132"/>
      <c r="H34" s="132"/>
      <c r="I34" s="132"/>
      <c r="J34" s="170">
        <v>0</v>
      </c>
      <c r="K34" s="132"/>
      <c r="L34" s="132"/>
      <c r="M34" s="132"/>
      <c r="N34" s="170">
        <v>0</v>
      </c>
      <c r="O34" s="150"/>
      <c r="P34" s="170"/>
      <c r="Q34" s="170"/>
      <c r="R34" s="170">
        <v>0</v>
      </c>
      <c r="S34" s="170">
        <v>0</v>
      </c>
      <c r="T34" s="170">
        <v>0</v>
      </c>
      <c r="U34" s="170">
        <v>0</v>
      </c>
      <c r="V34" s="170">
        <v>0</v>
      </c>
      <c r="W34" s="170">
        <v>22306</v>
      </c>
      <c r="X34" s="170">
        <v>23439</v>
      </c>
      <c r="Y34" s="170">
        <v>23516</v>
      </c>
    </row>
    <row r="35" spans="1:25" x14ac:dyDescent="0.2">
      <c r="A35" s="71" t="s">
        <v>28</v>
      </c>
      <c r="B35" s="135"/>
      <c r="C35" s="132"/>
      <c r="D35" s="132"/>
      <c r="E35" s="132"/>
      <c r="F35" s="253">
        <v>0</v>
      </c>
      <c r="G35" s="253"/>
      <c r="H35" s="253"/>
      <c r="I35" s="253"/>
      <c r="J35" s="253">
        <v>0</v>
      </c>
      <c r="K35" s="253">
        <v>0</v>
      </c>
      <c r="L35" s="253">
        <v>0</v>
      </c>
      <c r="M35" s="253">
        <v>0</v>
      </c>
      <c r="N35" s="253">
        <v>0</v>
      </c>
      <c r="O35" s="363">
        <v>0</v>
      </c>
      <c r="P35" s="170">
        <v>0</v>
      </c>
      <c r="Q35" s="170">
        <v>0</v>
      </c>
      <c r="R35" s="170">
        <v>0</v>
      </c>
      <c r="S35" s="170">
        <v>0</v>
      </c>
      <c r="T35" s="170">
        <v>0</v>
      </c>
      <c r="U35" s="170">
        <v>0</v>
      </c>
      <c r="V35" s="170">
        <v>1012</v>
      </c>
      <c r="W35" s="170">
        <v>595</v>
      </c>
      <c r="X35" s="170">
        <v>604</v>
      </c>
      <c r="Y35" s="170">
        <v>575</v>
      </c>
    </row>
    <row r="36" spans="1:25" x14ac:dyDescent="0.2">
      <c r="A36" s="72" t="s">
        <v>29</v>
      </c>
      <c r="B36" s="135" t="s">
        <v>21</v>
      </c>
      <c r="C36" s="136">
        <f t="shared" ref="C36:I36" si="8">SUM(C29:C33)</f>
        <v>62994</v>
      </c>
      <c r="D36" s="136">
        <f t="shared" si="8"/>
        <v>69619</v>
      </c>
      <c r="E36" s="136">
        <f t="shared" si="8"/>
        <v>74063</v>
      </c>
      <c r="F36" s="136">
        <f>SUM(F29:F35)</f>
        <v>90968</v>
      </c>
      <c r="G36" s="136">
        <f t="shared" si="8"/>
        <v>84906</v>
      </c>
      <c r="H36" s="136">
        <f t="shared" si="8"/>
        <v>94892</v>
      </c>
      <c r="I36" s="136">
        <f t="shared" si="8"/>
        <v>93255</v>
      </c>
      <c r="J36" s="136">
        <f t="shared" ref="J36:V36" si="9">SUM(J29:J35)</f>
        <v>107079</v>
      </c>
      <c r="K36" s="136">
        <f t="shared" si="9"/>
        <v>89644</v>
      </c>
      <c r="L36" s="136">
        <f t="shared" si="9"/>
        <v>100461</v>
      </c>
      <c r="M36" s="136">
        <f t="shared" si="9"/>
        <v>97384</v>
      </c>
      <c r="N36" s="136">
        <f t="shared" si="9"/>
        <v>124231</v>
      </c>
      <c r="O36" s="136">
        <f t="shared" si="9"/>
        <v>110970</v>
      </c>
      <c r="P36" s="136">
        <f t="shared" si="9"/>
        <v>116033</v>
      </c>
      <c r="Q36" s="136">
        <f t="shared" si="9"/>
        <v>111089</v>
      </c>
      <c r="R36" s="136">
        <f t="shared" si="9"/>
        <v>144249</v>
      </c>
      <c r="S36" s="136">
        <f t="shared" si="9"/>
        <v>104945</v>
      </c>
      <c r="T36" s="136">
        <f t="shared" si="9"/>
        <v>119637</v>
      </c>
      <c r="U36" s="136">
        <f t="shared" si="9"/>
        <v>138171</v>
      </c>
      <c r="V36" s="136">
        <f t="shared" si="9"/>
        <v>155095</v>
      </c>
      <c r="W36" s="136">
        <f t="shared" ref="W36:X36" si="10">SUM(W29:W35)</f>
        <v>157533</v>
      </c>
      <c r="X36" s="136">
        <f t="shared" si="10"/>
        <v>168240</v>
      </c>
      <c r="Y36" s="136">
        <f t="shared" ref="Y36" si="11">SUM(Y29:Y35)</f>
        <v>187902</v>
      </c>
    </row>
    <row r="37" spans="1:25" x14ac:dyDescent="0.2">
      <c r="A37" s="75" t="s">
        <v>21</v>
      </c>
      <c r="B37" s="135" t="s">
        <v>21</v>
      </c>
      <c r="P37" s="170"/>
    </row>
    <row r="38" spans="1:25" x14ac:dyDescent="0.2">
      <c r="A38" s="76" t="s">
        <v>162</v>
      </c>
      <c r="B38" s="135"/>
      <c r="C38" s="254">
        <v>0</v>
      </c>
      <c r="D38" s="254">
        <v>0</v>
      </c>
      <c r="E38" s="254">
        <v>0</v>
      </c>
      <c r="F38" s="170">
        <v>50000</v>
      </c>
      <c r="G38" s="170">
        <v>75000</v>
      </c>
      <c r="H38" s="170">
        <v>60000</v>
      </c>
      <c r="I38" s="170">
        <v>60000</v>
      </c>
      <c r="J38" s="170">
        <v>60000</v>
      </c>
      <c r="K38" s="170">
        <v>55000</v>
      </c>
      <c r="L38" s="170">
        <v>35000</v>
      </c>
      <c r="M38" s="170">
        <v>40000</v>
      </c>
      <c r="N38" s="170">
        <v>35000</v>
      </c>
      <c r="O38" s="170">
        <v>35000</v>
      </c>
      <c r="P38" s="170">
        <v>35000</v>
      </c>
      <c r="Q38" s="170">
        <v>45000</v>
      </c>
      <c r="R38" s="170">
        <v>50391</v>
      </c>
      <c r="S38" s="170">
        <v>67355</v>
      </c>
      <c r="T38" s="170">
        <v>57326</v>
      </c>
      <c r="U38" s="170">
        <v>288309</v>
      </c>
      <c r="V38" s="170">
        <v>263241</v>
      </c>
      <c r="W38" s="170">
        <v>299765</v>
      </c>
      <c r="X38" s="170">
        <v>231409</v>
      </c>
      <c r="Y38" s="170">
        <v>223916</v>
      </c>
    </row>
    <row r="39" spans="1:25" x14ac:dyDescent="0.2">
      <c r="A39" s="76" t="s">
        <v>65</v>
      </c>
      <c r="B39" s="133" t="s">
        <v>21</v>
      </c>
      <c r="P39" s="170"/>
      <c r="Q39" s="170"/>
    </row>
    <row r="40" spans="1:25" x14ac:dyDescent="0.2">
      <c r="A40" s="71" t="s">
        <v>66</v>
      </c>
      <c r="B40" s="133"/>
      <c r="C40" s="134">
        <v>1222</v>
      </c>
      <c r="D40" s="134">
        <v>977</v>
      </c>
      <c r="E40" s="134">
        <v>850</v>
      </c>
      <c r="F40" s="134">
        <v>560</v>
      </c>
      <c r="G40" s="134">
        <v>424</v>
      </c>
      <c r="H40" s="134">
        <v>323</v>
      </c>
      <c r="I40" s="134">
        <v>304</v>
      </c>
      <c r="J40" s="134">
        <v>278</v>
      </c>
      <c r="K40" s="134">
        <v>278</v>
      </c>
      <c r="L40" s="134">
        <v>252</v>
      </c>
      <c r="M40" s="134">
        <v>214</v>
      </c>
      <c r="N40" s="134">
        <v>300</v>
      </c>
      <c r="O40" s="134">
        <v>285</v>
      </c>
      <c r="P40" s="170">
        <v>310</v>
      </c>
      <c r="Q40" s="170">
        <v>315</v>
      </c>
      <c r="R40" s="170">
        <v>331</v>
      </c>
      <c r="S40" s="170">
        <v>282</v>
      </c>
      <c r="T40" s="170">
        <v>270</v>
      </c>
      <c r="U40" s="170">
        <v>261</v>
      </c>
      <c r="V40" s="170">
        <v>315</v>
      </c>
      <c r="W40" s="170">
        <v>492</v>
      </c>
      <c r="X40" s="170">
        <v>474</v>
      </c>
      <c r="Y40" s="170">
        <v>436</v>
      </c>
    </row>
    <row r="41" spans="1:25" x14ac:dyDescent="0.2">
      <c r="A41" s="71" t="s">
        <v>28</v>
      </c>
      <c r="B41" s="133"/>
      <c r="C41" s="253">
        <v>0</v>
      </c>
      <c r="D41" s="253">
        <v>0</v>
      </c>
      <c r="E41" s="253">
        <v>0</v>
      </c>
      <c r="F41" s="253">
        <v>0</v>
      </c>
      <c r="G41" s="253">
        <v>0</v>
      </c>
      <c r="H41" s="253">
        <v>0</v>
      </c>
      <c r="I41" s="253">
        <v>0</v>
      </c>
      <c r="J41" s="253">
        <v>0</v>
      </c>
      <c r="K41" s="253">
        <v>0</v>
      </c>
      <c r="L41" s="253">
        <v>0</v>
      </c>
      <c r="M41" s="253">
        <v>0</v>
      </c>
      <c r="N41" s="253">
        <v>0</v>
      </c>
      <c r="O41" s="253">
        <v>0</v>
      </c>
      <c r="P41" s="253">
        <v>0</v>
      </c>
      <c r="Q41" s="253">
        <v>0</v>
      </c>
      <c r="R41" s="170">
        <v>13557</v>
      </c>
      <c r="S41" s="170">
        <v>8721</v>
      </c>
      <c r="T41" s="170">
        <v>8721</v>
      </c>
      <c r="U41" s="170">
        <v>8721</v>
      </c>
      <c r="V41" s="170">
        <v>0</v>
      </c>
      <c r="W41" s="170">
        <v>0</v>
      </c>
      <c r="X41" s="170">
        <v>0</v>
      </c>
      <c r="Y41" s="170">
        <v>0</v>
      </c>
    </row>
    <row r="42" spans="1:25" x14ac:dyDescent="0.2">
      <c r="A42" s="71" t="s">
        <v>234</v>
      </c>
      <c r="B42" s="133"/>
      <c r="C42" s="253"/>
      <c r="D42" s="253"/>
      <c r="E42" s="253"/>
      <c r="F42" s="253">
        <v>0</v>
      </c>
      <c r="G42" s="253">
        <v>0</v>
      </c>
      <c r="H42" s="253">
        <v>0</v>
      </c>
      <c r="I42" s="253">
        <v>0</v>
      </c>
      <c r="J42" s="253">
        <v>0</v>
      </c>
      <c r="K42" s="253">
        <v>0</v>
      </c>
      <c r="L42" s="253">
        <v>0</v>
      </c>
      <c r="M42" s="253">
        <v>0</v>
      </c>
      <c r="N42" s="253">
        <v>0</v>
      </c>
      <c r="O42" s="253">
        <v>0</v>
      </c>
      <c r="P42" s="253">
        <v>0</v>
      </c>
      <c r="Q42" s="253">
        <v>0</v>
      </c>
      <c r="R42" s="364">
        <v>695</v>
      </c>
      <c r="S42" s="253">
        <v>0</v>
      </c>
      <c r="T42" s="253">
        <v>0</v>
      </c>
      <c r="U42" s="170">
        <v>13352</v>
      </c>
      <c r="V42" s="170">
        <v>8445</v>
      </c>
      <c r="W42" s="170">
        <v>10103</v>
      </c>
      <c r="X42" s="170">
        <v>6366</v>
      </c>
      <c r="Y42" s="170">
        <v>720</v>
      </c>
    </row>
    <row r="43" spans="1:25" x14ac:dyDescent="0.2">
      <c r="A43" s="71" t="s">
        <v>258</v>
      </c>
      <c r="B43" s="133"/>
      <c r="C43" s="253"/>
      <c r="D43" s="253"/>
      <c r="E43" s="253"/>
      <c r="F43" s="253">
        <v>0</v>
      </c>
      <c r="G43" s="253"/>
      <c r="H43" s="253"/>
      <c r="I43" s="253"/>
      <c r="J43" s="253">
        <v>0</v>
      </c>
      <c r="K43" s="253"/>
      <c r="L43" s="253"/>
      <c r="M43" s="253"/>
      <c r="N43" s="253">
        <v>0</v>
      </c>
      <c r="O43" s="253"/>
      <c r="P43" s="253"/>
      <c r="Q43" s="253"/>
      <c r="R43" s="364">
        <v>0</v>
      </c>
      <c r="S43" s="253">
        <v>0</v>
      </c>
      <c r="T43" s="253">
        <v>0</v>
      </c>
      <c r="U43" s="170">
        <v>0</v>
      </c>
      <c r="V43" s="170">
        <v>0</v>
      </c>
      <c r="W43" s="170">
        <v>77060</v>
      </c>
      <c r="X43" s="170">
        <v>80531</v>
      </c>
      <c r="Y43" s="170">
        <v>76080</v>
      </c>
    </row>
    <row r="44" spans="1:25" x14ac:dyDescent="0.2">
      <c r="A44" s="71" t="s">
        <v>32</v>
      </c>
      <c r="B44" s="133"/>
      <c r="C44" s="132">
        <v>19107</v>
      </c>
      <c r="D44" s="132">
        <v>14385</v>
      </c>
      <c r="E44" s="132">
        <v>14530</v>
      </c>
      <c r="F44" s="132">
        <v>12870</v>
      </c>
      <c r="G44" s="132">
        <v>13727</v>
      </c>
      <c r="H44" s="132">
        <v>14041</v>
      </c>
      <c r="I44" s="132">
        <v>18971</v>
      </c>
      <c r="J44" s="132">
        <v>17655</v>
      </c>
      <c r="K44" s="132">
        <v>13565</v>
      </c>
      <c r="L44" s="132">
        <v>14185</v>
      </c>
      <c r="M44" s="132">
        <v>13205</v>
      </c>
      <c r="N44" s="132">
        <v>14819</v>
      </c>
      <c r="O44" s="132">
        <v>17729</v>
      </c>
      <c r="P44" s="170">
        <v>16166</v>
      </c>
      <c r="Q44" s="170">
        <v>16234</v>
      </c>
      <c r="R44" s="170">
        <v>16202</v>
      </c>
      <c r="S44" s="170">
        <v>15262</v>
      </c>
      <c r="T44" s="170">
        <v>18830</v>
      </c>
      <c r="U44" s="170">
        <v>21875</v>
      </c>
      <c r="V44" s="170">
        <v>16521</v>
      </c>
      <c r="W44" s="170">
        <v>6794</v>
      </c>
      <c r="X44" s="170">
        <v>9094</v>
      </c>
      <c r="Y44" s="170">
        <v>9241</v>
      </c>
    </row>
    <row r="45" spans="1:25" x14ac:dyDescent="0.2">
      <c r="A45" s="44" t="s">
        <v>74</v>
      </c>
      <c r="B45" s="45" t="s">
        <v>21</v>
      </c>
      <c r="C45" s="127">
        <f t="shared" ref="C45:S45" si="12">SUM(C36:C44)</f>
        <v>83323</v>
      </c>
      <c r="D45" s="127">
        <f t="shared" si="12"/>
        <v>84981</v>
      </c>
      <c r="E45" s="127">
        <f t="shared" si="12"/>
        <v>89443</v>
      </c>
      <c r="F45" s="127">
        <f t="shared" si="12"/>
        <v>154398</v>
      </c>
      <c r="G45" s="127">
        <f t="shared" si="12"/>
        <v>174057</v>
      </c>
      <c r="H45" s="127">
        <f t="shared" si="12"/>
        <v>169256</v>
      </c>
      <c r="I45" s="127">
        <f t="shared" si="12"/>
        <v>172530</v>
      </c>
      <c r="J45" s="127">
        <f t="shared" si="12"/>
        <v>185012</v>
      </c>
      <c r="K45" s="127">
        <f t="shared" si="12"/>
        <v>158487</v>
      </c>
      <c r="L45" s="127">
        <f t="shared" si="12"/>
        <v>149898</v>
      </c>
      <c r="M45" s="127">
        <f t="shared" si="12"/>
        <v>150803</v>
      </c>
      <c r="N45" s="127">
        <f t="shared" si="12"/>
        <v>174350</v>
      </c>
      <c r="O45" s="127">
        <f t="shared" si="12"/>
        <v>163984</v>
      </c>
      <c r="P45" s="127">
        <f t="shared" si="12"/>
        <v>167509</v>
      </c>
      <c r="Q45" s="127">
        <f t="shared" si="12"/>
        <v>172638</v>
      </c>
      <c r="R45" s="127">
        <f t="shared" si="12"/>
        <v>225425</v>
      </c>
      <c r="S45" s="127">
        <f t="shared" si="12"/>
        <v>196565</v>
      </c>
      <c r="T45" s="127">
        <f t="shared" ref="T45:U45" si="13">SUM(T36:T44)</f>
        <v>204784</v>
      </c>
      <c r="U45" s="127">
        <f t="shared" si="13"/>
        <v>470689</v>
      </c>
      <c r="V45" s="127">
        <f t="shared" ref="V45:X45" si="14">SUM(V36:V44)</f>
        <v>443617</v>
      </c>
      <c r="W45" s="127">
        <f t="shared" si="14"/>
        <v>551747</v>
      </c>
      <c r="X45" s="127">
        <f t="shared" si="14"/>
        <v>496114</v>
      </c>
      <c r="Y45" s="127">
        <f t="shared" ref="Y45" si="15">SUM(Y36:Y44)</f>
        <v>498295</v>
      </c>
    </row>
    <row r="46" spans="1:25" x14ac:dyDescent="0.2">
      <c r="A46" s="19" t="s">
        <v>21</v>
      </c>
      <c r="B46" s="2" t="s">
        <v>21</v>
      </c>
      <c r="P46" s="170"/>
    </row>
    <row r="47" spans="1:25" ht="25.5" x14ac:dyDescent="0.2">
      <c r="A47" s="20" t="s">
        <v>75</v>
      </c>
      <c r="B47" s="2" t="s">
        <v>21</v>
      </c>
      <c r="C47" s="126">
        <v>0</v>
      </c>
      <c r="D47" s="126">
        <v>0</v>
      </c>
      <c r="E47" s="126">
        <v>0</v>
      </c>
      <c r="F47" s="126">
        <v>0</v>
      </c>
      <c r="G47" s="126">
        <v>0</v>
      </c>
      <c r="H47" s="126">
        <v>0</v>
      </c>
      <c r="I47" s="126">
        <v>0</v>
      </c>
      <c r="J47" s="126">
        <v>0</v>
      </c>
      <c r="K47" s="126">
        <v>0</v>
      </c>
      <c r="L47" s="126">
        <v>0</v>
      </c>
      <c r="M47" s="126">
        <v>0</v>
      </c>
      <c r="N47" s="126">
        <v>0</v>
      </c>
      <c r="O47" s="126">
        <v>0</v>
      </c>
      <c r="P47" s="126">
        <v>0</v>
      </c>
      <c r="Q47" s="126">
        <v>0</v>
      </c>
      <c r="R47" s="126">
        <v>0</v>
      </c>
      <c r="S47" s="126">
        <v>0</v>
      </c>
      <c r="T47" s="126">
        <v>0</v>
      </c>
      <c r="U47" s="126">
        <v>0</v>
      </c>
      <c r="V47" s="126">
        <v>0</v>
      </c>
      <c r="W47" s="126">
        <v>0</v>
      </c>
      <c r="X47" s="126">
        <v>0</v>
      </c>
      <c r="Y47" s="126">
        <v>0</v>
      </c>
    </row>
    <row r="48" spans="1:25" x14ac:dyDescent="0.2">
      <c r="A48" s="19"/>
      <c r="P48" s="170"/>
    </row>
    <row r="49" spans="1:226" x14ac:dyDescent="0.2">
      <c r="A49" s="21" t="s">
        <v>110</v>
      </c>
      <c r="B49" s="8" t="s">
        <v>21</v>
      </c>
      <c r="P49" s="170"/>
    </row>
    <row r="50" spans="1:226" x14ac:dyDescent="0.2">
      <c r="A50" s="107"/>
      <c r="B50" s="8"/>
      <c r="P50" s="170"/>
    </row>
    <row r="51" spans="1:226" x14ac:dyDescent="0.2">
      <c r="A51" s="20" t="s">
        <v>76</v>
      </c>
      <c r="B51" s="38" t="s">
        <v>21</v>
      </c>
      <c r="C51" s="126">
        <v>34</v>
      </c>
      <c r="D51" s="126">
        <v>34</v>
      </c>
      <c r="E51" s="126">
        <v>34</v>
      </c>
      <c r="F51" s="126">
        <v>34</v>
      </c>
      <c r="G51" s="126">
        <v>35</v>
      </c>
      <c r="H51" s="126">
        <v>35</v>
      </c>
      <c r="I51" s="126">
        <v>35</v>
      </c>
      <c r="J51" s="126">
        <v>35</v>
      </c>
      <c r="K51" s="126">
        <v>35</v>
      </c>
      <c r="L51" s="126">
        <v>35</v>
      </c>
      <c r="M51" s="126">
        <v>36</v>
      </c>
      <c r="N51" s="126">
        <v>36</v>
      </c>
      <c r="O51" s="126">
        <v>36</v>
      </c>
      <c r="P51" s="170">
        <v>36</v>
      </c>
      <c r="Q51" s="170">
        <v>37</v>
      </c>
      <c r="R51" s="170">
        <v>37</v>
      </c>
      <c r="S51" s="170">
        <v>38</v>
      </c>
      <c r="T51" s="170">
        <v>38</v>
      </c>
      <c r="U51" s="170">
        <v>38</v>
      </c>
      <c r="V51" s="170">
        <v>38</v>
      </c>
      <c r="W51" s="170">
        <v>38</v>
      </c>
      <c r="X51" s="170">
        <v>38</v>
      </c>
      <c r="Y51" s="170">
        <v>38</v>
      </c>
    </row>
    <row r="52" spans="1:226" x14ac:dyDescent="0.2">
      <c r="A52" s="20" t="s">
        <v>30</v>
      </c>
      <c r="B52" s="2" t="s">
        <v>21</v>
      </c>
      <c r="C52" s="131">
        <v>220370</v>
      </c>
      <c r="D52" s="131">
        <v>223477</v>
      </c>
      <c r="E52" s="131">
        <v>228009</v>
      </c>
      <c r="F52" s="131">
        <v>233173</v>
      </c>
      <c r="G52" s="131">
        <v>239311</v>
      </c>
      <c r="H52" s="131">
        <v>243348</v>
      </c>
      <c r="I52" s="131">
        <v>248614</v>
      </c>
      <c r="J52" s="131">
        <v>254052</v>
      </c>
      <c r="K52" s="131">
        <v>261871</v>
      </c>
      <c r="L52" s="131">
        <v>268506</v>
      </c>
      <c r="M52" s="131">
        <v>275020</v>
      </c>
      <c r="N52" s="131">
        <v>284646</v>
      </c>
      <c r="O52" s="131">
        <v>296792</v>
      </c>
      <c r="P52" s="170">
        <v>303486</v>
      </c>
      <c r="Q52" s="170">
        <v>311691</v>
      </c>
      <c r="R52" s="170">
        <v>322246</v>
      </c>
      <c r="S52" s="170">
        <v>327750</v>
      </c>
      <c r="T52" s="170">
        <v>334643</v>
      </c>
      <c r="U52" s="170">
        <v>344720</v>
      </c>
      <c r="V52" s="170">
        <v>364179</v>
      </c>
      <c r="W52" s="170">
        <v>371144</v>
      </c>
      <c r="X52" s="170">
        <v>378633</v>
      </c>
      <c r="Y52" s="170">
        <v>386060</v>
      </c>
    </row>
    <row r="53" spans="1:226" x14ac:dyDescent="0.2">
      <c r="A53" s="72" t="s">
        <v>33</v>
      </c>
      <c r="B53" s="74" t="s">
        <v>21</v>
      </c>
      <c r="C53" s="131">
        <v>248126</v>
      </c>
      <c r="D53" s="131">
        <v>255889</v>
      </c>
      <c r="E53" s="131">
        <v>261964</v>
      </c>
      <c r="F53" s="131">
        <v>269424</v>
      </c>
      <c r="G53" s="131">
        <f>F53+9567</f>
        <v>278991</v>
      </c>
      <c r="H53" s="131">
        <v>291065</v>
      </c>
      <c r="I53" s="131">
        <v>306227</v>
      </c>
      <c r="J53" s="131">
        <v>320989</v>
      </c>
      <c r="K53" s="131">
        <v>334809</v>
      </c>
      <c r="L53" s="131">
        <v>351184</v>
      </c>
      <c r="M53" s="131">
        <v>367234</v>
      </c>
      <c r="N53" s="131">
        <v>382722</v>
      </c>
      <c r="O53" s="131">
        <v>394964</v>
      </c>
      <c r="P53" s="170">
        <v>415342</v>
      </c>
      <c r="Q53" s="170">
        <v>436419</v>
      </c>
      <c r="R53" s="170">
        <v>427064</v>
      </c>
      <c r="S53" s="170">
        <v>450676</v>
      </c>
      <c r="T53" s="170">
        <v>465138</v>
      </c>
      <c r="U53" s="170">
        <v>480387</v>
      </c>
      <c r="V53" s="170">
        <v>484244</v>
      </c>
      <c r="W53" s="170">
        <v>498939</v>
      </c>
      <c r="X53" s="170">
        <v>511503</v>
      </c>
      <c r="Y53" s="170">
        <v>530547</v>
      </c>
    </row>
    <row r="54" spans="1:226" x14ac:dyDescent="0.2">
      <c r="A54" s="72" t="s">
        <v>133</v>
      </c>
      <c r="B54" s="74" t="s">
        <v>21</v>
      </c>
      <c r="C54" s="131">
        <v>-48741</v>
      </c>
      <c r="D54" s="131">
        <v>-45007</v>
      </c>
      <c r="E54" s="131">
        <v>-52928</v>
      </c>
      <c r="F54" s="131">
        <v>-55509</v>
      </c>
      <c r="G54" s="131">
        <v>-53015</v>
      </c>
      <c r="H54" s="131">
        <v>-56917</v>
      </c>
      <c r="I54" s="131">
        <v>-66250</v>
      </c>
      <c r="J54" s="131">
        <v>-67325</v>
      </c>
      <c r="K54" s="131">
        <v>-64087</v>
      </c>
      <c r="L54" s="131">
        <v>-71045</v>
      </c>
      <c r="M54" s="131">
        <v>-66924</v>
      </c>
      <c r="N54" s="131">
        <v>-75057</v>
      </c>
      <c r="O54" s="131">
        <v>-57013</v>
      </c>
      <c r="P54" s="170">
        <v>-55451</v>
      </c>
      <c r="Q54" s="170">
        <v>-59290</v>
      </c>
      <c r="R54" s="170">
        <v>-45710</v>
      </c>
      <c r="S54" s="170">
        <v>-59670</v>
      </c>
      <c r="T54" s="170">
        <v>-87621</v>
      </c>
      <c r="U54" s="170">
        <v>-114330</v>
      </c>
      <c r="V54" s="170">
        <v>-83467</v>
      </c>
      <c r="W54" s="170">
        <v>-77212</v>
      </c>
      <c r="X54" s="170">
        <v>-74358</v>
      </c>
      <c r="Y54" s="170">
        <v>-86153</v>
      </c>
    </row>
    <row r="55" spans="1:226" x14ac:dyDescent="0.2">
      <c r="A55" s="20" t="s">
        <v>212</v>
      </c>
      <c r="B55" s="2" t="s">
        <v>21</v>
      </c>
      <c r="C55" s="131">
        <v>-25101</v>
      </c>
      <c r="D55" s="131">
        <v>-25101</v>
      </c>
      <c r="E55" s="131">
        <v>-27964</v>
      </c>
      <c r="F55" s="131">
        <v>-27964</v>
      </c>
      <c r="G55" s="131">
        <v>-28361</v>
      </c>
      <c r="H55" s="131">
        <v>-33069</v>
      </c>
      <c r="I55" s="131">
        <v>-41218</v>
      </c>
      <c r="J55" s="131">
        <v>-42159</v>
      </c>
      <c r="K55" s="131">
        <v>-49014</v>
      </c>
      <c r="L55" s="131">
        <v>-51863</v>
      </c>
      <c r="M55" s="131">
        <v>-57328</v>
      </c>
      <c r="N55" s="131">
        <v>-60362</v>
      </c>
      <c r="O55" s="131">
        <v>-72275</v>
      </c>
      <c r="P55" s="170">
        <v>-83694</v>
      </c>
      <c r="Q55" s="170">
        <v>-92698</v>
      </c>
      <c r="R55" s="170">
        <v>-103816</v>
      </c>
      <c r="S55" s="170">
        <v>-117320</v>
      </c>
      <c r="T55" s="170">
        <v>-126952</v>
      </c>
      <c r="U55" s="170">
        <v>-136609</v>
      </c>
      <c r="V55" s="170">
        <v>-146925</v>
      </c>
      <c r="W55" s="170">
        <v>-162333</v>
      </c>
      <c r="X55" s="170">
        <v>-174463</v>
      </c>
      <c r="Y55" s="170">
        <v>-182809</v>
      </c>
    </row>
    <row r="56" spans="1:226" x14ac:dyDescent="0.2">
      <c r="A56" s="128" t="s">
        <v>124</v>
      </c>
      <c r="B56" s="45" t="s">
        <v>21</v>
      </c>
      <c r="C56" s="127">
        <f t="shared" ref="C56:G56" si="16">SUM(C47:C55)</f>
        <v>394688</v>
      </c>
      <c r="D56" s="127">
        <f t="shared" si="16"/>
        <v>409292</v>
      </c>
      <c r="E56" s="127">
        <f t="shared" si="16"/>
        <v>409115</v>
      </c>
      <c r="F56" s="127">
        <f t="shared" si="16"/>
        <v>419158</v>
      </c>
      <c r="G56" s="127">
        <f t="shared" si="16"/>
        <v>436961</v>
      </c>
      <c r="H56" s="127">
        <f t="shared" ref="H56:I56" si="17">SUM(H47:H55)</f>
        <v>444462</v>
      </c>
      <c r="I56" s="127">
        <f t="shared" si="17"/>
        <v>447408</v>
      </c>
      <c r="J56" s="127">
        <f t="shared" ref="J56:K56" si="18">SUM(J47:J55)</f>
        <v>465592</v>
      </c>
      <c r="K56" s="127">
        <f t="shared" si="18"/>
        <v>483614</v>
      </c>
      <c r="L56" s="127">
        <f t="shared" ref="L56:M56" si="19">SUM(L47:L55)</f>
        <v>496817</v>
      </c>
      <c r="M56" s="127">
        <f t="shared" si="19"/>
        <v>518038</v>
      </c>
      <c r="N56" s="127">
        <f t="shared" ref="N56:S56" si="20">SUM(N47:N55)</f>
        <v>531985</v>
      </c>
      <c r="O56" s="127">
        <f t="shared" si="20"/>
        <v>562504</v>
      </c>
      <c r="P56" s="127">
        <f t="shared" si="20"/>
        <v>579719</v>
      </c>
      <c r="Q56" s="127">
        <f t="shared" si="20"/>
        <v>596159</v>
      </c>
      <c r="R56" s="127">
        <f t="shared" si="20"/>
        <v>599821</v>
      </c>
      <c r="S56" s="127">
        <f t="shared" si="20"/>
        <v>601474</v>
      </c>
      <c r="T56" s="127">
        <f t="shared" ref="T56:U56" si="21">SUM(T47:T55)</f>
        <v>585246</v>
      </c>
      <c r="U56" s="127">
        <f t="shared" si="21"/>
        <v>574206</v>
      </c>
      <c r="V56" s="127">
        <f t="shared" ref="V56:X56" si="22">SUM(V47:V55)</f>
        <v>618069</v>
      </c>
      <c r="W56" s="127">
        <f t="shared" si="22"/>
        <v>630576</v>
      </c>
      <c r="X56" s="127">
        <f t="shared" si="22"/>
        <v>641353</v>
      </c>
      <c r="Y56" s="127">
        <f t="shared" ref="Y56" si="23">SUM(Y47:Y55)</f>
        <v>647683</v>
      </c>
    </row>
    <row r="57" spans="1:226" x14ac:dyDescent="0.2">
      <c r="A57" s="130" t="s">
        <v>140</v>
      </c>
      <c r="B57" s="1"/>
      <c r="C57" s="2">
        <v>0</v>
      </c>
      <c r="D57" s="2">
        <v>0</v>
      </c>
      <c r="E57" s="2">
        <v>0</v>
      </c>
      <c r="F57" s="2">
        <v>0</v>
      </c>
      <c r="G57" s="2">
        <v>0</v>
      </c>
      <c r="H57" s="2">
        <v>0</v>
      </c>
      <c r="I57" s="2">
        <v>0</v>
      </c>
      <c r="J57" s="2">
        <v>179</v>
      </c>
      <c r="K57" s="2">
        <v>179</v>
      </c>
      <c r="L57" s="2">
        <v>182</v>
      </c>
      <c r="M57" s="2">
        <v>181</v>
      </c>
      <c r="N57" s="2">
        <v>193</v>
      </c>
      <c r="O57" s="2">
        <v>205</v>
      </c>
      <c r="P57" s="170">
        <v>203</v>
      </c>
      <c r="Q57" s="2">
        <v>207</v>
      </c>
      <c r="R57" s="2">
        <v>224</v>
      </c>
      <c r="S57" s="2">
        <v>231</v>
      </c>
      <c r="T57" s="2">
        <v>233</v>
      </c>
      <c r="U57" s="170">
        <v>242</v>
      </c>
      <c r="V57" s="170">
        <v>250</v>
      </c>
      <c r="W57" s="170">
        <v>259</v>
      </c>
      <c r="X57" s="170">
        <v>0</v>
      </c>
      <c r="Y57" s="170">
        <v>0</v>
      </c>
    </row>
    <row r="58" spans="1:226" x14ac:dyDescent="0.2">
      <c r="A58" s="128" t="s">
        <v>125</v>
      </c>
      <c r="B58" s="45" t="s">
        <v>21</v>
      </c>
      <c r="C58" s="127">
        <f t="shared" ref="C58:G58" si="24">SUM(C56:C57)</f>
        <v>394688</v>
      </c>
      <c r="D58" s="127">
        <f t="shared" si="24"/>
        <v>409292</v>
      </c>
      <c r="E58" s="127">
        <f t="shared" si="24"/>
        <v>409115</v>
      </c>
      <c r="F58" s="127">
        <f t="shared" si="24"/>
        <v>419158</v>
      </c>
      <c r="G58" s="127">
        <f t="shared" si="24"/>
        <v>436961</v>
      </c>
      <c r="H58" s="127">
        <f t="shared" ref="H58:I58" si="25">SUM(H56:H57)</f>
        <v>444462</v>
      </c>
      <c r="I58" s="127">
        <f t="shared" si="25"/>
        <v>447408</v>
      </c>
      <c r="J58" s="127">
        <f t="shared" ref="J58:K58" si="26">SUM(J56:J57)</f>
        <v>465771</v>
      </c>
      <c r="K58" s="127">
        <f t="shared" si="26"/>
        <v>483793</v>
      </c>
      <c r="L58" s="127">
        <f t="shared" ref="L58:M58" si="27">SUM(L56:L57)</f>
        <v>496999</v>
      </c>
      <c r="M58" s="127">
        <f t="shared" si="27"/>
        <v>518219</v>
      </c>
      <c r="N58" s="127">
        <f t="shared" ref="N58:S58" si="28">SUM(N56:N57)</f>
        <v>532178</v>
      </c>
      <c r="O58" s="127">
        <f t="shared" si="28"/>
        <v>562709</v>
      </c>
      <c r="P58" s="127">
        <f t="shared" si="28"/>
        <v>579922</v>
      </c>
      <c r="Q58" s="127">
        <f t="shared" si="28"/>
        <v>596366</v>
      </c>
      <c r="R58" s="127">
        <f t="shared" si="28"/>
        <v>600045</v>
      </c>
      <c r="S58" s="127">
        <f t="shared" si="28"/>
        <v>601705</v>
      </c>
      <c r="T58" s="127">
        <f t="shared" ref="T58:U58" si="29">SUM(T56:T57)</f>
        <v>585479</v>
      </c>
      <c r="U58" s="127">
        <f t="shared" si="29"/>
        <v>574448</v>
      </c>
      <c r="V58" s="127">
        <f t="shared" ref="V58:X58" si="30">SUM(V56:V57)</f>
        <v>618319</v>
      </c>
      <c r="W58" s="127">
        <f t="shared" si="30"/>
        <v>630835</v>
      </c>
      <c r="X58" s="127">
        <f t="shared" si="30"/>
        <v>641353</v>
      </c>
      <c r="Y58" s="127">
        <f t="shared" ref="Y58" si="31">SUM(Y56:Y57)</f>
        <v>647683</v>
      </c>
    </row>
    <row r="59" spans="1:226" x14ac:dyDescent="0.2">
      <c r="A59" s="22" t="s">
        <v>21</v>
      </c>
      <c r="B59" s="2" t="s">
        <v>21</v>
      </c>
      <c r="P59" s="170"/>
    </row>
    <row r="60" spans="1:226" s="50" customFormat="1" x14ac:dyDescent="0.2">
      <c r="A60" s="48" t="s">
        <v>111</v>
      </c>
      <c r="B60" s="49" t="s">
        <v>21</v>
      </c>
      <c r="C60" s="125">
        <f t="shared" ref="C60:G60" si="32">C58+C45</f>
        <v>478011</v>
      </c>
      <c r="D60" s="125">
        <f t="shared" si="32"/>
        <v>494273</v>
      </c>
      <c r="E60" s="125">
        <f t="shared" si="32"/>
        <v>498558</v>
      </c>
      <c r="F60" s="125">
        <f t="shared" si="32"/>
        <v>573556</v>
      </c>
      <c r="G60" s="125">
        <f t="shared" si="32"/>
        <v>611018</v>
      </c>
      <c r="H60" s="125">
        <f t="shared" ref="H60:I60" si="33">H58+H45</f>
        <v>613718</v>
      </c>
      <c r="I60" s="125">
        <f t="shared" si="33"/>
        <v>619938</v>
      </c>
      <c r="J60" s="125">
        <f t="shared" ref="J60:K60" si="34">J58+J45</f>
        <v>650783</v>
      </c>
      <c r="K60" s="125">
        <f t="shared" si="34"/>
        <v>642280</v>
      </c>
      <c r="L60" s="125">
        <f t="shared" ref="L60:M60" si="35">L58+L45</f>
        <v>646897</v>
      </c>
      <c r="M60" s="125">
        <f t="shared" si="35"/>
        <v>669022</v>
      </c>
      <c r="N60" s="125">
        <f t="shared" ref="N60:P60" si="36">N58+N45</f>
        <v>706528</v>
      </c>
      <c r="O60" s="125">
        <f t="shared" si="36"/>
        <v>726693</v>
      </c>
      <c r="P60" s="125">
        <f t="shared" si="36"/>
        <v>747431</v>
      </c>
      <c r="Q60" s="125">
        <f t="shared" ref="Q60:V60" si="37">Q58+Q45</f>
        <v>769004</v>
      </c>
      <c r="R60" s="125">
        <f t="shared" si="37"/>
        <v>825470</v>
      </c>
      <c r="S60" s="125">
        <f t="shared" si="37"/>
        <v>798270</v>
      </c>
      <c r="T60" s="125">
        <f t="shared" si="37"/>
        <v>790263</v>
      </c>
      <c r="U60" s="125">
        <f t="shared" si="37"/>
        <v>1045137</v>
      </c>
      <c r="V60" s="125">
        <f t="shared" si="37"/>
        <v>1061936</v>
      </c>
      <c r="W60" s="125">
        <f t="shared" ref="W60:X60" si="38">W58+W45</f>
        <v>1182582</v>
      </c>
      <c r="X60" s="125">
        <f t="shared" si="38"/>
        <v>1137467</v>
      </c>
      <c r="Y60" s="125">
        <f t="shared" ref="Y60" si="39">Y58+Y45</f>
        <v>1145978</v>
      </c>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row>
    <row r="61" spans="1:226" hidden="1" x14ac:dyDescent="0.2">
      <c r="C61" s="108"/>
      <c r="D61" s="108"/>
      <c r="E61" s="108"/>
      <c r="F61" s="108"/>
      <c r="G61" s="108"/>
      <c r="H61" s="108"/>
      <c r="I61" s="108"/>
      <c r="J61" s="108"/>
      <c r="K61" s="108"/>
      <c r="L61" s="108"/>
      <c r="M61" s="108"/>
    </row>
    <row r="62" spans="1:226" hidden="1" x14ac:dyDescent="0.2"/>
    <row r="63" spans="1:226" hidden="1" x14ac:dyDescent="0.2"/>
    <row r="64" spans="1:226" hidden="1" x14ac:dyDescent="0.2">
      <c r="C64" s="108"/>
      <c r="D64" s="108"/>
      <c r="E64" s="108"/>
      <c r="F64" s="108"/>
      <c r="G64" s="108"/>
      <c r="H64" s="108"/>
      <c r="I64" s="108"/>
      <c r="J64" s="108"/>
      <c r="K64" s="108"/>
      <c r="L64" s="108">
        <f>L60-L25</f>
        <v>0</v>
      </c>
      <c r="M64" s="108">
        <f>M60-M25</f>
        <v>0</v>
      </c>
    </row>
    <row r="65" spans="1:25" x14ac:dyDescent="0.2">
      <c r="F65" s="108"/>
      <c r="G65" s="108"/>
      <c r="H65" s="108"/>
      <c r="I65" s="108"/>
      <c r="J65" s="108"/>
      <c r="K65" s="108"/>
      <c r="L65" s="108"/>
      <c r="M65" s="108"/>
      <c r="N65" s="108"/>
      <c r="O65" s="108"/>
    </row>
    <row r="66" spans="1:25" x14ac:dyDescent="0.2">
      <c r="C66" s="254">
        <f>C25-C60</f>
        <v>0</v>
      </c>
      <c r="D66" s="254">
        <f t="shared" ref="D66:S66" si="40">D25-D60</f>
        <v>0</v>
      </c>
      <c r="E66" s="254">
        <f t="shared" si="40"/>
        <v>0</v>
      </c>
      <c r="F66" s="254">
        <f t="shared" si="40"/>
        <v>0</v>
      </c>
      <c r="G66" s="254">
        <f t="shared" si="40"/>
        <v>0</v>
      </c>
      <c r="H66" s="254">
        <f t="shared" si="40"/>
        <v>0</v>
      </c>
      <c r="I66" s="254">
        <f t="shared" si="40"/>
        <v>0</v>
      </c>
      <c r="J66" s="254">
        <f t="shared" si="40"/>
        <v>0</v>
      </c>
      <c r="K66" s="254">
        <f t="shared" si="40"/>
        <v>0</v>
      </c>
      <c r="L66" s="254">
        <f t="shared" si="40"/>
        <v>0</v>
      </c>
      <c r="M66" s="254">
        <f t="shared" si="40"/>
        <v>0</v>
      </c>
      <c r="N66" s="254">
        <f t="shared" si="40"/>
        <v>0</v>
      </c>
      <c r="O66" s="254">
        <f t="shared" si="40"/>
        <v>0</v>
      </c>
      <c r="P66" s="254">
        <f t="shared" si="40"/>
        <v>0</v>
      </c>
      <c r="Q66" s="254">
        <f t="shared" si="40"/>
        <v>0</v>
      </c>
      <c r="R66" s="254">
        <f t="shared" si="40"/>
        <v>0</v>
      </c>
      <c r="S66" s="254">
        <f t="shared" si="40"/>
        <v>0</v>
      </c>
      <c r="T66" s="254">
        <f t="shared" ref="T66:U66" si="41">T25-T60</f>
        <v>0</v>
      </c>
      <c r="U66" s="170">
        <f t="shared" si="41"/>
        <v>0</v>
      </c>
      <c r="V66" s="170">
        <f t="shared" ref="V66:X66" si="42">V25-V60</f>
        <v>0</v>
      </c>
      <c r="W66" s="170">
        <f t="shared" si="42"/>
        <v>0</v>
      </c>
      <c r="X66" s="170">
        <f t="shared" si="42"/>
        <v>0</v>
      </c>
      <c r="Y66" s="170">
        <f t="shared" ref="Y66" si="43">Y25-Y60</f>
        <v>0</v>
      </c>
    </row>
    <row r="68" spans="1:25" x14ac:dyDescent="0.2">
      <c r="A68" s="2"/>
    </row>
    <row r="69" spans="1:25" x14ac:dyDescent="0.2">
      <c r="A69" s="2"/>
    </row>
    <row r="70" spans="1:25" x14ac:dyDescent="0.2">
      <c r="A70" s="2"/>
    </row>
    <row r="71" spans="1:25" x14ac:dyDescent="0.2">
      <c r="A71" s="2"/>
    </row>
  </sheetData>
  <phoneticPr fontId="17" type="noConversion"/>
  <pageMargins left="0.7" right="0.7" top="0.33" bottom="0.38" header="0.3" footer="0.3"/>
  <pageSetup paperSize="5"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P100"/>
  <sheetViews>
    <sheetView showGridLines="0" zoomScale="80" zoomScaleNormal="80" zoomScaleSheetLayoutView="80" workbookViewId="0">
      <pane xSplit="1" ySplit="5" topLeftCell="AA6" activePane="bottomRight" state="frozen"/>
      <selection activeCell="I106" sqref="I106"/>
      <selection pane="topRight" activeCell="I106" sqref="I106"/>
      <selection pane="bottomLeft" activeCell="I106" sqref="I106"/>
      <selection pane="bottomRight" activeCell="AI8" sqref="AI8"/>
    </sheetView>
  </sheetViews>
  <sheetFormatPr defaultColWidth="9.140625" defaultRowHeight="12.75" outlineLevelCol="1" x14ac:dyDescent="0.2"/>
  <cols>
    <col min="1" max="1" width="68.85546875" style="2" customWidth="1"/>
    <col min="2" max="5" width="13.42578125" style="57" hidden="1" customWidth="1" outlineLevel="1"/>
    <col min="6" max="6" width="13.42578125" style="57" customWidth="1" collapsed="1"/>
    <col min="7" max="10" width="13.42578125" style="57" hidden="1" customWidth="1" outlineLevel="1"/>
    <col min="11" max="11" width="13.42578125" style="57" customWidth="1" collapsed="1"/>
    <col min="12" max="12" width="10.7109375" style="57" hidden="1" customWidth="1"/>
    <col min="13" max="16" width="13.42578125" style="57" hidden="1" customWidth="1" outlineLevel="1"/>
    <col min="17" max="17" width="13.42578125" style="57" customWidth="1" collapsed="1"/>
    <col min="18" max="19" width="13.42578125" style="101" hidden="1" customWidth="1" outlineLevel="1"/>
    <col min="20" max="25" width="10.7109375" style="57" hidden="1" customWidth="1" outlineLevel="1"/>
    <col min="26" max="26" width="13" style="239" bestFit="1" customWidth="1" collapsed="1"/>
    <col min="27" max="27" width="13" style="239" customWidth="1"/>
    <col min="28" max="31" width="13" style="239" customWidth="1" outlineLevel="1"/>
    <col min="32" max="33" width="10.7109375" style="101" customWidth="1"/>
    <col min="34" max="35" width="11.42578125" style="101" customWidth="1"/>
    <col min="36" max="36" width="9.140625" style="57"/>
    <col min="37" max="37" width="11.28515625" style="305" hidden="1" customWidth="1"/>
    <col min="38" max="52" width="9.140625" style="57"/>
    <col min="53" max="16384" width="9.140625" style="2"/>
  </cols>
  <sheetData>
    <row r="1" spans="1:52" x14ac:dyDescent="0.2">
      <c r="A1" s="11"/>
    </row>
    <row r="2" spans="1:52" x14ac:dyDescent="0.2">
      <c r="A2" s="12"/>
    </row>
    <row r="3" spans="1:52" ht="28.5" customHeight="1" x14ac:dyDescent="0.2"/>
    <row r="4" spans="1:52" x14ac:dyDescent="0.2">
      <c r="A4" s="9" t="s">
        <v>46</v>
      </c>
      <c r="B4" s="3">
        <v>2014</v>
      </c>
      <c r="C4" s="3">
        <v>2014</v>
      </c>
      <c r="D4" s="3">
        <v>2014</v>
      </c>
      <c r="E4" s="3">
        <v>2014</v>
      </c>
      <c r="F4" s="3">
        <v>2014</v>
      </c>
      <c r="G4" s="3">
        <v>2015</v>
      </c>
      <c r="H4" s="70">
        <v>2015</v>
      </c>
      <c r="I4" s="70">
        <v>2015</v>
      </c>
      <c r="J4" s="70">
        <v>2015</v>
      </c>
      <c r="K4" s="3">
        <v>2015</v>
      </c>
      <c r="M4" s="3">
        <v>2016</v>
      </c>
      <c r="N4" s="3">
        <v>2016</v>
      </c>
      <c r="O4" s="3">
        <v>2016</v>
      </c>
      <c r="P4" s="3">
        <v>2016</v>
      </c>
      <c r="Q4" s="3">
        <v>2016</v>
      </c>
      <c r="R4" s="190">
        <v>2017</v>
      </c>
      <c r="S4" s="265" t="s">
        <v>193</v>
      </c>
      <c r="T4" s="193">
        <v>2017</v>
      </c>
      <c r="U4" s="265" t="s">
        <v>193</v>
      </c>
      <c r="V4" s="199">
        <v>2017</v>
      </c>
      <c r="W4" s="265" t="s">
        <v>193</v>
      </c>
      <c r="X4" s="199">
        <v>2017</v>
      </c>
      <c r="Y4" s="265" t="s">
        <v>193</v>
      </c>
      <c r="Z4" s="3">
        <v>2017</v>
      </c>
      <c r="AA4" s="265" t="s">
        <v>193</v>
      </c>
      <c r="AB4" s="3">
        <v>2018</v>
      </c>
      <c r="AC4" s="3">
        <v>2018</v>
      </c>
      <c r="AD4" s="3">
        <v>2018</v>
      </c>
      <c r="AE4" s="3">
        <v>2018</v>
      </c>
      <c r="AF4" s="199">
        <v>2018</v>
      </c>
      <c r="AG4" s="199">
        <v>2019</v>
      </c>
      <c r="AH4" s="199">
        <v>2019</v>
      </c>
      <c r="AI4" s="199">
        <v>2019</v>
      </c>
    </row>
    <row r="5" spans="1:52" ht="14.25" x14ac:dyDescent="0.2">
      <c r="A5" s="25" t="s">
        <v>67</v>
      </c>
      <c r="B5" s="181" t="s">
        <v>9</v>
      </c>
      <c r="C5" s="181" t="s">
        <v>10</v>
      </c>
      <c r="D5" s="181" t="s">
        <v>11</v>
      </c>
      <c r="E5" s="181" t="s">
        <v>12</v>
      </c>
      <c r="F5" s="181" t="s">
        <v>13</v>
      </c>
      <c r="G5" s="181" t="s">
        <v>169</v>
      </c>
      <c r="H5" s="181" t="s">
        <v>171</v>
      </c>
      <c r="I5" s="181" t="s">
        <v>173</v>
      </c>
      <c r="J5" s="181" t="s">
        <v>176</v>
      </c>
      <c r="K5" s="181" t="s">
        <v>13</v>
      </c>
      <c r="M5" s="181" t="s">
        <v>169</v>
      </c>
      <c r="N5" s="181" t="s">
        <v>171</v>
      </c>
      <c r="O5" s="181" t="s">
        <v>173</v>
      </c>
      <c r="P5" s="181" t="s">
        <v>176</v>
      </c>
      <c r="Q5" s="181" t="s">
        <v>13</v>
      </c>
      <c r="R5" s="191" t="s">
        <v>169</v>
      </c>
      <c r="S5" s="330" t="s">
        <v>226</v>
      </c>
      <c r="T5" s="191" t="s">
        <v>171</v>
      </c>
      <c r="U5" s="330" t="s">
        <v>225</v>
      </c>
      <c r="V5" s="191" t="s">
        <v>173</v>
      </c>
      <c r="W5" s="330" t="s">
        <v>227</v>
      </c>
      <c r="X5" s="191" t="s">
        <v>176</v>
      </c>
      <c r="Y5" s="330" t="s">
        <v>228</v>
      </c>
      <c r="Z5" s="6" t="s">
        <v>13</v>
      </c>
      <c r="AA5" s="330" t="s">
        <v>229</v>
      </c>
      <c r="AB5" s="6" t="s">
        <v>169</v>
      </c>
      <c r="AC5" s="6" t="s">
        <v>171</v>
      </c>
      <c r="AD5" s="6" t="s">
        <v>173</v>
      </c>
      <c r="AE5" s="6" t="s">
        <v>176</v>
      </c>
      <c r="AF5" s="353" t="s">
        <v>13</v>
      </c>
      <c r="AG5" s="6" t="s">
        <v>169</v>
      </c>
      <c r="AH5" s="6" t="s">
        <v>171</v>
      </c>
      <c r="AI5" s="353" t="s">
        <v>173</v>
      </c>
      <c r="AK5" s="397" t="s">
        <v>271</v>
      </c>
    </row>
    <row r="6" spans="1:52" s="8" customFormat="1" x14ac:dyDescent="0.2">
      <c r="B6" s="1"/>
      <c r="C6" s="1"/>
      <c r="D6" s="1"/>
      <c r="E6" s="1"/>
      <c r="F6" s="1"/>
      <c r="G6" s="1"/>
      <c r="H6" s="1"/>
      <c r="I6" s="1"/>
      <c r="J6" s="1"/>
      <c r="K6" s="1"/>
      <c r="L6" s="1"/>
      <c r="M6" s="1"/>
      <c r="N6" s="1"/>
      <c r="O6" s="1"/>
      <c r="P6" s="1"/>
      <c r="Q6" s="1"/>
      <c r="R6" s="192"/>
      <c r="S6" s="331"/>
      <c r="T6" s="1"/>
      <c r="U6" s="331"/>
      <c r="V6" s="1"/>
      <c r="W6" s="331"/>
      <c r="X6" s="1"/>
      <c r="Y6" s="331"/>
      <c r="Z6" s="200"/>
      <c r="AA6" s="331"/>
      <c r="AB6" s="200"/>
      <c r="AC6" s="200"/>
      <c r="AD6" s="200"/>
      <c r="AE6" s="200"/>
      <c r="AF6" s="192"/>
      <c r="AG6" s="192"/>
      <c r="AH6" s="192"/>
      <c r="AI6" s="192"/>
      <c r="AJ6" s="1"/>
      <c r="AK6" s="398"/>
      <c r="AL6" s="1"/>
      <c r="AM6" s="1"/>
      <c r="AN6" s="1"/>
      <c r="AO6" s="1"/>
      <c r="AP6" s="1"/>
      <c r="AQ6" s="1"/>
      <c r="AR6" s="1"/>
      <c r="AS6" s="1"/>
      <c r="AT6" s="1"/>
      <c r="AU6" s="1"/>
      <c r="AV6" s="1"/>
      <c r="AW6" s="1"/>
      <c r="AX6" s="1"/>
      <c r="AY6" s="1"/>
      <c r="AZ6" s="1"/>
    </row>
    <row r="7" spans="1:52" x14ac:dyDescent="0.2">
      <c r="A7" s="13" t="s">
        <v>112</v>
      </c>
      <c r="S7" s="332"/>
      <c r="U7" s="332"/>
      <c r="W7" s="332"/>
      <c r="Y7" s="332"/>
      <c r="AA7" s="332"/>
    </row>
    <row r="8" spans="1:52" x14ac:dyDescent="0.2">
      <c r="A8" s="14" t="s">
        <v>34</v>
      </c>
      <c r="B8" s="146">
        <v>11147</v>
      </c>
      <c r="C8" s="146">
        <v>7762</v>
      </c>
      <c r="D8" s="146">
        <v>6075</v>
      </c>
      <c r="E8" s="146">
        <v>7461</v>
      </c>
      <c r="F8" s="146">
        <f>'Income Statement'!F46</f>
        <v>32445</v>
      </c>
      <c r="G8" s="146">
        <f>'Income Statement'!G46</f>
        <v>9567</v>
      </c>
      <c r="H8" s="146">
        <f>'Income Statement'!H46</f>
        <v>12074</v>
      </c>
      <c r="I8" s="146">
        <f>'Income Statement'!I93</f>
        <v>15162</v>
      </c>
      <c r="J8" s="146">
        <f>'Income Statement'!J93</f>
        <v>14762</v>
      </c>
      <c r="K8" s="146">
        <v>51565</v>
      </c>
      <c r="L8" s="110"/>
      <c r="M8" s="146">
        <v>13820</v>
      </c>
      <c r="N8" s="146">
        <v>16375</v>
      </c>
      <c r="O8" s="146">
        <v>16050</v>
      </c>
      <c r="P8" s="146">
        <f>Q8-M8-N8-O8</f>
        <v>15488</v>
      </c>
      <c r="Q8" s="146">
        <v>61733</v>
      </c>
      <c r="R8" s="146">
        <v>16787.935479999996</v>
      </c>
      <c r="S8" s="333">
        <v>16788</v>
      </c>
      <c r="T8" s="195">
        <v>20378.064520000004</v>
      </c>
      <c r="U8" s="333">
        <f>T8</f>
        <v>20378.064520000004</v>
      </c>
      <c r="V8" s="195">
        <v>21076.999999999996</v>
      </c>
      <c r="W8" s="333">
        <f>V8</f>
        <v>21076.999999999996</v>
      </c>
      <c r="X8" s="195">
        <f>+Z8-SUM(R8,T8,V8)</f>
        <v>-9355</v>
      </c>
      <c r="Y8" s="333">
        <f>+AA8-SUM(S8,U8,W8)</f>
        <v>-9355.0645199999999</v>
      </c>
      <c r="Z8" s="240">
        <v>48888</v>
      </c>
      <c r="AA8" s="333">
        <f>Z8</f>
        <v>48888</v>
      </c>
      <c r="AB8" s="240">
        <v>23158</v>
      </c>
      <c r="AC8" s="240">
        <v>14462</v>
      </c>
      <c r="AD8" s="240">
        <v>15249</v>
      </c>
      <c r="AE8" s="240">
        <f>+AF8-SUM(AB8:AD8)</f>
        <v>3857</v>
      </c>
      <c r="AF8" s="355">
        <v>56726</v>
      </c>
      <c r="AG8" s="355">
        <v>14695</v>
      </c>
      <c r="AH8" s="355">
        <v>12564</v>
      </c>
      <c r="AI8" s="355">
        <v>19044</v>
      </c>
      <c r="AK8" s="305">
        <v>0</v>
      </c>
    </row>
    <row r="9" spans="1:52" x14ac:dyDescent="0.2">
      <c r="A9" s="15" t="s">
        <v>52</v>
      </c>
      <c r="B9" s="149">
        <v>0</v>
      </c>
      <c r="C9" s="149">
        <v>0</v>
      </c>
      <c r="D9" s="149">
        <v>0</v>
      </c>
      <c r="E9" s="149">
        <v>0</v>
      </c>
      <c r="F9" s="149">
        <v>0</v>
      </c>
      <c r="G9" s="149">
        <v>0</v>
      </c>
      <c r="H9" s="149">
        <v>0</v>
      </c>
      <c r="I9" s="149">
        <v>0</v>
      </c>
      <c r="J9" s="149">
        <v>0</v>
      </c>
      <c r="K9" s="149">
        <v>0</v>
      </c>
      <c r="L9" s="110"/>
      <c r="M9" s="149"/>
      <c r="N9" s="149"/>
      <c r="O9" s="149"/>
      <c r="P9" s="149"/>
      <c r="Q9" s="149"/>
      <c r="R9" s="149"/>
      <c r="S9" s="334"/>
      <c r="T9" s="110"/>
      <c r="U9" s="334"/>
      <c r="W9" s="334"/>
      <c r="Y9" s="334"/>
      <c r="AA9" s="334"/>
      <c r="AF9" s="352"/>
      <c r="AG9" s="352"/>
      <c r="AH9" s="352"/>
      <c r="AI9" s="352"/>
    </row>
    <row r="10" spans="1:52" x14ac:dyDescent="0.2">
      <c r="A10" s="36" t="s">
        <v>53</v>
      </c>
      <c r="B10" s="149"/>
      <c r="C10" s="149"/>
      <c r="D10" s="149"/>
      <c r="E10" s="149"/>
      <c r="F10" s="149"/>
      <c r="G10" s="149"/>
      <c r="H10" s="149"/>
      <c r="I10" s="149"/>
      <c r="J10" s="149"/>
      <c r="K10" s="149"/>
      <c r="L10" s="110"/>
      <c r="M10" s="149"/>
      <c r="N10" s="149"/>
      <c r="O10" s="149"/>
      <c r="P10" s="149"/>
      <c r="Q10" s="149"/>
      <c r="R10" s="149"/>
      <c r="S10" s="334"/>
      <c r="T10" s="110"/>
      <c r="U10" s="334"/>
      <c r="W10" s="334"/>
      <c r="Y10" s="334"/>
      <c r="AA10" s="334"/>
      <c r="AF10" s="352"/>
      <c r="AG10" s="352"/>
      <c r="AH10" s="352"/>
      <c r="AI10" s="352"/>
    </row>
    <row r="11" spans="1:52" x14ac:dyDescent="0.2">
      <c r="A11" s="46" t="s">
        <v>5</v>
      </c>
      <c r="B11" s="144">
        <v>6356</v>
      </c>
      <c r="C11" s="144">
        <v>6679</v>
      </c>
      <c r="D11" s="144">
        <v>7014</v>
      </c>
      <c r="E11" s="144">
        <v>7979</v>
      </c>
      <c r="F11" s="144">
        <v>28028</v>
      </c>
      <c r="G11" s="144">
        <v>7053</v>
      </c>
      <c r="H11" s="144">
        <v>8061</v>
      </c>
      <c r="I11" s="144">
        <v>8057</v>
      </c>
      <c r="J11" s="144">
        <f t="shared" ref="J11:J37" si="0">K11-G11-H11-I11</f>
        <v>8294</v>
      </c>
      <c r="K11" s="144">
        <v>31465</v>
      </c>
      <c r="L11" s="110"/>
      <c r="M11" s="144">
        <v>8133</v>
      </c>
      <c r="N11" s="144">
        <v>8270</v>
      </c>
      <c r="O11" s="144">
        <v>8597</v>
      </c>
      <c r="P11" s="144">
        <f t="shared" ref="P11:P37" si="1">Q11-M11-N11-O11</f>
        <v>9580</v>
      </c>
      <c r="Q11" s="144">
        <v>34580</v>
      </c>
      <c r="R11" s="201">
        <v>9426</v>
      </c>
      <c r="S11" s="335">
        <v>9426</v>
      </c>
      <c r="T11" s="202">
        <v>9637</v>
      </c>
      <c r="U11" s="335">
        <f t="shared" ref="U11:U37" si="2">T11</f>
        <v>9637</v>
      </c>
      <c r="V11" s="202">
        <v>9708</v>
      </c>
      <c r="W11" s="335">
        <f t="shared" ref="W11:W27" si="3">V11</f>
        <v>9708</v>
      </c>
      <c r="X11" s="202">
        <f t="shared" ref="X11:X40" si="4">+Z11-SUM(R11,T11,V11)</f>
        <v>10213</v>
      </c>
      <c r="Y11" s="335">
        <f t="shared" ref="Y11:Y27" si="5">+AA11-SUM(S11,U11,W11)</f>
        <v>10213</v>
      </c>
      <c r="Z11" s="241">
        <v>38984</v>
      </c>
      <c r="AA11" s="335">
        <f t="shared" ref="AA11:AA37" si="6">Z11</f>
        <v>38984</v>
      </c>
      <c r="AB11" s="304">
        <v>10655</v>
      </c>
      <c r="AC11" s="304">
        <v>10625</v>
      </c>
      <c r="AD11" s="304">
        <v>14065</v>
      </c>
      <c r="AE11" s="304">
        <f t="shared" ref="AE11:AE27" si="7">+AF11-SUM(AB11:AD11)</f>
        <v>13374</v>
      </c>
      <c r="AF11" s="354">
        <v>48719</v>
      </c>
      <c r="AG11" s="354">
        <v>13724</v>
      </c>
      <c r="AH11" s="354">
        <v>12808</v>
      </c>
      <c r="AI11" s="354">
        <v>13101</v>
      </c>
      <c r="AK11" s="305">
        <v>0</v>
      </c>
    </row>
    <row r="12" spans="1:52" s="24" customFormat="1" x14ac:dyDescent="0.2">
      <c r="A12" s="197" t="s">
        <v>35</v>
      </c>
      <c r="B12" s="149">
        <v>38</v>
      </c>
      <c r="C12" s="149">
        <v>15</v>
      </c>
      <c r="D12" s="149">
        <v>0</v>
      </c>
      <c r="E12" s="144">
        <v>15</v>
      </c>
      <c r="F12" s="149">
        <v>68</v>
      </c>
      <c r="G12" s="149">
        <v>0</v>
      </c>
      <c r="H12" s="149">
        <v>46.823999999999998</v>
      </c>
      <c r="I12" s="149">
        <v>24</v>
      </c>
      <c r="J12" s="144">
        <f t="shared" si="0"/>
        <v>29.176000000000002</v>
      </c>
      <c r="K12" s="149">
        <v>100</v>
      </c>
      <c r="L12" s="189"/>
      <c r="M12" s="149">
        <v>26</v>
      </c>
      <c r="N12" s="149">
        <v>22</v>
      </c>
      <c r="O12" s="149">
        <v>25</v>
      </c>
      <c r="P12" s="149">
        <f t="shared" si="1"/>
        <v>10</v>
      </c>
      <c r="Q12" s="149">
        <v>83</v>
      </c>
      <c r="R12" s="203">
        <f>24029.0094285714/1000</f>
        <v>24.029009428571399</v>
      </c>
      <c r="S12" s="334">
        <v>24</v>
      </c>
      <c r="T12" s="203">
        <f>39416/1000-R12</f>
        <v>15.386990571428598</v>
      </c>
      <c r="U12" s="334">
        <f t="shared" si="2"/>
        <v>15.386990571428598</v>
      </c>
      <c r="V12" s="203">
        <f>57500/1000-R12-T12</f>
        <v>18.084000000000003</v>
      </c>
      <c r="W12" s="334">
        <f t="shared" si="3"/>
        <v>18.084000000000003</v>
      </c>
      <c r="X12" s="203">
        <f t="shared" si="4"/>
        <v>232.5</v>
      </c>
      <c r="Y12" s="334">
        <f t="shared" si="5"/>
        <v>232.52900942857138</v>
      </c>
      <c r="Z12" s="112">
        <v>290</v>
      </c>
      <c r="AA12" s="334">
        <f t="shared" si="6"/>
        <v>290</v>
      </c>
      <c r="AB12" s="112">
        <f>ROUND(39.509759,0)</f>
        <v>40</v>
      </c>
      <c r="AC12" s="347">
        <f>ROUND(39.490241,0)</f>
        <v>39</v>
      </c>
      <c r="AD12" s="347">
        <v>61</v>
      </c>
      <c r="AE12" s="347">
        <f t="shared" si="7"/>
        <v>114</v>
      </c>
      <c r="AF12" s="28">
        <v>254</v>
      </c>
      <c r="AG12" s="28">
        <v>116</v>
      </c>
      <c r="AH12" s="28">
        <v>118</v>
      </c>
      <c r="AI12" s="28">
        <v>118</v>
      </c>
      <c r="AJ12" s="101"/>
      <c r="AK12" s="399"/>
      <c r="AL12" s="101"/>
      <c r="AM12" s="101"/>
      <c r="AN12" s="101"/>
      <c r="AO12" s="101"/>
      <c r="AP12" s="101"/>
      <c r="AQ12" s="101"/>
      <c r="AR12" s="101"/>
      <c r="AS12" s="101"/>
      <c r="AT12" s="101"/>
      <c r="AU12" s="101"/>
      <c r="AV12" s="101"/>
      <c r="AW12" s="101"/>
      <c r="AX12" s="101"/>
      <c r="AY12" s="101"/>
      <c r="AZ12" s="101"/>
    </row>
    <row r="13" spans="1:52" s="24" customFormat="1" x14ac:dyDescent="0.2">
      <c r="A13" s="197" t="s">
        <v>250</v>
      </c>
      <c r="B13" s="149"/>
      <c r="C13" s="149"/>
      <c r="D13" s="149"/>
      <c r="E13" s="144"/>
      <c r="F13" s="347">
        <v>0</v>
      </c>
      <c r="G13" s="149"/>
      <c r="H13" s="149"/>
      <c r="I13" s="149"/>
      <c r="J13" s="144"/>
      <c r="K13" s="347">
        <v>0</v>
      </c>
      <c r="L13" s="189"/>
      <c r="M13" s="149"/>
      <c r="N13" s="149"/>
      <c r="O13" s="149"/>
      <c r="P13" s="149"/>
      <c r="Q13" s="347">
        <v>0</v>
      </c>
      <c r="R13" s="203"/>
      <c r="S13" s="334"/>
      <c r="T13" s="203"/>
      <c r="U13" s="334"/>
      <c r="V13" s="203"/>
      <c r="W13" s="334"/>
      <c r="X13" s="203"/>
      <c r="Y13" s="334"/>
      <c r="Z13" s="347">
        <v>0</v>
      </c>
      <c r="AA13" s="334">
        <v>0</v>
      </c>
      <c r="AB13" s="347">
        <v>0</v>
      </c>
      <c r="AC13" s="347">
        <v>0</v>
      </c>
      <c r="AD13" s="347">
        <v>0</v>
      </c>
      <c r="AE13" s="347">
        <f t="shared" si="7"/>
        <v>600.47593517868052</v>
      </c>
      <c r="AF13" s="28">
        <v>600.47593517868052</v>
      </c>
      <c r="AG13" s="28">
        <v>600.47593517868052</v>
      </c>
      <c r="AH13" s="28">
        <v>617.52406482131948</v>
      </c>
      <c r="AI13" s="28">
        <v>618</v>
      </c>
      <c r="AJ13" s="101"/>
      <c r="AK13" s="399">
        <v>0</v>
      </c>
      <c r="AL13" s="101"/>
      <c r="AM13" s="101"/>
      <c r="AN13" s="101"/>
      <c r="AO13" s="101"/>
      <c r="AP13" s="101"/>
      <c r="AQ13" s="101"/>
      <c r="AR13" s="101"/>
      <c r="AS13" s="101"/>
      <c r="AT13" s="101"/>
      <c r="AU13" s="101"/>
      <c r="AV13" s="101"/>
      <c r="AW13" s="101"/>
      <c r="AX13" s="101"/>
      <c r="AY13" s="101"/>
      <c r="AZ13" s="101"/>
    </row>
    <row r="14" spans="1:52" s="24" customFormat="1" x14ac:dyDescent="0.2">
      <c r="A14" s="197" t="s">
        <v>113</v>
      </c>
      <c r="B14" s="149">
        <v>4176</v>
      </c>
      <c r="C14" s="149">
        <v>1966</v>
      </c>
      <c r="D14" s="149">
        <v>2376</v>
      </c>
      <c r="E14" s="144">
        <v>2493</v>
      </c>
      <c r="F14" s="149">
        <v>11011</v>
      </c>
      <c r="G14" s="149">
        <v>4255</v>
      </c>
      <c r="H14" s="149">
        <v>3554</v>
      </c>
      <c r="I14" s="149">
        <v>4471</v>
      </c>
      <c r="J14" s="144">
        <f t="shared" si="0"/>
        <v>3767</v>
      </c>
      <c r="K14" s="149">
        <v>16047</v>
      </c>
      <c r="L14" s="189"/>
      <c r="M14" s="149">
        <v>5809</v>
      </c>
      <c r="N14" s="149">
        <v>4450</v>
      </c>
      <c r="O14" s="149">
        <v>4484</v>
      </c>
      <c r="P14" s="149">
        <f t="shared" si="1"/>
        <v>5027</v>
      </c>
      <c r="Q14" s="149">
        <v>19770</v>
      </c>
      <c r="R14" s="203">
        <v>5956</v>
      </c>
      <c r="S14" s="334">
        <v>5956</v>
      </c>
      <c r="T14" s="203">
        <v>5107</v>
      </c>
      <c r="U14" s="334">
        <f t="shared" si="2"/>
        <v>5107</v>
      </c>
      <c r="V14" s="203">
        <v>5708</v>
      </c>
      <c r="W14" s="334">
        <f t="shared" si="3"/>
        <v>5708</v>
      </c>
      <c r="X14" s="203">
        <f t="shared" si="4"/>
        <v>6270</v>
      </c>
      <c r="Y14" s="334">
        <f t="shared" si="5"/>
        <v>6270</v>
      </c>
      <c r="Z14" s="112">
        <v>23041</v>
      </c>
      <c r="AA14" s="334">
        <f t="shared" si="6"/>
        <v>23041</v>
      </c>
      <c r="AB14" s="112">
        <v>5074</v>
      </c>
      <c r="AC14" s="347">
        <v>6892</v>
      </c>
      <c r="AD14" s="347">
        <v>5345</v>
      </c>
      <c r="AE14" s="347">
        <f t="shared" si="7"/>
        <v>6590</v>
      </c>
      <c r="AF14" s="354">
        <v>23901</v>
      </c>
      <c r="AG14" s="354">
        <v>6956</v>
      </c>
      <c r="AH14" s="354">
        <v>7155</v>
      </c>
      <c r="AI14" s="354">
        <v>7427</v>
      </c>
      <c r="AJ14" s="101"/>
      <c r="AK14" s="399">
        <v>0</v>
      </c>
      <c r="AL14" s="101"/>
      <c r="AM14" s="101"/>
      <c r="AN14" s="101"/>
      <c r="AO14" s="101"/>
      <c r="AP14" s="101"/>
      <c r="AQ14" s="101"/>
      <c r="AR14" s="101"/>
      <c r="AS14" s="101"/>
      <c r="AT14" s="101"/>
      <c r="AU14" s="101"/>
      <c r="AV14" s="101"/>
      <c r="AW14" s="101"/>
      <c r="AX14" s="101"/>
      <c r="AY14" s="101"/>
      <c r="AZ14" s="101"/>
    </row>
    <row r="15" spans="1:52" s="24" customFormat="1" x14ac:dyDescent="0.2">
      <c r="A15" s="198" t="s">
        <v>213</v>
      </c>
      <c r="B15" s="149">
        <v>0</v>
      </c>
      <c r="C15" s="149">
        <v>0</v>
      </c>
      <c r="D15" s="149">
        <v>0</v>
      </c>
      <c r="E15" s="144">
        <v>0</v>
      </c>
      <c r="F15" s="149">
        <v>0</v>
      </c>
      <c r="G15" s="149">
        <v>0</v>
      </c>
      <c r="H15" s="149">
        <v>0</v>
      </c>
      <c r="I15" s="149">
        <v>0</v>
      </c>
      <c r="J15" s="144">
        <f t="shared" si="0"/>
        <v>0</v>
      </c>
      <c r="K15" s="149">
        <v>0</v>
      </c>
      <c r="L15" s="189"/>
      <c r="M15" s="149">
        <v>0</v>
      </c>
      <c r="N15" s="149">
        <v>0</v>
      </c>
      <c r="O15" s="149">
        <v>0</v>
      </c>
      <c r="P15" s="149">
        <f t="shared" si="1"/>
        <v>0</v>
      </c>
      <c r="Q15" s="149">
        <v>0</v>
      </c>
      <c r="R15" s="203">
        <v>0</v>
      </c>
      <c r="S15" s="334"/>
      <c r="T15" s="203">
        <v>0</v>
      </c>
      <c r="U15" s="334">
        <f t="shared" si="2"/>
        <v>0</v>
      </c>
      <c r="V15" s="203">
        <v>0</v>
      </c>
      <c r="W15" s="334">
        <f t="shared" si="3"/>
        <v>0</v>
      </c>
      <c r="X15" s="203">
        <f t="shared" si="4"/>
        <v>0</v>
      </c>
      <c r="Y15" s="334">
        <f t="shared" si="5"/>
        <v>0</v>
      </c>
      <c r="Z15" s="257">
        <v>0</v>
      </c>
      <c r="AA15" s="334">
        <f t="shared" si="6"/>
        <v>0</v>
      </c>
      <c r="AB15" s="257">
        <v>56</v>
      </c>
      <c r="AC15" s="257">
        <v>58</v>
      </c>
      <c r="AD15" s="257">
        <v>62</v>
      </c>
      <c r="AE15" s="257">
        <f t="shared" si="7"/>
        <v>71</v>
      </c>
      <c r="AF15" s="28">
        <v>247</v>
      </c>
      <c r="AG15" s="28">
        <v>67</v>
      </c>
      <c r="AH15" s="28">
        <v>62</v>
      </c>
      <c r="AI15" s="28">
        <v>69</v>
      </c>
      <c r="AJ15" s="101"/>
      <c r="AK15" s="399">
        <v>0</v>
      </c>
      <c r="AL15" s="101"/>
      <c r="AM15" s="101"/>
      <c r="AN15" s="101"/>
      <c r="AO15" s="101"/>
      <c r="AP15" s="101"/>
      <c r="AQ15" s="101"/>
      <c r="AR15" s="101"/>
      <c r="AS15" s="101"/>
      <c r="AT15" s="101"/>
      <c r="AU15" s="101"/>
      <c r="AV15" s="101"/>
      <c r="AW15" s="101"/>
      <c r="AX15" s="101"/>
      <c r="AY15" s="101"/>
      <c r="AZ15" s="101"/>
    </row>
    <row r="16" spans="1:52" s="24" customFormat="1" x14ac:dyDescent="0.2">
      <c r="A16" s="198" t="s">
        <v>36</v>
      </c>
      <c r="B16" s="149">
        <v>0</v>
      </c>
      <c r="C16" s="149">
        <v>0</v>
      </c>
      <c r="D16" s="149">
        <v>0</v>
      </c>
      <c r="E16" s="144">
        <v>0</v>
      </c>
      <c r="F16" s="149">
        <v>0</v>
      </c>
      <c r="G16" s="149">
        <v>0</v>
      </c>
      <c r="H16" s="149">
        <v>0</v>
      </c>
      <c r="I16" s="149">
        <v>0</v>
      </c>
      <c r="J16" s="144">
        <f t="shared" si="0"/>
        <v>0</v>
      </c>
      <c r="K16" s="149">
        <v>0</v>
      </c>
      <c r="L16" s="189"/>
      <c r="M16" s="149">
        <v>0</v>
      </c>
      <c r="N16" s="149">
        <v>0</v>
      </c>
      <c r="O16" s="149">
        <v>0</v>
      </c>
      <c r="P16" s="149">
        <f t="shared" si="1"/>
        <v>0</v>
      </c>
      <c r="Q16" s="149">
        <v>0</v>
      </c>
      <c r="R16" s="203">
        <v>0</v>
      </c>
      <c r="S16" s="334"/>
      <c r="T16" s="203">
        <v>0</v>
      </c>
      <c r="U16" s="334">
        <f t="shared" si="2"/>
        <v>0</v>
      </c>
      <c r="V16" s="203">
        <v>0</v>
      </c>
      <c r="W16" s="334">
        <f t="shared" si="3"/>
        <v>0</v>
      </c>
      <c r="X16" s="203">
        <f t="shared" si="4"/>
        <v>0</v>
      </c>
      <c r="Y16" s="334">
        <f t="shared" si="5"/>
        <v>0</v>
      </c>
      <c r="Z16" s="257">
        <v>0</v>
      </c>
      <c r="AA16" s="334">
        <f t="shared" si="6"/>
        <v>0</v>
      </c>
      <c r="AB16" s="257">
        <v>0</v>
      </c>
      <c r="AC16" s="257">
        <v>0</v>
      </c>
      <c r="AD16" s="257">
        <v>0</v>
      </c>
      <c r="AE16" s="257">
        <f t="shared" si="7"/>
        <v>0</v>
      </c>
      <c r="AF16" s="257">
        <v>0</v>
      </c>
      <c r="AG16" s="257">
        <v>0</v>
      </c>
      <c r="AH16" s="257">
        <v>0</v>
      </c>
      <c r="AI16" s="257">
        <v>0</v>
      </c>
      <c r="AJ16" s="101"/>
      <c r="AK16" s="399"/>
      <c r="AL16" s="101"/>
      <c r="AM16" s="101"/>
      <c r="AN16" s="101"/>
      <c r="AO16" s="101"/>
      <c r="AP16" s="101"/>
      <c r="AQ16" s="101"/>
      <c r="AR16" s="101"/>
      <c r="AS16" s="101"/>
      <c r="AT16" s="101"/>
      <c r="AU16" s="101"/>
      <c r="AV16" s="101"/>
      <c r="AW16" s="101"/>
      <c r="AX16" s="101"/>
      <c r="AY16" s="101"/>
      <c r="AZ16" s="101"/>
    </row>
    <row r="17" spans="1:52" s="24" customFormat="1" x14ac:dyDescent="0.2">
      <c r="A17" s="198" t="s">
        <v>127</v>
      </c>
      <c r="B17" s="149">
        <v>0</v>
      </c>
      <c r="C17" s="149">
        <v>0</v>
      </c>
      <c r="D17" s="149">
        <v>0</v>
      </c>
      <c r="E17" s="144">
        <v>0</v>
      </c>
      <c r="F17" s="149">
        <v>0</v>
      </c>
      <c r="G17" s="149">
        <v>0</v>
      </c>
      <c r="H17" s="149">
        <v>0</v>
      </c>
      <c r="I17" s="149">
        <v>0</v>
      </c>
      <c r="J17" s="144">
        <f t="shared" si="0"/>
        <v>0</v>
      </c>
      <c r="K17" s="149">
        <v>0</v>
      </c>
      <c r="L17" s="189"/>
      <c r="M17" s="149">
        <v>0</v>
      </c>
      <c r="N17" s="149">
        <v>0</v>
      </c>
      <c r="O17" s="149">
        <v>0</v>
      </c>
      <c r="P17" s="149">
        <f t="shared" si="1"/>
        <v>0</v>
      </c>
      <c r="Q17" s="149">
        <v>0</v>
      </c>
      <c r="R17" s="203">
        <v>-12</v>
      </c>
      <c r="S17" s="334">
        <v>-12</v>
      </c>
      <c r="T17" s="203">
        <f>(10217/1000)-R17</f>
        <v>22.216999999999999</v>
      </c>
      <c r="U17" s="334">
        <f t="shared" si="2"/>
        <v>22.216999999999999</v>
      </c>
      <c r="V17" s="203">
        <f>13080/1000-R17-T17</f>
        <v>2.8629999999999995</v>
      </c>
      <c r="W17" s="334">
        <f t="shared" si="3"/>
        <v>2.8629999999999995</v>
      </c>
      <c r="X17" s="203">
        <f t="shared" si="4"/>
        <v>18.920000000000002</v>
      </c>
      <c r="Y17" s="334">
        <f t="shared" si="5"/>
        <v>18.920000000000002</v>
      </c>
      <c r="Z17" s="112">
        <v>32</v>
      </c>
      <c r="AA17" s="334">
        <f t="shared" si="6"/>
        <v>32</v>
      </c>
      <c r="AB17" s="112">
        <f>ROUND(6.20872,0)</f>
        <v>6</v>
      </c>
      <c r="AC17" s="347">
        <f>ROUND(3.79128,0)</f>
        <v>4</v>
      </c>
      <c r="AD17" s="347">
        <v>9</v>
      </c>
      <c r="AE17" s="347">
        <f t="shared" si="7"/>
        <v>7</v>
      </c>
      <c r="AF17" s="28">
        <v>26</v>
      </c>
      <c r="AG17" s="28">
        <v>9</v>
      </c>
      <c r="AH17" s="28">
        <v>0</v>
      </c>
      <c r="AI17" s="28">
        <v>0</v>
      </c>
      <c r="AJ17" s="101"/>
      <c r="AK17" s="399"/>
      <c r="AL17" s="101"/>
      <c r="AM17" s="101"/>
      <c r="AN17" s="101"/>
      <c r="AO17" s="101"/>
      <c r="AP17" s="101"/>
      <c r="AQ17" s="101"/>
      <c r="AR17" s="101"/>
      <c r="AS17" s="101"/>
      <c r="AT17" s="101"/>
      <c r="AU17" s="101"/>
      <c r="AV17" s="101"/>
      <c r="AW17" s="101"/>
      <c r="AX17" s="101"/>
      <c r="AY17" s="101"/>
      <c r="AZ17" s="101"/>
    </row>
    <row r="18" spans="1:52" s="24" customFormat="1" x14ac:dyDescent="0.2">
      <c r="A18" s="198" t="s">
        <v>143</v>
      </c>
      <c r="B18" s="149">
        <v>0</v>
      </c>
      <c r="C18" s="149">
        <v>0</v>
      </c>
      <c r="D18" s="149">
        <v>0</v>
      </c>
      <c r="E18" s="144">
        <v>0</v>
      </c>
      <c r="F18" s="149">
        <v>0</v>
      </c>
      <c r="G18" s="149">
        <v>0</v>
      </c>
      <c r="H18" s="149">
        <v>0</v>
      </c>
      <c r="I18" s="149">
        <v>0</v>
      </c>
      <c r="J18" s="144">
        <f t="shared" si="0"/>
        <v>0</v>
      </c>
      <c r="K18" s="149">
        <v>0</v>
      </c>
      <c r="L18" s="189"/>
      <c r="M18" s="149">
        <v>0</v>
      </c>
      <c r="N18" s="149">
        <v>0</v>
      </c>
      <c r="O18" s="149">
        <v>0</v>
      </c>
      <c r="P18" s="149">
        <f t="shared" si="1"/>
        <v>0</v>
      </c>
      <c r="Q18" s="149">
        <v>0</v>
      </c>
      <c r="R18" s="203">
        <v>0</v>
      </c>
      <c r="S18" s="334"/>
      <c r="T18" s="203">
        <v>0</v>
      </c>
      <c r="U18" s="334">
        <f t="shared" si="2"/>
        <v>0</v>
      </c>
      <c r="V18" s="203">
        <v>0</v>
      </c>
      <c r="W18" s="334">
        <f t="shared" si="3"/>
        <v>0</v>
      </c>
      <c r="X18" s="203">
        <f t="shared" si="4"/>
        <v>0</v>
      </c>
      <c r="Y18" s="334">
        <f t="shared" si="5"/>
        <v>0</v>
      </c>
      <c r="Z18" s="257">
        <v>0</v>
      </c>
      <c r="AA18" s="334">
        <f t="shared" si="6"/>
        <v>0</v>
      </c>
      <c r="AB18" s="257">
        <v>0</v>
      </c>
      <c r="AC18" s="257">
        <v>0</v>
      </c>
      <c r="AD18" s="257">
        <v>0</v>
      </c>
      <c r="AE18" s="257">
        <f t="shared" si="7"/>
        <v>0</v>
      </c>
      <c r="AF18" s="257">
        <v>0</v>
      </c>
      <c r="AG18" s="257">
        <v>0</v>
      </c>
      <c r="AH18" s="257">
        <v>0</v>
      </c>
      <c r="AI18" s="257">
        <v>0</v>
      </c>
      <c r="AJ18" s="101"/>
      <c r="AK18" s="399"/>
      <c r="AL18" s="101"/>
      <c r="AM18" s="101"/>
      <c r="AN18" s="101"/>
      <c r="AO18" s="101"/>
      <c r="AP18" s="101"/>
      <c r="AQ18" s="101"/>
      <c r="AR18" s="101"/>
      <c r="AS18" s="101"/>
      <c r="AT18" s="101"/>
      <c r="AU18" s="101"/>
      <c r="AV18" s="101"/>
      <c r="AW18" s="101"/>
      <c r="AX18" s="101"/>
      <c r="AY18" s="101"/>
      <c r="AZ18" s="101"/>
    </row>
    <row r="19" spans="1:52" s="24" customFormat="1" x14ac:dyDescent="0.2">
      <c r="A19" s="198" t="s">
        <v>37</v>
      </c>
      <c r="B19" s="149">
        <v>1895</v>
      </c>
      <c r="C19" s="149">
        <v>311</v>
      </c>
      <c r="D19" s="149">
        <v>-1289</v>
      </c>
      <c r="E19" s="144">
        <v>-1341</v>
      </c>
      <c r="F19" s="149">
        <v>-424</v>
      </c>
      <c r="G19" s="149">
        <v>284</v>
      </c>
      <c r="H19" s="149">
        <v>-1670</v>
      </c>
      <c r="I19" s="149">
        <v>-1464</v>
      </c>
      <c r="J19" s="144">
        <f t="shared" si="0"/>
        <v>-948</v>
      </c>
      <c r="K19" s="149">
        <v>-3798</v>
      </c>
      <c r="L19" s="189"/>
      <c r="M19" s="149">
        <v>-1061</v>
      </c>
      <c r="N19" s="149">
        <v>1019</v>
      </c>
      <c r="O19" s="149">
        <v>-105</v>
      </c>
      <c r="P19" s="149">
        <f t="shared" si="1"/>
        <v>-854</v>
      </c>
      <c r="Q19" s="149">
        <v>-1001</v>
      </c>
      <c r="R19" s="203">
        <v>2225</v>
      </c>
      <c r="S19" s="334">
        <v>2225</v>
      </c>
      <c r="T19" s="203">
        <v>-582</v>
      </c>
      <c r="U19" s="334">
        <f t="shared" si="2"/>
        <v>-582</v>
      </c>
      <c r="V19" s="203">
        <v>-1197</v>
      </c>
      <c r="W19" s="334">
        <f t="shared" si="3"/>
        <v>-1197</v>
      </c>
      <c r="X19" s="203">
        <f t="shared" si="4"/>
        <v>1077</v>
      </c>
      <c r="Y19" s="334">
        <f t="shared" si="5"/>
        <v>1077</v>
      </c>
      <c r="Z19" s="112">
        <v>1523</v>
      </c>
      <c r="AA19" s="334">
        <f t="shared" si="6"/>
        <v>1523</v>
      </c>
      <c r="AB19" s="112">
        <f>ROUND(-3318.50205594496,0)</f>
        <v>-3319</v>
      </c>
      <c r="AC19" s="347">
        <f>ROUND(-4463.49794405504,0)</f>
        <v>-4463</v>
      </c>
      <c r="AD19" s="347">
        <v>-6593</v>
      </c>
      <c r="AE19" s="347">
        <f t="shared" si="7"/>
        <v>5755</v>
      </c>
      <c r="AF19" s="354">
        <v>-8620</v>
      </c>
      <c r="AG19" s="354">
        <v>127</v>
      </c>
      <c r="AH19" s="354">
        <v>1840</v>
      </c>
      <c r="AI19" s="354">
        <v>-1948</v>
      </c>
      <c r="AJ19" s="101"/>
      <c r="AK19" s="399">
        <v>0</v>
      </c>
      <c r="AL19" s="101"/>
      <c r="AM19" s="101"/>
      <c r="AN19" s="101"/>
      <c r="AO19" s="101"/>
      <c r="AP19" s="101"/>
      <c r="AQ19" s="101"/>
      <c r="AR19" s="101"/>
      <c r="AS19" s="101"/>
      <c r="AT19" s="101"/>
      <c r="AU19" s="101"/>
      <c r="AV19" s="101"/>
      <c r="AW19" s="101"/>
      <c r="AX19" s="101"/>
      <c r="AY19" s="101"/>
      <c r="AZ19" s="101"/>
    </row>
    <row r="20" spans="1:52" s="24" customFormat="1" x14ac:dyDescent="0.2">
      <c r="A20" s="198" t="s">
        <v>164</v>
      </c>
      <c r="B20" s="149">
        <v>0</v>
      </c>
      <c r="C20" s="149">
        <v>0</v>
      </c>
      <c r="D20" s="149">
        <v>0</v>
      </c>
      <c r="E20" s="149">
        <v>0</v>
      </c>
      <c r="F20" s="149">
        <v>0</v>
      </c>
      <c r="G20" s="149">
        <v>0</v>
      </c>
      <c r="H20" s="149">
        <v>-760</v>
      </c>
      <c r="I20" s="149">
        <v>-1419</v>
      </c>
      <c r="J20" s="144">
        <f t="shared" si="0"/>
        <v>2179</v>
      </c>
      <c r="K20" s="149">
        <v>0</v>
      </c>
      <c r="L20" s="189"/>
      <c r="M20" s="149">
        <v>-1525</v>
      </c>
      <c r="N20" s="149">
        <v>-1459</v>
      </c>
      <c r="O20" s="149">
        <v>-1971</v>
      </c>
      <c r="P20" s="149">
        <f t="shared" si="1"/>
        <v>4955</v>
      </c>
      <c r="Q20" s="149">
        <v>0</v>
      </c>
      <c r="R20" s="203">
        <v>0</v>
      </c>
      <c r="S20" s="334"/>
      <c r="T20" s="203">
        <v>-2246</v>
      </c>
      <c r="U20" s="334">
        <f t="shared" si="2"/>
        <v>-2246</v>
      </c>
      <c r="V20" s="203">
        <v>-2191</v>
      </c>
      <c r="W20" s="334">
        <f t="shared" si="3"/>
        <v>-2191</v>
      </c>
      <c r="X20" s="203">
        <f t="shared" si="4"/>
        <v>4437</v>
      </c>
      <c r="Y20" s="334">
        <f t="shared" si="5"/>
        <v>4437</v>
      </c>
      <c r="Z20" s="112">
        <v>0</v>
      </c>
      <c r="AA20" s="334">
        <f t="shared" si="6"/>
        <v>0</v>
      </c>
      <c r="AB20" s="112">
        <v>-2842</v>
      </c>
      <c r="AC20" s="347">
        <v>-1098</v>
      </c>
      <c r="AD20" s="347">
        <v>-1483</v>
      </c>
      <c r="AE20" s="347">
        <f t="shared" si="7"/>
        <v>-2273</v>
      </c>
      <c r="AF20" s="354">
        <v>-7696</v>
      </c>
      <c r="AG20" s="354">
        <v>-3185</v>
      </c>
      <c r="AH20" s="354">
        <v>-1177</v>
      </c>
      <c r="AI20" s="354">
        <v>-3081</v>
      </c>
      <c r="AJ20" s="101"/>
      <c r="AK20" s="399">
        <v>0</v>
      </c>
      <c r="AL20" s="101"/>
      <c r="AM20" s="101"/>
      <c r="AN20" s="101"/>
      <c r="AO20" s="101"/>
      <c r="AP20" s="101"/>
      <c r="AQ20" s="101"/>
      <c r="AR20" s="101"/>
      <c r="AS20" s="101"/>
      <c r="AT20" s="101"/>
      <c r="AU20" s="101"/>
      <c r="AV20" s="101"/>
      <c r="AW20" s="101"/>
      <c r="AX20" s="101"/>
      <c r="AY20" s="101"/>
      <c r="AZ20" s="101"/>
    </row>
    <row r="21" spans="1:52" s="24" customFormat="1" x14ac:dyDescent="0.2">
      <c r="A21" s="198" t="s">
        <v>201</v>
      </c>
      <c r="B21" s="149">
        <v>1863</v>
      </c>
      <c r="C21" s="149">
        <v>846</v>
      </c>
      <c r="D21" s="149">
        <v>-2321</v>
      </c>
      <c r="E21" s="144">
        <v>-312</v>
      </c>
      <c r="F21" s="149">
        <v>76</v>
      </c>
      <c r="G21" s="149">
        <v>2804</v>
      </c>
      <c r="H21" s="149">
        <v>468</v>
      </c>
      <c r="I21" s="149">
        <v>324</v>
      </c>
      <c r="J21" s="144">
        <f t="shared" si="0"/>
        <v>-1358</v>
      </c>
      <c r="K21" s="149">
        <v>2238</v>
      </c>
      <c r="L21" s="189"/>
      <c r="M21" s="149">
        <v>3646</v>
      </c>
      <c r="N21" s="149">
        <v>-39</v>
      </c>
      <c r="O21" s="149">
        <v>817</v>
      </c>
      <c r="P21" s="149">
        <f t="shared" si="1"/>
        <v>-7808</v>
      </c>
      <c r="Q21" s="149">
        <v>-3384</v>
      </c>
      <c r="R21" s="203">
        <v>-4256</v>
      </c>
      <c r="S21" s="334">
        <v>-4256</v>
      </c>
      <c r="T21" s="203">
        <v>1138</v>
      </c>
      <c r="U21" s="334">
        <f t="shared" si="2"/>
        <v>1138</v>
      </c>
      <c r="V21" s="203">
        <v>-2299</v>
      </c>
      <c r="W21" s="334">
        <f t="shared" si="3"/>
        <v>-2299</v>
      </c>
      <c r="X21" s="203">
        <f t="shared" si="4"/>
        <v>6148</v>
      </c>
      <c r="Y21" s="334">
        <f t="shared" si="5"/>
        <v>6148</v>
      </c>
      <c r="Z21" s="112">
        <v>731</v>
      </c>
      <c r="AA21" s="334">
        <f t="shared" si="6"/>
        <v>731</v>
      </c>
      <c r="AB21" s="112">
        <v>3433</v>
      </c>
      <c r="AC21" s="347">
        <v>-2890</v>
      </c>
      <c r="AD21" s="347">
        <v>-1529</v>
      </c>
      <c r="AE21" s="347">
        <f t="shared" si="7"/>
        <v>361</v>
      </c>
      <c r="AF21" s="354">
        <v>-625</v>
      </c>
      <c r="AG21" s="354">
        <v>1049</v>
      </c>
      <c r="AH21" s="354">
        <v>-3680</v>
      </c>
      <c r="AI21" s="354">
        <v>-4228</v>
      </c>
      <c r="AJ21" s="101"/>
      <c r="AK21" s="399">
        <v>0</v>
      </c>
      <c r="AL21" s="101"/>
      <c r="AM21" s="101"/>
      <c r="AN21" s="101"/>
      <c r="AO21" s="101"/>
      <c r="AP21" s="101"/>
      <c r="AQ21" s="101"/>
      <c r="AR21" s="101"/>
      <c r="AS21" s="101"/>
      <c r="AT21" s="101"/>
      <c r="AU21" s="101"/>
      <c r="AV21" s="101"/>
      <c r="AW21" s="101"/>
      <c r="AX21" s="101"/>
      <c r="AY21" s="101"/>
      <c r="AZ21" s="101"/>
    </row>
    <row r="22" spans="1:52" s="24" customFormat="1" x14ac:dyDescent="0.2">
      <c r="A22" s="198" t="s">
        <v>202</v>
      </c>
      <c r="B22" s="149">
        <v>0</v>
      </c>
      <c r="C22" s="149">
        <v>0</v>
      </c>
      <c r="D22" s="149">
        <v>0</v>
      </c>
      <c r="E22" s="144">
        <v>-1181</v>
      </c>
      <c r="F22" s="149">
        <v>-1181</v>
      </c>
      <c r="G22" s="149">
        <v>0</v>
      </c>
      <c r="H22" s="149">
        <v>0</v>
      </c>
      <c r="I22" s="149">
        <v>0</v>
      </c>
      <c r="J22" s="144">
        <f t="shared" si="0"/>
        <v>-1458</v>
      </c>
      <c r="K22" s="149">
        <v>-1458</v>
      </c>
      <c r="L22" s="189"/>
      <c r="M22" s="149">
        <v>0</v>
      </c>
      <c r="N22" s="149">
        <v>0</v>
      </c>
      <c r="O22" s="149">
        <v>0</v>
      </c>
      <c r="P22" s="149">
        <f t="shared" si="1"/>
        <v>-4326</v>
      </c>
      <c r="Q22" s="149">
        <v>-4326</v>
      </c>
      <c r="R22" s="203">
        <v>0</v>
      </c>
      <c r="S22" s="334"/>
      <c r="T22" s="203">
        <v>0</v>
      </c>
      <c r="U22" s="334">
        <f t="shared" si="2"/>
        <v>0</v>
      </c>
      <c r="V22" s="203">
        <v>0</v>
      </c>
      <c r="W22" s="334">
        <f t="shared" si="3"/>
        <v>0</v>
      </c>
      <c r="X22" s="203">
        <f t="shared" si="4"/>
        <v>0</v>
      </c>
      <c r="Y22" s="334">
        <f t="shared" si="5"/>
        <v>0</v>
      </c>
      <c r="Z22" s="112">
        <v>0</v>
      </c>
      <c r="AA22" s="334">
        <f t="shared" si="6"/>
        <v>0</v>
      </c>
      <c r="AB22" s="257">
        <v>0</v>
      </c>
      <c r="AC22" s="257">
        <v>0</v>
      </c>
      <c r="AD22" s="257">
        <v>0</v>
      </c>
      <c r="AE22" s="347">
        <f t="shared" si="7"/>
        <v>0</v>
      </c>
      <c r="AF22" s="354">
        <v>0</v>
      </c>
      <c r="AG22" s="354">
        <v>0</v>
      </c>
      <c r="AH22" s="354">
        <v>0</v>
      </c>
      <c r="AI22" s="354">
        <v>0</v>
      </c>
      <c r="AJ22" s="101"/>
      <c r="AK22" s="399"/>
      <c r="AL22" s="101"/>
      <c r="AM22" s="101"/>
      <c r="AN22" s="101"/>
      <c r="AO22" s="101"/>
      <c r="AP22" s="101"/>
      <c r="AQ22" s="101"/>
      <c r="AR22" s="101"/>
      <c r="AS22" s="101"/>
      <c r="AT22" s="101"/>
      <c r="AU22" s="101"/>
      <c r="AV22" s="101"/>
      <c r="AW22" s="101"/>
      <c r="AX22" s="101"/>
      <c r="AY22" s="101"/>
      <c r="AZ22" s="101"/>
    </row>
    <row r="23" spans="1:52" s="24" customFormat="1" x14ac:dyDescent="0.2">
      <c r="A23" s="198" t="s">
        <v>245</v>
      </c>
      <c r="B23" s="149"/>
      <c r="C23" s="149"/>
      <c r="D23" s="149"/>
      <c r="E23" s="144"/>
      <c r="F23" s="149">
        <v>0</v>
      </c>
      <c r="G23" s="149"/>
      <c r="H23" s="149"/>
      <c r="I23" s="149"/>
      <c r="J23" s="144"/>
      <c r="K23" s="149">
        <v>0</v>
      </c>
      <c r="L23" s="189"/>
      <c r="M23" s="149"/>
      <c r="N23" s="149"/>
      <c r="O23" s="149"/>
      <c r="P23" s="149"/>
      <c r="Q23" s="149">
        <v>0</v>
      </c>
      <c r="R23" s="203"/>
      <c r="S23" s="334"/>
      <c r="T23" s="203"/>
      <c r="U23" s="334"/>
      <c r="V23" s="203"/>
      <c r="W23" s="334"/>
      <c r="X23" s="203"/>
      <c r="Y23" s="334"/>
      <c r="Z23" s="112">
        <v>0</v>
      </c>
      <c r="AA23" s="334">
        <v>0</v>
      </c>
      <c r="AB23" s="257">
        <v>0</v>
      </c>
      <c r="AC23" s="257">
        <v>0</v>
      </c>
      <c r="AD23" s="257">
        <v>0</v>
      </c>
      <c r="AE23" s="347">
        <f t="shared" si="7"/>
        <v>20056</v>
      </c>
      <c r="AF23" s="354">
        <v>20056</v>
      </c>
      <c r="AG23" s="354">
        <v>1227</v>
      </c>
      <c r="AH23" s="354">
        <v>1940</v>
      </c>
      <c r="AI23" s="354">
        <v>0</v>
      </c>
      <c r="AJ23" s="101"/>
      <c r="AK23" s="399">
        <v>0</v>
      </c>
      <c r="AL23" s="101"/>
      <c r="AM23" s="101"/>
      <c r="AN23" s="101"/>
      <c r="AO23" s="101"/>
      <c r="AP23" s="101"/>
      <c r="AQ23" s="101"/>
      <c r="AR23" s="101"/>
      <c r="AS23" s="101"/>
      <c r="AT23" s="101"/>
      <c r="AU23" s="101"/>
      <c r="AV23" s="101"/>
      <c r="AW23" s="101"/>
      <c r="AX23" s="101"/>
      <c r="AY23" s="101"/>
      <c r="AZ23" s="101"/>
    </row>
    <row r="24" spans="1:52" s="24" customFormat="1" x14ac:dyDescent="0.2">
      <c r="A24" s="198" t="s">
        <v>155</v>
      </c>
      <c r="B24" s="149">
        <v>0</v>
      </c>
      <c r="C24" s="149">
        <v>0</v>
      </c>
      <c r="D24" s="149">
        <v>0</v>
      </c>
      <c r="E24" s="144">
        <v>149</v>
      </c>
      <c r="F24" s="149">
        <v>149</v>
      </c>
      <c r="G24" s="149">
        <v>0</v>
      </c>
      <c r="H24" s="149">
        <v>0</v>
      </c>
      <c r="I24" s="149">
        <v>0</v>
      </c>
      <c r="J24" s="144">
        <f t="shared" si="0"/>
        <v>0</v>
      </c>
      <c r="K24" s="149">
        <v>0</v>
      </c>
      <c r="L24" s="189"/>
      <c r="M24" s="149">
        <v>0</v>
      </c>
      <c r="N24" s="149">
        <v>0</v>
      </c>
      <c r="O24" s="149">
        <v>0</v>
      </c>
      <c r="P24" s="149">
        <f t="shared" si="1"/>
        <v>0</v>
      </c>
      <c r="Q24" s="149">
        <v>0</v>
      </c>
      <c r="R24" s="203">
        <v>0</v>
      </c>
      <c r="S24" s="334"/>
      <c r="T24" s="203">
        <v>0</v>
      </c>
      <c r="U24" s="334">
        <f t="shared" si="2"/>
        <v>0</v>
      </c>
      <c r="V24" s="203">
        <v>0</v>
      </c>
      <c r="W24" s="334">
        <f t="shared" si="3"/>
        <v>0</v>
      </c>
      <c r="X24" s="203">
        <f t="shared" si="4"/>
        <v>0</v>
      </c>
      <c r="Y24" s="334">
        <f t="shared" si="5"/>
        <v>0</v>
      </c>
      <c r="Z24" s="257">
        <v>0</v>
      </c>
      <c r="AA24" s="334">
        <f t="shared" si="6"/>
        <v>0</v>
      </c>
      <c r="AB24" s="257">
        <v>0</v>
      </c>
      <c r="AC24" s="257">
        <v>0</v>
      </c>
      <c r="AD24" s="257">
        <v>0</v>
      </c>
      <c r="AE24" s="257">
        <f t="shared" si="7"/>
        <v>0</v>
      </c>
      <c r="AF24" s="257">
        <v>0</v>
      </c>
      <c r="AG24" s="257">
        <v>0</v>
      </c>
      <c r="AH24" s="257">
        <v>0</v>
      </c>
      <c r="AI24" s="257">
        <v>0</v>
      </c>
      <c r="AJ24" s="101"/>
      <c r="AK24" s="399"/>
      <c r="AL24" s="101"/>
      <c r="AM24" s="101"/>
      <c r="AN24" s="101"/>
      <c r="AO24" s="101"/>
      <c r="AP24" s="101"/>
      <c r="AQ24" s="101"/>
      <c r="AR24" s="101"/>
      <c r="AS24" s="101"/>
      <c r="AT24" s="101"/>
      <c r="AU24" s="101"/>
      <c r="AV24" s="101"/>
      <c r="AW24" s="101"/>
      <c r="AX24" s="101"/>
      <c r="AY24" s="101"/>
      <c r="AZ24" s="101"/>
    </row>
    <row r="25" spans="1:52" s="24" customFormat="1" x14ac:dyDescent="0.2">
      <c r="A25" s="198" t="s">
        <v>203</v>
      </c>
      <c r="B25" s="149">
        <v>0</v>
      </c>
      <c r="C25" s="149">
        <v>0</v>
      </c>
      <c r="D25" s="149">
        <v>0</v>
      </c>
      <c r="E25" s="144">
        <v>0</v>
      </c>
      <c r="F25" s="149">
        <v>0</v>
      </c>
      <c r="G25" s="149">
        <v>0</v>
      </c>
      <c r="H25" s="149">
        <v>0</v>
      </c>
      <c r="I25" s="149">
        <v>0</v>
      </c>
      <c r="J25" s="144">
        <f t="shared" si="0"/>
        <v>0</v>
      </c>
      <c r="K25" s="149">
        <v>0</v>
      </c>
      <c r="L25" s="189"/>
      <c r="M25" s="149">
        <v>0</v>
      </c>
      <c r="N25" s="149">
        <v>0</v>
      </c>
      <c r="O25" s="149">
        <v>0</v>
      </c>
      <c r="P25" s="149">
        <f t="shared" si="1"/>
        <v>0</v>
      </c>
      <c r="Q25" s="149">
        <v>0</v>
      </c>
      <c r="R25" s="203">
        <f>331168/1000</f>
        <v>331.16800000000001</v>
      </c>
      <c r="S25" s="334">
        <f>R25</f>
        <v>331.16800000000001</v>
      </c>
      <c r="T25" s="203">
        <v>552.93804</v>
      </c>
      <c r="U25" s="334">
        <f t="shared" si="2"/>
        <v>552.93804</v>
      </c>
      <c r="V25" s="203">
        <v>1821.8939599999999</v>
      </c>
      <c r="W25" s="334">
        <f t="shared" si="3"/>
        <v>1821.8939599999999</v>
      </c>
      <c r="X25" s="203">
        <f t="shared" si="4"/>
        <v>110</v>
      </c>
      <c r="Y25" s="334">
        <f t="shared" si="5"/>
        <v>110</v>
      </c>
      <c r="Z25" s="257">
        <v>2816</v>
      </c>
      <c r="AA25" s="334">
        <f t="shared" si="6"/>
        <v>2816</v>
      </c>
      <c r="AB25" s="257">
        <v>-612</v>
      </c>
      <c r="AC25" s="257">
        <v>22</v>
      </c>
      <c r="AD25" s="257">
        <v>-30</v>
      </c>
      <c r="AE25" s="257">
        <f t="shared" si="7"/>
        <v>47</v>
      </c>
      <c r="AF25" s="354">
        <v>-573</v>
      </c>
      <c r="AG25" s="354">
        <v>298</v>
      </c>
      <c r="AH25" s="354">
        <v>-17</v>
      </c>
      <c r="AI25" s="354">
        <v>152</v>
      </c>
      <c r="AJ25" s="101"/>
      <c r="AK25" s="399">
        <v>0</v>
      </c>
      <c r="AL25" s="101"/>
      <c r="AM25" s="101"/>
      <c r="AN25" s="101"/>
      <c r="AO25" s="101"/>
      <c r="AP25" s="101"/>
      <c r="AQ25" s="101"/>
      <c r="AR25" s="101"/>
      <c r="AS25" s="101"/>
      <c r="AT25" s="101"/>
      <c r="AU25" s="101"/>
      <c r="AV25" s="101"/>
      <c r="AW25" s="101"/>
      <c r="AX25" s="101"/>
      <c r="AY25" s="101"/>
      <c r="AZ25" s="101"/>
    </row>
    <row r="26" spans="1:52" s="24" customFormat="1" x14ac:dyDescent="0.2">
      <c r="A26" s="198" t="s">
        <v>161</v>
      </c>
      <c r="B26" s="149">
        <v>-16</v>
      </c>
      <c r="C26" s="149">
        <v>-45</v>
      </c>
      <c r="D26" s="149">
        <v>-27</v>
      </c>
      <c r="E26" s="144">
        <v>166</v>
      </c>
      <c r="F26" s="149">
        <v>78</v>
      </c>
      <c r="G26" s="149">
        <v>-13</v>
      </c>
      <c r="H26" s="149">
        <v>-242.82400000000001</v>
      </c>
      <c r="I26" s="149">
        <v>-64</v>
      </c>
      <c r="J26" s="144">
        <f t="shared" si="0"/>
        <v>-58.175999999999988</v>
      </c>
      <c r="K26" s="149">
        <v>-378</v>
      </c>
      <c r="L26" s="189"/>
      <c r="M26" s="149">
        <v>-38</v>
      </c>
      <c r="N26" s="149">
        <v>-77</v>
      </c>
      <c r="O26" s="149">
        <v>-42</v>
      </c>
      <c r="P26" s="149">
        <f t="shared" si="1"/>
        <v>-33</v>
      </c>
      <c r="Q26" s="149">
        <f>-107-Q12</f>
        <v>-190</v>
      </c>
      <c r="R26" s="203">
        <f>-19514.95/1000</f>
        <v>-19.514950000000002</v>
      </c>
      <c r="S26" s="334">
        <v>-20</v>
      </c>
      <c r="T26" s="203">
        <f>(-22656/1000)-R26</f>
        <v>-3.1410499999999963</v>
      </c>
      <c r="U26" s="334">
        <f t="shared" si="2"/>
        <v>-3.1410499999999963</v>
      </c>
      <c r="V26" s="203">
        <f>-58467.7/1000-R26-T26</f>
        <v>-35.811700000000002</v>
      </c>
      <c r="W26" s="334">
        <f t="shared" si="3"/>
        <v>-35.811700000000002</v>
      </c>
      <c r="X26" s="203">
        <f t="shared" si="4"/>
        <v>-11.532299999999999</v>
      </c>
      <c r="Y26" s="334">
        <f t="shared" si="5"/>
        <v>-11.047250000000005</v>
      </c>
      <c r="Z26" s="257">
        <v>-70</v>
      </c>
      <c r="AA26" s="334">
        <f t="shared" si="6"/>
        <v>-70</v>
      </c>
      <c r="AB26" s="257">
        <f>ROUND(-17.89307,0)</f>
        <v>-18</v>
      </c>
      <c r="AC26" s="257">
        <f>ROUND(51.89307,0)</f>
        <v>52</v>
      </c>
      <c r="AD26" s="257">
        <v>0</v>
      </c>
      <c r="AE26" s="257">
        <f t="shared" si="7"/>
        <v>-11</v>
      </c>
      <c r="AF26" s="354">
        <v>23</v>
      </c>
      <c r="AG26" s="354">
        <v>291.15050000000002</v>
      </c>
      <c r="AH26" s="354">
        <v>426.30423000000013</v>
      </c>
      <c r="AI26" s="354">
        <v>-1227.1716799999977</v>
      </c>
      <c r="AJ26" s="101"/>
      <c r="AK26" s="399"/>
      <c r="AL26" s="101"/>
      <c r="AM26" s="101"/>
      <c r="AN26" s="101"/>
      <c r="AO26" s="101"/>
      <c r="AP26" s="101"/>
      <c r="AQ26" s="101"/>
      <c r="AR26" s="101"/>
      <c r="AS26" s="101"/>
      <c r="AT26" s="101"/>
      <c r="AU26" s="101"/>
      <c r="AV26" s="101"/>
      <c r="AW26" s="101"/>
      <c r="AX26" s="101"/>
      <c r="AY26" s="101"/>
      <c r="AZ26" s="101"/>
    </row>
    <row r="27" spans="1:52" x14ac:dyDescent="0.2">
      <c r="A27" s="36" t="s">
        <v>170</v>
      </c>
      <c r="B27" s="149"/>
      <c r="C27" s="149"/>
      <c r="D27" s="149"/>
      <c r="E27" s="144"/>
      <c r="F27" s="149"/>
      <c r="G27" s="149"/>
      <c r="H27" s="149"/>
      <c r="I27" s="149"/>
      <c r="J27" s="144"/>
      <c r="K27" s="149">
        <v>0</v>
      </c>
      <c r="L27" s="110"/>
      <c r="M27" s="149">
        <v>-250</v>
      </c>
      <c r="N27" s="149">
        <v>-3810</v>
      </c>
      <c r="O27" s="149">
        <v>0</v>
      </c>
      <c r="P27" s="149">
        <f t="shared" si="1"/>
        <v>0</v>
      </c>
      <c r="Q27" s="149">
        <v>-4060</v>
      </c>
      <c r="R27" s="203">
        <v>0</v>
      </c>
      <c r="S27" s="334"/>
      <c r="T27" s="203">
        <v>0</v>
      </c>
      <c r="U27" s="334">
        <f t="shared" si="2"/>
        <v>0</v>
      </c>
      <c r="V27" s="203">
        <v>0</v>
      </c>
      <c r="W27" s="334">
        <f t="shared" si="3"/>
        <v>0</v>
      </c>
      <c r="X27" s="203">
        <f t="shared" si="4"/>
        <v>0</v>
      </c>
      <c r="Y27" s="334">
        <f t="shared" si="5"/>
        <v>0</v>
      </c>
      <c r="Z27" s="258">
        <v>0</v>
      </c>
      <c r="AA27" s="334">
        <f t="shared" si="6"/>
        <v>0</v>
      </c>
      <c r="AB27" s="257">
        <v>0</v>
      </c>
      <c r="AC27" s="257">
        <v>0</v>
      </c>
      <c r="AD27" s="257">
        <v>0</v>
      </c>
      <c r="AE27" s="257">
        <f t="shared" si="7"/>
        <v>0</v>
      </c>
      <c r="AF27" s="257">
        <v>0</v>
      </c>
      <c r="AG27" s="257">
        <v>0</v>
      </c>
      <c r="AH27" s="257">
        <v>0</v>
      </c>
      <c r="AI27" s="257">
        <v>0</v>
      </c>
    </row>
    <row r="28" spans="1:52" x14ac:dyDescent="0.2">
      <c r="A28" s="36" t="s">
        <v>269</v>
      </c>
      <c r="B28" s="149"/>
      <c r="C28" s="149"/>
      <c r="D28" s="149"/>
      <c r="E28" s="144"/>
      <c r="F28" s="258">
        <v>0</v>
      </c>
      <c r="G28" s="149"/>
      <c r="H28" s="149"/>
      <c r="I28" s="149"/>
      <c r="J28" s="144"/>
      <c r="K28" s="258">
        <v>0</v>
      </c>
      <c r="L28" s="110"/>
      <c r="M28" s="149"/>
      <c r="N28" s="149"/>
      <c r="O28" s="149"/>
      <c r="P28" s="149"/>
      <c r="Q28" s="258">
        <v>0</v>
      </c>
      <c r="R28" s="203"/>
      <c r="S28" s="334"/>
      <c r="T28" s="203"/>
      <c r="U28" s="334"/>
      <c r="V28" s="203"/>
      <c r="W28" s="334"/>
      <c r="X28" s="203"/>
      <c r="Y28" s="334"/>
      <c r="Z28" s="258">
        <v>0</v>
      </c>
      <c r="AA28" s="334">
        <v>0</v>
      </c>
      <c r="AB28" s="257">
        <v>0</v>
      </c>
      <c r="AC28" s="257">
        <v>0</v>
      </c>
      <c r="AD28" s="257">
        <v>0</v>
      </c>
      <c r="AE28" s="257">
        <v>0</v>
      </c>
      <c r="AF28" s="257">
        <v>0</v>
      </c>
      <c r="AG28" s="257">
        <v>0</v>
      </c>
      <c r="AH28" s="257">
        <v>13701</v>
      </c>
      <c r="AI28" s="257">
        <v>6843</v>
      </c>
      <c r="AK28" s="305">
        <v>0</v>
      </c>
    </row>
    <row r="29" spans="1:52" x14ac:dyDescent="0.2">
      <c r="A29" s="47" t="s">
        <v>70</v>
      </c>
      <c r="B29" s="144"/>
      <c r="C29" s="144"/>
      <c r="D29" s="144"/>
      <c r="E29" s="144"/>
      <c r="F29" s="144"/>
      <c r="G29" s="144"/>
      <c r="H29" s="144"/>
      <c r="I29" s="144"/>
      <c r="J29" s="144"/>
      <c r="K29" s="144"/>
      <c r="L29" s="110"/>
      <c r="M29" s="144"/>
      <c r="N29" s="144"/>
      <c r="O29" s="144"/>
      <c r="P29" s="144">
        <f t="shared" si="1"/>
        <v>0</v>
      </c>
      <c r="Q29" s="144"/>
      <c r="R29" s="201"/>
      <c r="S29" s="335"/>
      <c r="T29" s="202"/>
      <c r="U29" s="335">
        <f t="shared" si="2"/>
        <v>0</v>
      </c>
      <c r="V29" s="38"/>
      <c r="W29" s="335"/>
      <c r="Y29" s="335"/>
      <c r="AA29" s="335"/>
      <c r="AB29" s="257"/>
      <c r="AC29" s="257"/>
      <c r="AD29" s="257"/>
      <c r="AE29" s="257"/>
      <c r="AF29" s="354"/>
      <c r="AG29" s="354"/>
      <c r="AH29" s="354"/>
      <c r="AI29" s="354"/>
    </row>
    <row r="30" spans="1:52" x14ac:dyDescent="0.2">
      <c r="A30" s="36" t="s">
        <v>19</v>
      </c>
      <c r="B30" s="134">
        <v>-502</v>
      </c>
      <c r="C30" s="134">
        <v>211</v>
      </c>
      <c r="D30" s="134">
        <v>-77</v>
      </c>
      <c r="E30" s="144">
        <v>-379</v>
      </c>
      <c r="F30" s="134">
        <v>-747</v>
      </c>
      <c r="G30" s="134">
        <v>-1477</v>
      </c>
      <c r="H30" s="134">
        <v>280</v>
      </c>
      <c r="I30" s="134">
        <v>-116</v>
      </c>
      <c r="J30" s="144">
        <f t="shared" si="0"/>
        <v>526</v>
      </c>
      <c r="K30" s="134">
        <v>-787</v>
      </c>
      <c r="L30" s="110"/>
      <c r="M30" s="134">
        <v>-919</v>
      </c>
      <c r="N30" s="134">
        <v>1233</v>
      </c>
      <c r="O30" s="134">
        <v>-778</v>
      </c>
      <c r="P30" s="134">
        <f t="shared" si="1"/>
        <v>-1673</v>
      </c>
      <c r="Q30" s="134">
        <v>-2137</v>
      </c>
      <c r="R30" s="201">
        <v>1050</v>
      </c>
      <c r="S30" s="335">
        <v>0</v>
      </c>
      <c r="T30" s="202">
        <v>778</v>
      </c>
      <c r="U30" s="335">
        <v>0</v>
      </c>
      <c r="V30" s="202">
        <v>-71</v>
      </c>
      <c r="W30" s="335">
        <v>0</v>
      </c>
      <c r="X30" s="202">
        <f t="shared" si="4"/>
        <v>-1776</v>
      </c>
      <c r="Y30" s="335">
        <f t="shared" ref="Y30:Y37" si="8">+AA30-SUM(S30,U30,W30)</f>
        <v>0</v>
      </c>
      <c r="Z30" s="304">
        <v>-19</v>
      </c>
      <c r="AA30" s="335"/>
      <c r="AB30" s="257">
        <v>0</v>
      </c>
      <c r="AC30" s="257">
        <v>0</v>
      </c>
      <c r="AD30" s="257">
        <v>0</v>
      </c>
      <c r="AE30" s="257">
        <f t="shared" ref="AE30:AE37" si="9">+AF30-SUM(AB30:AD30)</f>
        <v>0</v>
      </c>
      <c r="AF30" s="257">
        <v>0</v>
      </c>
      <c r="AG30" s="257">
        <v>0</v>
      </c>
      <c r="AH30" s="257">
        <v>0</v>
      </c>
      <c r="AI30" s="257">
        <v>0</v>
      </c>
    </row>
    <row r="31" spans="1:52" x14ac:dyDescent="0.2">
      <c r="A31" s="36" t="s">
        <v>20</v>
      </c>
      <c r="B31" s="132">
        <v>-1713</v>
      </c>
      <c r="C31" s="132">
        <v>4185</v>
      </c>
      <c r="D31" s="132">
        <v>-1633</v>
      </c>
      <c r="E31" s="144">
        <v>2422</v>
      </c>
      <c r="F31" s="132">
        <v>3261</v>
      </c>
      <c r="G31" s="132">
        <v>-5778.9670686232503</v>
      </c>
      <c r="H31" s="132">
        <v>-4234.0329313767497</v>
      </c>
      <c r="I31" s="132">
        <v>-4633.9999999999991</v>
      </c>
      <c r="J31" s="144">
        <f t="shared" si="0"/>
        <v>5559.9999999999991</v>
      </c>
      <c r="K31" s="132">
        <v>-9087</v>
      </c>
      <c r="L31" s="110"/>
      <c r="M31" s="132">
        <v>-14490</v>
      </c>
      <c r="N31" s="132">
        <v>-5131</v>
      </c>
      <c r="O31" s="132">
        <v>3099</v>
      </c>
      <c r="P31" s="132">
        <f t="shared" si="1"/>
        <v>-1540</v>
      </c>
      <c r="Q31" s="132">
        <v>-18062</v>
      </c>
      <c r="R31" s="203">
        <f>-6340-331</f>
        <v>-6671</v>
      </c>
      <c r="S31" s="334">
        <f>R31</f>
        <v>-6671</v>
      </c>
      <c r="T31" s="203">
        <f>-3435-553</f>
        <v>-3988</v>
      </c>
      <c r="U31" s="334">
        <f t="shared" si="2"/>
        <v>-3988</v>
      </c>
      <c r="V31" s="203">
        <v>-11405</v>
      </c>
      <c r="W31" s="334">
        <f t="shared" ref="W31:W40" si="10">V31</f>
        <v>-11405</v>
      </c>
      <c r="X31" s="203">
        <f t="shared" si="4"/>
        <v>1582</v>
      </c>
      <c r="Y31" s="334">
        <f t="shared" si="8"/>
        <v>1582</v>
      </c>
      <c r="Z31" s="258">
        <v>-20482</v>
      </c>
      <c r="AA31" s="334">
        <f t="shared" si="6"/>
        <v>-20482</v>
      </c>
      <c r="AB31" s="258">
        <v>-590</v>
      </c>
      <c r="AC31" s="258">
        <v>-11129</v>
      </c>
      <c r="AD31" s="258">
        <v>2365</v>
      </c>
      <c r="AE31" s="258">
        <f t="shared" si="9"/>
        <v>-692</v>
      </c>
      <c r="AF31" s="354">
        <v>-10046</v>
      </c>
      <c r="AG31" s="354">
        <v>-12016</v>
      </c>
      <c r="AH31" s="354">
        <v>-4462</v>
      </c>
      <c r="AI31" s="354">
        <v>3</v>
      </c>
      <c r="AK31" s="305">
        <v>0</v>
      </c>
    </row>
    <row r="32" spans="1:52" x14ac:dyDescent="0.2">
      <c r="A32" s="36" t="s">
        <v>38</v>
      </c>
      <c r="B32" s="150">
        <v>-4187</v>
      </c>
      <c r="C32" s="150">
        <v>2179</v>
      </c>
      <c r="D32" s="150">
        <v>117</v>
      </c>
      <c r="E32" s="144">
        <v>-2039</v>
      </c>
      <c r="F32" s="150">
        <v>-3930</v>
      </c>
      <c r="G32" s="150">
        <v>-2799</v>
      </c>
      <c r="H32" s="150">
        <v>1656</v>
      </c>
      <c r="I32" s="150">
        <v>2120</v>
      </c>
      <c r="J32" s="144">
        <f t="shared" si="0"/>
        <v>-4089</v>
      </c>
      <c r="K32" s="150">
        <v>-3112</v>
      </c>
      <c r="L32" s="110"/>
      <c r="M32" s="150">
        <v>-3641</v>
      </c>
      <c r="N32" s="150">
        <v>2464</v>
      </c>
      <c r="O32" s="150">
        <v>590</v>
      </c>
      <c r="P32" s="150">
        <f t="shared" si="1"/>
        <v>-4834</v>
      </c>
      <c r="Q32" s="150">
        <v>-5421</v>
      </c>
      <c r="R32" s="203">
        <v>-1285</v>
      </c>
      <c r="S32" s="334">
        <f>R32</f>
        <v>-1285</v>
      </c>
      <c r="T32" s="203">
        <v>8446</v>
      </c>
      <c r="U32" s="334">
        <f t="shared" si="2"/>
        <v>8446</v>
      </c>
      <c r="V32" s="203">
        <v>-1967</v>
      </c>
      <c r="W32" s="334">
        <f t="shared" si="10"/>
        <v>-1967</v>
      </c>
      <c r="X32" s="203">
        <f t="shared" si="4"/>
        <v>-4976</v>
      </c>
      <c r="Y32" s="334">
        <f t="shared" si="8"/>
        <v>-4976</v>
      </c>
      <c r="Z32" s="258">
        <v>218</v>
      </c>
      <c r="AA32" s="334">
        <f t="shared" si="6"/>
        <v>218</v>
      </c>
      <c r="AB32" s="258">
        <v>-2164</v>
      </c>
      <c r="AC32" s="258">
        <v>-266</v>
      </c>
      <c r="AD32" s="258">
        <v>-914</v>
      </c>
      <c r="AE32" s="258">
        <f t="shared" si="9"/>
        <v>-1165</v>
      </c>
      <c r="AF32" s="354">
        <v>-4509</v>
      </c>
      <c r="AG32" s="354">
        <v>591</v>
      </c>
      <c r="AH32" s="354">
        <v>-2624</v>
      </c>
      <c r="AI32" s="354">
        <v>2785</v>
      </c>
      <c r="AK32" s="305">
        <v>0</v>
      </c>
    </row>
    <row r="33" spans="1:52" x14ac:dyDescent="0.2">
      <c r="A33" s="36" t="s">
        <v>25</v>
      </c>
      <c r="B33" s="150">
        <v>-124</v>
      </c>
      <c r="C33" s="150">
        <v>543</v>
      </c>
      <c r="D33" s="150">
        <v>-1209</v>
      </c>
      <c r="E33" s="144">
        <v>644</v>
      </c>
      <c r="F33" s="150">
        <v>-146</v>
      </c>
      <c r="G33" s="150">
        <v>-984</v>
      </c>
      <c r="H33" s="150">
        <v>520</v>
      </c>
      <c r="I33" s="150">
        <v>-1138</v>
      </c>
      <c r="J33" s="144">
        <f t="shared" si="0"/>
        <v>1646</v>
      </c>
      <c r="K33" s="150">
        <v>44</v>
      </c>
      <c r="L33" s="110"/>
      <c r="M33" s="150">
        <v>-2584</v>
      </c>
      <c r="N33" s="150">
        <v>1157</v>
      </c>
      <c r="O33" s="150">
        <v>-1091</v>
      </c>
      <c r="P33" s="150">
        <f t="shared" si="1"/>
        <v>-110</v>
      </c>
      <c r="Q33" s="150">
        <v>-2628</v>
      </c>
      <c r="R33" s="203">
        <v>2185</v>
      </c>
      <c r="S33" s="334">
        <f t="shared" ref="S33:S37" si="11">R33</f>
        <v>2185</v>
      </c>
      <c r="T33" s="203">
        <v>3110</v>
      </c>
      <c r="U33" s="334">
        <f t="shared" si="2"/>
        <v>3110</v>
      </c>
      <c r="V33" s="203">
        <v>-4924</v>
      </c>
      <c r="W33" s="334">
        <f t="shared" si="10"/>
        <v>-4924</v>
      </c>
      <c r="X33" s="203">
        <f t="shared" si="4"/>
        <v>1335</v>
      </c>
      <c r="Y33" s="334">
        <f t="shared" si="8"/>
        <v>1335</v>
      </c>
      <c r="Z33" s="258">
        <v>1706</v>
      </c>
      <c r="AA33" s="334">
        <f t="shared" si="6"/>
        <v>1706</v>
      </c>
      <c r="AB33" s="258">
        <v>-1726</v>
      </c>
      <c r="AC33" s="258">
        <v>383</v>
      </c>
      <c r="AD33" s="258">
        <v>-71</v>
      </c>
      <c r="AE33" s="258">
        <f t="shared" si="9"/>
        <v>1054</v>
      </c>
      <c r="AF33" s="354">
        <v>-360</v>
      </c>
      <c r="AG33" s="354">
        <v>-1159</v>
      </c>
      <c r="AH33" s="354">
        <v>-955</v>
      </c>
      <c r="AI33" s="354">
        <v>267</v>
      </c>
      <c r="AK33" s="305">
        <v>0</v>
      </c>
    </row>
    <row r="34" spans="1:52" x14ac:dyDescent="0.2">
      <c r="A34" s="36" t="s">
        <v>26</v>
      </c>
      <c r="B34" s="150">
        <v>902</v>
      </c>
      <c r="C34" s="150">
        <v>133</v>
      </c>
      <c r="D34" s="150">
        <v>-1634</v>
      </c>
      <c r="E34" s="144">
        <v>-348</v>
      </c>
      <c r="F34" s="150">
        <v>-947</v>
      </c>
      <c r="G34" s="150">
        <v>3833.785210206534</v>
      </c>
      <c r="H34" s="150">
        <v>-1317.785210206534</v>
      </c>
      <c r="I34" s="150">
        <v>-3431</v>
      </c>
      <c r="J34" s="144">
        <f t="shared" si="0"/>
        <v>3481</v>
      </c>
      <c r="K34" s="150">
        <v>2566</v>
      </c>
      <c r="L34" s="110"/>
      <c r="M34" s="150">
        <v>2334</v>
      </c>
      <c r="N34" s="150">
        <v>2662</v>
      </c>
      <c r="O34" s="150">
        <v>-6481</v>
      </c>
      <c r="P34" s="150">
        <f t="shared" si="1"/>
        <v>7211</v>
      </c>
      <c r="Q34" s="150">
        <v>5726</v>
      </c>
      <c r="R34" s="203">
        <v>1480</v>
      </c>
      <c r="S34" s="334">
        <f t="shared" si="11"/>
        <v>1480</v>
      </c>
      <c r="T34" s="203">
        <v>-3847</v>
      </c>
      <c r="U34" s="334">
        <f t="shared" si="2"/>
        <v>-3847</v>
      </c>
      <c r="V34" s="203">
        <v>-5788</v>
      </c>
      <c r="W34" s="334">
        <f t="shared" si="10"/>
        <v>-5788</v>
      </c>
      <c r="X34" s="203">
        <f t="shared" si="4"/>
        <v>1530</v>
      </c>
      <c r="Y34" s="334">
        <f t="shared" si="8"/>
        <v>1530</v>
      </c>
      <c r="Z34" s="258">
        <v>-6625</v>
      </c>
      <c r="AA34" s="334">
        <f t="shared" si="6"/>
        <v>-6625</v>
      </c>
      <c r="AB34" s="258">
        <v>877</v>
      </c>
      <c r="AC34" s="258">
        <v>-1076</v>
      </c>
      <c r="AD34" s="258">
        <v>-5000</v>
      </c>
      <c r="AE34" s="258">
        <f t="shared" si="9"/>
        <v>270</v>
      </c>
      <c r="AF34" s="354">
        <v>-4929</v>
      </c>
      <c r="AG34" s="354">
        <v>3262</v>
      </c>
      <c r="AH34" s="354">
        <v>2392</v>
      </c>
      <c r="AI34" s="354">
        <v>-2407</v>
      </c>
      <c r="AK34" s="305">
        <v>0</v>
      </c>
    </row>
    <row r="35" spans="1:52" x14ac:dyDescent="0.2">
      <c r="A35" s="36" t="s">
        <v>39</v>
      </c>
      <c r="B35" s="150">
        <v>-12478</v>
      </c>
      <c r="C35" s="150">
        <v>3579</v>
      </c>
      <c r="D35" s="150">
        <v>9150</v>
      </c>
      <c r="E35" s="144">
        <v>8354</v>
      </c>
      <c r="F35" s="150">
        <v>8605</v>
      </c>
      <c r="G35" s="150">
        <f>-16398-497</f>
        <v>-16895</v>
      </c>
      <c r="H35" s="150">
        <v>5662</v>
      </c>
      <c r="I35" s="150">
        <v>7720</v>
      </c>
      <c r="J35" s="144">
        <f t="shared" si="0"/>
        <v>7342</v>
      </c>
      <c r="K35" s="150">
        <v>3829</v>
      </c>
      <c r="L35" s="110"/>
      <c r="M35" s="150">
        <v>-15420</v>
      </c>
      <c r="N35" s="150">
        <v>9551</v>
      </c>
      <c r="O35" s="150">
        <v>7745</v>
      </c>
      <c r="P35" s="150">
        <f t="shared" si="1"/>
        <v>12508</v>
      </c>
      <c r="Q35" s="150">
        <v>14384</v>
      </c>
      <c r="R35" s="203">
        <v>-20247</v>
      </c>
      <c r="S35" s="334">
        <f t="shared" si="11"/>
        <v>-20247</v>
      </c>
      <c r="T35" s="203">
        <v>2561</v>
      </c>
      <c r="U35" s="334">
        <f t="shared" si="2"/>
        <v>2561</v>
      </c>
      <c r="V35" s="203">
        <v>17038</v>
      </c>
      <c r="W35" s="334">
        <f t="shared" si="10"/>
        <v>17038</v>
      </c>
      <c r="X35" s="203">
        <f t="shared" si="4"/>
        <v>13942</v>
      </c>
      <c r="Y35" s="334">
        <f t="shared" si="8"/>
        <v>13942</v>
      </c>
      <c r="Z35" s="258">
        <v>13294</v>
      </c>
      <c r="AA35" s="334">
        <f t="shared" si="6"/>
        <v>13294</v>
      </c>
      <c r="AB35" s="258">
        <v>-24338</v>
      </c>
      <c r="AC35" s="258">
        <v>6380</v>
      </c>
      <c r="AD35" s="258">
        <v>9842</v>
      </c>
      <c r="AE35" s="258">
        <f t="shared" si="9"/>
        <v>8304</v>
      </c>
      <c r="AF35" s="354">
        <v>188</v>
      </c>
      <c r="AG35" s="354">
        <v>-16599</v>
      </c>
      <c r="AH35" s="354">
        <v>9232</v>
      </c>
      <c r="AI35" s="354">
        <v>22947</v>
      </c>
      <c r="AK35" s="305">
        <v>0</v>
      </c>
    </row>
    <row r="36" spans="1:52" x14ac:dyDescent="0.2">
      <c r="A36" s="36" t="s">
        <v>195</v>
      </c>
      <c r="B36" s="150">
        <v>-1822</v>
      </c>
      <c r="C36" s="150">
        <v>-4441</v>
      </c>
      <c r="D36" s="150">
        <v>759</v>
      </c>
      <c r="E36" s="144">
        <v>-2337</v>
      </c>
      <c r="F36" s="150">
        <v>-7841</v>
      </c>
      <c r="G36" s="150">
        <f>485+59</f>
        <v>544</v>
      </c>
      <c r="H36" s="150">
        <v>3081</v>
      </c>
      <c r="I36" s="150">
        <v>2126</v>
      </c>
      <c r="J36" s="144">
        <f t="shared" si="0"/>
        <v>3114</v>
      </c>
      <c r="K36" s="150">
        <v>8865</v>
      </c>
      <c r="L36" s="110"/>
      <c r="M36" s="150">
        <v>-4429</v>
      </c>
      <c r="N36" s="150">
        <v>1250</v>
      </c>
      <c r="O36" s="150">
        <v>-1569</v>
      </c>
      <c r="P36" s="150">
        <f t="shared" si="1"/>
        <v>5185</v>
      </c>
      <c r="Q36" s="150">
        <v>437</v>
      </c>
      <c r="R36" s="150">
        <v>-1471</v>
      </c>
      <c r="S36" s="334">
        <f t="shared" si="11"/>
        <v>-1471</v>
      </c>
      <c r="T36" s="150">
        <v>354</v>
      </c>
      <c r="U36" s="334">
        <f t="shared" si="2"/>
        <v>354</v>
      </c>
      <c r="V36" s="150">
        <v>-1490</v>
      </c>
      <c r="W36" s="334">
        <f t="shared" si="10"/>
        <v>-1490</v>
      </c>
      <c r="X36" s="203">
        <f t="shared" si="4"/>
        <v>13644</v>
      </c>
      <c r="Y36" s="334">
        <f t="shared" si="8"/>
        <v>13644</v>
      </c>
      <c r="Z36" s="258">
        <v>11037</v>
      </c>
      <c r="AA36" s="334">
        <f t="shared" si="6"/>
        <v>11037</v>
      </c>
      <c r="AB36" s="258">
        <v>-13906</v>
      </c>
      <c r="AC36" s="258">
        <v>6301</v>
      </c>
      <c r="AD36" s="258">
        <v>3377</v>
      </c>
      <c r="AE36" s="258">
        <f t="shared" si="9"/>
        <v>-9919</v>
      </c>
      <c r="AF36" s="354">
        <v>-14147</v>
      </c>
      <c r="AG36" s="354">
        <v>-2099</v>
      </c>
      <c r="AH36" s="354">
        <v>3444</v>
      </c>
      <c r="AI36" s="354">
        <v>4867</v>
      </c>
      <c r="AK36" s="305">
        <v>0</v>
      </c>
    </row>
    <row r="37" spans="1:52" x14ac:dyDescent="0.2">
      <c r="A37" s="36" t="s">
        <v>31</v>
      </c>
      <c r="B37" s="150">
        <v>-570</v>
      </c>
      <c r="C37" s="150">
        <v>-1136</v>
      </c>
      <c r="D37" s="150">
        <v>-749</v>
      </c>
      <c r="E37" s="144">
        <v>609</v>
      </c>
      <c r="F37" s="150">
        <v>-1846</v>
      </c>
      <c r="G37" s="150">
        <f>-257</f>
        <v>-257</v>
      </c>
      <c r="H37" s="150">
        <v>-148</v>
      </c>
      <c r="I37" s="150">
        <v>-355</v>
      </c>
      <c r="J37" s="144">
        <f t="shared" si="0"/>
        <v>-648</v>
      </c>
      <c r="K37" s="150">
        <v>-1408</v>
      </c>
      <c r="L37" s="110"/>
      <c r="M37" s="150">
        <v>148</v>
      </c>
      <c r="N37" s="150">
        <v>-581</v>
      </c>
      <c r="O37" s="150">
        <v>-243</v>
      </c>
      <c r="P37" s="150">
        <f t="shared" si="1"/>
        <v>5430</v>
      </c>
      <c r="Q37" s="150">
        <v>4754</v>
      </c>
      <c r="R37" s="150">
        <v>1569</v>
      </c>
      <c r="S37" s="334">
        <f t="shared" si="11"/>
        <v>1569</v>
      </c>
      <c r="T37" s="150">
        <v>-1605</v>
      </c>
      <c r="U37" s="334">
        <f t="shared" si="2"/>
        <v>-1605</v>
      </c>
      <c r="V37" s="150">
        <v>1277</v>
      </c>
      <c r="W37" s="334">
        <f t="shared" si="10"/>
        <v>1277</v>
      </c>
      <c r="X37" s="203">
        <f t="shared" si="4"/>
        <v>-3465</v>
      </c>
      <c r="Y37" s="334">
        <f t="shared" si="8"/>
        <v>-3465</v>
      </c>
      <c r="Z37" s="258">
        <v>-2224</v>
      </c>
      <c r="AA37" s="334">
        <f t="shared" si="6"/>
        <v>-2224</v>
      </c>
      <c r="AB37" s="258">
        <v>-1789</v>
      </c>
      <c r="AC37" s="258">
        <v>-2498</v>
      </c>
      <c r="AD37" s="258">
        <v>-1697</v>
      </c>
      <c r="AE37" s="258">
        <f t="shared" si="9"/>
        <v>-816</v>
      </c>
      <c r="AF37" s="354">
        <v>-6800</v>
      </c>
      <c r="AG37" s="354">
        <v>388</v>
      </c>
      <c r="AH37" s="354">
        <v>-262</v>
      </c>
      <c r="AI37" s="354">
        <v>-1433</v>
      </c>
      <c r="AK37" s="305">
        <v>0</v>
      </c>
    </row>
    <row r="38" spans="1:52" x14ac:dyDescent="0.2">
      <c r="A38" s="36" t="s">
        <v>270</v>
      </c>
      <c r="B38" s="150"/>
      <c r="C38" s="150"/>
      <c r="D38" s="150"/>
      <c r="E38" s="144"/>
      <c r="F38" s="258">
        <v>0</v>
      </c>
      <c r="G38" s="150"/>
      <c r="H38" s="150"/>
      <c r="I38" s="150"/>
      <c r="J38" s="144"/>
      <c r="K38" s="258">
        <v>0</v>
      </c>
      <c r="L38" s="110"/>
      <c r="M38" s="150"/>
      <c r="N38" s="150"/>
      <c r="O38" s="150"/>
      <c r="P38" s="150"/>
      <c r="Q38" s="258">
        <v>0</v>
      </c>
      <c r="R38" s="150"/>
      <c r="S38" s="334"/>
      <c r="T38" s="150"/>
      <c r="U38" s="334"/>
      <c r="V38" s="150"/>
      <c r="W38" s="334"/>
      <c r="X38" s="203"/>
      <c r="Y38" s="334"/>
      <c r="Z38" s="258">
        <v>0</v>
      </c>
      <c r="AA38" s="334">
        <v>0</v>
      </c>
      <c r="AB38" s="354">
        <v>0</v>
      </c>
      <c r="AC38" s="354">
        <v>0</v>
      </c>
      <c r="AD38" s="354">
        <v>0</v>
      </c>
      <c r="AE38" s="354">
        <v>0</v>
      </c>
      <c r="AF38" s="354">
        <v>0</v>
      </c>
      <c r="AG38" s="354">
        <v>0</v>
      </c>
      <c r="AH38" s="354">
        <v>-13749</v>
      </c>
      <c r="AI38" s="354">
        <v>-5679</v>
      </c>
      <c r="AK38" s="305">
        <v>0</v>
      </c>
    </row>
    <row r="39" spans="1:52" s="8" customFormat="1" x14ac:dyDescent="0.2">
      <c r="A39" s="55" t="s">
        <v>114</v>
      </c>
      <c r="B39" s="148">
        <f t="shared" ref="B39:H39" si="12">SUM(B8:B37)</f>
        <v>4965</v>
      </c>
      <c r="C39" s="148">
        <f t="shared" si="12"/>
        <v>22787</v>
      </c>
      <c r="D39" s="148">
        <f t="shared" si="12"/>
        <v>16552</v>
      </c>
      <c r="E39" s="148">
        <f t="shared" si="12"/>
        <v>22355</v>
      </c>
      <c r="F39" s="148">
        <f>SUM(F8:F38)</f>
        <v>66659</v>
      </c>
      <c r="G39" s="148">
        <f t="shared" si="12"/>
        <v>136.81814158328416</v>
      </c>
      <c r="H39" s="148">
        <f t="shared" si="12"/>
        <v>27030.181858416716</v>
      </c>
      <c r="I39" s="148">
        <v>27383</v>
      </c>
      <c r="J39" s="148">
        <f>SUM(J8:J37)</f>
        <v>42141</v>
      </c>
      <c r="K39" s="148">
        <f>SUM(K8:K38)</f>
        <v>96691</v>
      </c>
      <c r="L39" s="110"/>
      <c r="M39" s="148">
        <f>SUM(M8:M37)</f>
        <v>-10441</v>
      </c>
      <c r="N39" s="148">
        <f>SUM(N8:N37)</f>
        <v>37356</v>
      </c>
      <c r="O39" s="148">
        <f>SUM(O8:O37)</f>
        <v>29127</v>
      </c>
      <c r="P39" s="148">
        <f>SUM(P8:P37)</f>
        <v>44216</v>
      </c>
      <c r="Q39" s="148">
        <f>SUM(Q8:Q38)</f>
        <v>100258</v>
      </c>
      <c r="R39" s="148">
        <f>SUM(R8:R37)+1</f>
        <v>7073.6175394285674</v>
      </c>
      <c r="S39" s="336">
        <f t="shared" ref="S39:X39" si="13">SUM(S8:S37)</f>
        <v>6022.1680000000015</v>
      </c>
      <c r="T39" s="148">
        <f t="shared" si="13"/>
        <v>39828.46550057143</v>
      </c>
      <c r="U39" s="336">
        <f t="shared" si="13"/>
        <v>39050.46550057143</v>
      </c>
      <c r="V39" s="148">
        <f t="shared" si="13"/>
        <v>25283.029259999996</v>
      </c>
      <c r="W39" s="336">
        <f t="shared" si="13"/>
        <v>25354.029259999996</v>
      </c>
      <c r="X39" s="148">
        <f t="shared" si="13"/>
        <v>40955.887699999999</v>
      </c>
      <c r="Y39" s="336">
        <f>+AA39-SUM(S39,U39,W39)</f>
        <v>42732.337239428569</v>
      </c>
      <c r="Z39" s="242">
        <f t="shared" ref="Z39:AG39" si="14">SUM(Z8:Z38)</f>
        <v>113140</v>
      </c>
      <c r="AA39" s="336">
        <f t="shared" si="14"/>
        <v>113159</v>
      </c>
      <c r="AB39" s="242">
        <f t="shared" si="14"/>
        <v>-8005</v>
      </c>
      <c r="AC39" s="242">
        <f t="shared" si="14"/>
        <v>21798</v>
      </c>
      <c r="AD39" s="242">
        <f t="shared" si="14"/>
        <v>33058</v>
      </c>
      <c r="AE39" s="242">
        <f t="shared" si="14"/>
        <v>45584.475935178678</v>
      </c>
      <c r="AF39" s="242">
        <f t="shared" si="14"/>
        <v>92435.475935178692</v>
      </c>
      <c r="AG39" s="242">
        <f t="shared" si="14"/>
        <v>8342.6264351786813</v>
      </c>
      <c r="AH39" s="242">
        <f>SUM(AH8:AH38)</f>
        <v>39373.828294821324</v>
      </c>
      <c r="AI39" s="242">
        <f>SUM(AI8:AI38)</f>
        <v>58237.828320000001</v>
      </c>
      <c r="AJ39" s="1"/>
      <c r="AK39" s="398"/>
      <c r="AL39" s="1"/>
      <c r="AM39" s="1"/>
      <c r="AN39" s="1"/>
      <c r="AO39" s="1"/>
      <c r="AP39" s="1"/>
      <c r="AQ39" s="1"/>
      <c r="AR39" s="1"/>
      <c r="AS39" s="1"/>
      <c r="AT39" s="1"/>
      <c r="AU39" s="1"/>
      <c r="AV39" s="1"/>
      <c r="AW39" s="1"/>
      <c r="AX39" s="1"/>
      <c r="AY39" s="1"/>
      <c r="AZ39" s="1"/>
    </row>
    <row r="40" spans="1:52" s="8" customFormat="1" x14ac:dyDescent="0.2">
      <c r="A40" s="56" t="s">
        <v>115</v>
      </c>
      <c r="B40" s="147">
        <v>0</v>
      </c>
      <c r="C40" s="147">
        <v>0</v>
      </c>
      <c r="D40" s="147">
        <v>0</v>
      </c>
      <c r="E40" s="147">
        <v>0</v>
      </c>
      <c r="F40" s="260">
        <v>0</v>
      </c>
      <c r="G40" s="147">
        <v>0</v>
      </c>
      <c r="H40" s="147">
        <v>0</v>
      </c>
      <c r="I40" s="147">
        <v>0</v>
      </c>
      <c r="J40" s="147">
        <v>0</v>
      </c>
      <c r="K40" s="260">
        <v>0</v>
      </c>
      <c r="L40" s="110"/>
      <c r="M40" s="260">
        <v>0</v>
      </c>
      <c r="N40" s="260">
        <v>0</v>
      </c>
      <c r="O40" s="260">
        <v>0</v>
      </c>
      <c r="P40" s="260">
        <v>0</v>
      </c>
      <c r="Q40" s="260">
        <v>0</v>
      </c>
      <c r="R40" s="260">
        <v>0</v>
      </c>
      <c r="S40" s="337"/>
      <c r="T40" s="260">
        <v>0</v>
      </c>
      <c r="U40" s="337">
        <v>0</v>
      </c>
      <c r="V40" s="260">
        <v>0</v>
      </c>
      <c r="W40" s="281">
        <f t="shared" si="10"/>
        <v>0</v>
      </c>
      <c r="X40" s="260">
        <f t="shared" si="4"/>
        <v>0</v>
      </c>
      <c r="Y40" s="337"/>
      <c r="Z40" s="259">
        <v>0</v>
      </c>
      <c r="AA40" s="337">
        <v>0</v>
      </c>
      <c r="AB40" s="259">
        <v>0</v>
      </c>
      <c r="AC40" s="259">
        <v>0</v>
      </c>
      <c r="AD40" s="259">
        <v>0</v>
      </c>
      <c r="AE40" s="259">
        <v>0</v>
      </c>
      <c r="AF40" s="259">
        <v>0</v>
      </c>
      <c r="AG40" s="259">
        <v>0</v>
      </c>
      <c r="AH40" s="259">
        <v>0</v>
      </c>
      <c r="AI40" s="259">
        <v>0</v>
      </c>
      <c r="AJ40" s="1"/>
      <c r="AK40" s="398"/>
      <c r="AL40" s="1"/>
      <c r="AM40" s="1"/>
      <c r="AN40" s="1"/>
      <c r="AO40" s="1"/>
      <c r="AP40" s="1"/>
      <c r="AQ40" s="1"/>
      <c r="AR40" s="1"/>
      <c r="AS40" s="1"/>
      <c r="AT40" s="1"/>
      <c r="AU40" s="1"/>
      <c r="AV40" s="1"/>
      <c r="AW40" s="1"/>
      <c r="AX40" s="1"/>
      <c r="AY40" s="1"/>
      <c r="AZ40" s="1"/>
    </row>
    <row r="41" spans="1:52" x14ac:dyDescent="0.2">
      <c r="A41" s="16"/>
      <c r="B41" s="144"/>
      <c r="C41" s="144"/>
      <c r="D41" s="144"/>
      <c r="E41" s="144"/>
      <c r="F41" s="144"/>
      <c r="G41" s="144"/>
      <c r="H41" s="144"/>
      <c r="I41" s="144"/>
      <c r="J41" s="144"/>
      <c r="K41" s="144"/>
      <c r="L41" s="110"/>
      <c r="M41" s="144"/>
      <c r="N41" s="144"/>
      <c r="O41" s="144"/>
      <c r="P41" s="144"/>
      <c r="Q41" s="144"/>
      <c r="R41" s="144"/>
      <c r="S41" s="335"/>
      <c r="T41" s="110"/>
      <c r="U41" s="335"/>
      <c r="W41" s="335"/>
      <c r="Y41" s="335"/>
      <c r="AA41" s="335"/>
      <c r="AF41" s="354"/>
      <c r="AG41" s="354"/>
      <c r="AH41" s="354"/>
      <c r="AI41" s="354"/>
    </row>
    <row r="42" spans="1:52" x14ac:dyDescent="0.2">
      <c r="A42" s="53" t="s">
        <v>116</v>
      </c>
      <c r="B42" s="145">
        <f t="shared" ref="B42:F42" si="15">SUM(B39:B40)</f>
        <v>4965</v>
      </c>
      <c r="C42" s="145">
        <f t="shared" si="15"/>
        <v>22787</v>
      </c>
      <c r="D42" s="145">
        <f t="shared" si="15"/>
        <v>16552</v>
      </c>
      <c r="E42" s="145">
        <f t="shared" si="15"/>
        <v>22355</v>
      </c>
      <c r="F42" s="145">
        <f t="shared" si="15"/>
        <v>66659</v>
      </c>
      <c r="G42" s="145">
        <f t="shared" ref="G42:H42" si="16">SUM(G39:G40)</f>
        <v>136.81814158328416</v>
      </c>
      <c r="H42" s="145">
        <f t="shared" si="16"/>
        <v>27030.181858416716</v>
      </c>
      <c r="I42" s="145">
        <v>27383</v>
      </c>
      <c r="J42" s="145">
        <f t="shared" ref="J42:Q42" si="17">SUM(J39:J40)</f>
        <v>42141</v>
      </c>
      <c r="K42" s="145">
        <f t="shared" si="17"/>
        <v>96691</v>
      </c>
      <c r="L42" s="145"/>
      <c r="M42" s="145">
        <f t="shared" si="17"/>
        <v>-10441</v>
      </c>
      <c r="N42" s="145">
        <f t="shared" si="17"/>
        <v>37356</v>
      </c>
      <c r="O42" s="145">
        <f t="shared" si="17"/>
        <v>29127</v>
      </c>
      <c r="P42" s="145">
        <f t="shared" si="17"/>
        <v>44216</v>
      </c>
      <c r="Q42" s="145">
        <f t="shared" si="17"/>
        <v>100258</v>
      </c>
      <c r="R42" s="145">
        <f t="shared" ref="R42:Y42" si="18">SUM(R39:R40)</f>
        <v>7073.6175394285674</v>
      </c>
      <c r="S42" s="338">
        <f>SUM(S39:S40)</f>
        <v>6022.1680000000015</v>
      </c>
      <c r="T42" s="145">
        <f t="shared" si="18"/>
        <v>39828.46550057143</v>
      </c>
      <c r="U42" s="338">
        <f t="shared" ref="U42" si="19">SUM(U39:U40)</f>
        <v>39050.46550057143</v>
      </c>
      <c r="V42" s="145">
        <f t="shared" si="18"/>
        <v>25283.029259999996</v>
      </c>
      <c r="W42" s="338">
        <f t="shared" si="18"/>
        <v>25354.029259999996</v>
      </c>
      <c r="X42" s="145">
        <f t="shared" si="18"/>
        <v>40955.887699999999</v>
      </c>
      <c r="Y42" s="338">
        <f t="shared" si="18"/>
        <v>42732.337239428569</v>
      </c>
      <c r="Z42" s="244">
        <f t="shared" ref="Z42:AB42" si="20">SUM(Z39:Z40)</f>
        <v>113140</v>
      </c>
      <c r="AA42" s="338">
        <f t="shared" ref="AA42" si="21">SUM(AA39:AA40)</f>
        <v>113159</v>
      </c>
      <c r="AB42" s="244">
        <f t="shared" si="20"/>
        <v>-8005</v>
      </c>
      <c r="AC42" s="244">
        <f t="shared" ref="AC42:AD42" si="22">SUM(AC39:AC40)</f>
        <v>21798</v>
      </c>
      <c r="AD42" s="244">
        <f t="shared" si="22"/>
        <v>33058</v>
      </c>
      <c r="AE42" s="244">
        <f t="shared" ref="AE42:AF42" si="23">SUM(AE39:AE40)</f>
        <v>45584.475935178678</v>
      </c>
      <c r="AF42" s="244">
        <f t="shared" si="23"/>
        <v>92435.475935178692</v>
      </c>
      <c r="AG42" s="244">
        <f t="shared" ref="AG42:AH42" si="24">SUM(AG39:AG40)</f>
        <v>8342.6264351786813</v>
      </c>
      <c r="AH42" s="244">
        <f t="shared" si="24"/>
        <v>39373.828294821324</v>
      </c>
      <c r="AI42" s="244">
        <f t="shared" ref="AI42" si="25">SUM(AI39:AI40)</f>
        <v>58237.828320000001</v>
      </c>
    </row>
    <row r="43" spans="1:52" x14ac:dyDescent="0.2">
      <c r="A43" s="17" t="s">
        <v>21</v>
      </c>
      <c r="L43" s="110"/>
      <c r="S43" s="332"/>
      <c r="T43" s="110"/>
      <c r="U43" s="332"/>
      <c r="W43" s="332"/>
      <c r="Y43" s="332"/>
      <c r="AA43" s="332"/>
      <c r="AF43" s="354"/>
      <c r="AG43" s="354"/>
      <c r="AH43" s="354"/>
      <c r="AI43" s="354"/>
    </row>
    <row r="44" spans="1:52" x14ac:dyDescent="0.2">
      <c r="A44" s="13" t="s">
        <v>117</v>
      </c>
      <c r="B44" s="110"/>
      <c r="C44" s="110"/>
      <c r="D44" s="110"/>
      <c r="E44" s="110"/>
      <c r="F44" s="110"/>
      <c r="G44" s="110"/>
      <c r="H44" s="110"/>
      <c r="I44" s="110"/>
      <c r="J44" s="110"/>
      <c r="K44" s="110"/>
      <c r="L44" s="110"/>
      <c r="M44" s="110"/>
      <c r="N44" s="110"/>
      <c r="O44" s="110"/>
      <c r="P44" s="110"/>
      <c r="Q44" s="110"/>
      <c r="R44" s="189"/>
      <c r="S44" s="339"/>
      <c r="T44" s="110"/>
      <c r="U44" s="339"/>
      <c r="W44" s="339"/>
      <c r="Y44" s="339"/>
      <c r="AA44" s="339"/>
      <c r="AF44" s="354"/>
      <c r="AG44" s="354"/>
      <c r="AH44" s="354"/>
      <c r="AI44" s="354"/>
    </row>
    <row r="45" spans="1:52" x14ac:dyDescent="0.2">
      <c r="A45" s="15" t="s">
        <v>204</v>
      </c>
      <c r="B45" s="144">
        <v>-10679</v>
      </c>
      <c r="C45" s="144">
        <v>-5958</v>
      </c>
      <c r="D45" s="144">
        <v>-7125</v>
      </c>
      <c r="E45" s="144">
        <v>-3916</v>
      </c>
      <c r="F45" s="144">
        <v>-27678</v>
      </c>
      <c r="G45" s="144">
        <v>-8845</v>
      </c>
      <c r="H45" s="144">
        <v>-5535</v>
      </c>
      <c r="I45" s="144">
        <v>-6747</v>
      </c>
      <c r="J45" s="144">
        <f t="shared" ref="J45:J50" si="26">K45-G45-H45-I45</f>
        <v>-4458</v>
      </c>
      <c r="K45" s="144">
        <v>-25585</v>
      </c>
      <c r="L45" s="110"/>
      <c r="M45" s="144">
        <v>-8457</v>
      </c>
      <c r="N45" s="144">
        <v>-6415</v>
      </c>
      <c r="O45" s="144">
        <v>-5463</v>
      </c>
      <c r="P45" s="144">
        <f t="shared" ref="P45:P50" si="27">Q45-M45-N45-O45</f>
        <v>-5515</v>
      </c>
      <c r="Q45" s="144">
        <v>-25850</v>
      </c>
      <c r="R45" s="144">
        <v>-10114</v>
      </c>
      <c r="S45" s="335">
        <f>R45</f>
        <v>-10114</v>
      </c>
      <c r="T45" s="110">
        <v>-10333</v>
      </c>
      <c r="U45" s="335">
        <f>T45</f>
        <v>-10333</v>
      </c>
      <c r="V45" s="110">
        <v>-6312</v>
      </c>
      <c r="W45" s="335">
        <f t="shared" ref="W45:W50" si="28">V45</f>
        <v>-6312</v>
      </c>
      <c r="X45" s="110">
        <f t="shared" ref="X45:Y50" si="29">+Z45-SUM(R45,T45,V45)</f>
        <v>-8395</v>
      </c>
      <c r="Y45" s="335">
        <f t="shared" si="29"/>
        <v>-8395</v>
      </c>
      <c r="Z45" s="305">
        <v>-35154</v>
      </c>
      <c r="AA45" s="335">
        <f t="shared" ref="AA45:AA50" si="30">Z45</f>
        <v>-35154</v>
      </c>
      <c r="AB45" s="305">
        <v>-12680</v>
      </c>
      <c r="AC45" s="305">
        <v>-6616</v>
      </c>
      <c r="AD45" s="305">
        <v>-10774</v>
      </c>
      <c r="AE45" s="305">
        <f t="shared" ref="AE45:AE50" si="31">+AF45-SUM(AB45:AD45)</f>
        <v>-10367</v>
      </c>
      <c r="AF45" s="354">
        <v>-40437</v>
      </c>
      <c r="AG45" s="354">
        <v>-10878</v>
      </c>
      <c r="AH45" s="354">
        <v>-11409</v>
      </c>
      <c r="AI45" s="354">
        <v>-10021</v>
      </c>
      <c r="AK45" s="305">
        <v>0</v>
      </c>
    </row>
    <row r="46" spans="1:52" x14ac:dyDescent="0.2">
      <c r="A46" s="15" t="s">
        <v>198</v>
      </c>
      <c r="B46" s="254">
        <v>0</v>
      </c>
      <c r="C46" s="254">
        <v>0</v>
      </c>
      <c r="D46" s="254">
        <v>0</v>
      </c>
      <c r="E46" s="254">
        <v>0</v>
      </c>
      <c r="F46" s="254">
        <v>0</v>
      </c>
      <c r="G46" s="254">
        <v>0</v>
      </c>
      <c r="H46" s="254">
        <v>0</v>
      </c>
      <c r="I46" s="254">
        <v>0</v>
      </c>
      <c r="J46" s="33">
        <f t="shared" si="26"/>
        <v>0</v>
      </c>
      <c r="K46" s="254">
        <v>0</v>
      </c>
      <c r="L46" s="261"/>
      <c r="M46" s="254"/>
      <c r="N46" s="254"/>
      <c r="O46" s="254">
        <v>0</v>
      </c>
      <c r="P46" s="254">
        <f t="shared" si="27"/>
        <v>0</v>
      </c>
      <c r="Q46" s="254">
        <v>0</v>
      </c>
      <c r="R46" s="33">
        <v>0</v>
      </c>
      <c r="S46" s="281">
        <f t="shared" ref="S46:S50" si="32">R46</f>
        <v>0</v>
      </c>
      <c r="T46" s="33">
        <v>0</v>
      </c>
      <c r="U46" s="281">
        <f t="shared" ref="U46:U50" si="33">T46</f>
        <v>0</v>
      </c>
      <c r="V46" s="33">
        <v>0</v>
      </c>
      <c r="W46" s="281">
        <f t="shared" si="28"/>
        <v>0</v>
      </c>
      <c r="X46" s="30">
        <f t="shared" si="29"/>
        <v>-3000</v>
      </c>
      <c r="Y46" s="281">
        <f t="shared" si="29"/>
        <v>-3000</v>
      </c>
      <c r="Z46" s="258">
        <v>-3000</v>
      </c>
      <c r="AA46" s="269">
        <f t="shared" si="30"/>
        <v>-3000</v>
      </c>
      <c r="AB46" s="257">
        <v>0</v>
      </c>
      <c r="AC46" s="257">
        <v>0</v>
      </c>
      <c r="AD46" s="257">
        <v>0</v>
      </c>
      <c r="AE46" s="257">
        <f t="shared" si="31"/>
        <v>0</v>
      </c>
      <c r="AF46" s="354">
        <v>0</v>
      </c>
      <c r="AG46" s="354">
        <v>0</v>
      </c>
      <c r="AH46" s="354">
        <v>0</v>
      </c>
      <c r="AI46" s="354">
        <v>0</v>
      </c>
    </row>
    <row r="47" spans="1:52" x14ac:dyDescent="0.2">
      <c r="A47" s="15" t="s">
        <v>191</v>
      </c>
      <c r="B47" s="149">
        <v>0</v>
      </c>
      <c r="C47" s="149">
        <v>0</v>
      </c>
      <c r="D47" s="149">
        <v>-6244</v>
      </c>
      <c r="E47" s="149">
        <v>-51941</v>
      </c>
      <c r="F47" s="149">
        <v>-58185</v>
      </c>
      <c r="G47" s="149">
        <v>-44419</v>
      </c>
      <c r="H47" s="149">
        <v>149</v>
      </c>
      <c r="I47" s="149">
        <v>0</v>
      </c>
      <c r="J47" s="144">
        <f t="shared" si="26"/>
        <v>0</v>
      </c>
      <c r="K47" s="149">
        <v>-44270</v>
      </c>
      <c r="L47" s="110"/>
      <c r="M47" s="149"/>
      <c r="N47" s="149"/>
      <c r="O47" s="149">
        <v>-9427</v>
      </c>
      <c r="P47" s="149">
        <f t="shared" si="27"/>
        <v>-19239</v>
      </c>
      <c r="Q47" s="149">
        <v>-28666</v>
      </c>
      <c r="R47" s="149">
        <v>0</v>
      </c>
      <c r="S47" s="334">
        <f t="shared" si="32"/>
        <v>0</v>
      </c>
      <c r="T47" s="149">
        <v>0</v>
      </c>
      <c r="U47" s="334">
        <f t="shared" si="33"/>
        <v>0</v>
      </c>
      <c r="V47" s="149">
        <v>-724</v>
      </c>
      <c r="W47" s="334">
        <f t="shared" si="28"/>
        <v>-724</v>
      </c>
      <c r="X47" s="203">
        <f t="shared" si="29"/>
        <v>-22576</v>
      </c>
      <c r="Y47" s="334">
        <f t="shared" si="29"/>
        <v>-22576</v>
      </c>
      <c r="Z47" s="258">
        <v>-23300</v>
      </c>
      <c r="AA47" s="334">
        <f t="shared" si="30"/>
        <v>-23300</v>
      </c>
      <c r="AB47" s="258">
        <v>-380</v>
      </c>
      <c r="AC47" s="258">
        <v>-115</v>
      </c>
      <c r="AD47" s="258">
        <v>-231423</v>
      </c>
      <c r="AE47" s="258">
        <f t="shared" si="31"/>
        <v>89</v>
      </c>
      <c r="AF47" s="354">
        <v>-231829</v>
      </c>
      <c r="AG47" s="354">
        <v>0</v>
      </c>
      <c r="AH47" s="354">
        <v>0</v>
      </c>
      <c r="AI47" s="354">
        <v>0</v>
      </c>
    </row>
    <row r="48" spans="1:52" x14ac:dyDescent="0.2">
      <c r="A48" s="15" t="s">
        <v>263</v>
      </c>
      <c r="B48" s="149"/>
      <c r="C48" s="149"/>
      <c r="D48" s="149"/>
      <c r="E48" s="149"/>
      <c r="F48" s="33">
        <v>0</v>
      </c>
      <c r="G48" s="149"/>
      <c r="H48" s="149"/>
      <c r="I48" s="149"/>
      <c r="J48" s="144"/>
      <c r="K48" s="33">
        <v>0</v>
      </c>
      <c r="L48" s="110"/>
      <c r="M48" s="149"/>
      <c r="N48" s="149"/>
      <c r="O48" s="149"/>
      <c r="P48" s="149"/>
      <c r="Q48" s="33">
        <v>0</v>
      </c>
      <c r="R48" s="149"/>
      <c r="S48" s="334"/>
      <c r="T48" s="149"/>
      <c r="U48" s="334"/>
      <c r="V48" s="149"/>
      <c r="W48" s="334"/>
      <c r="X48" s="203"/>
      <c r="Y48" s="334"/>
      <c r="Z48" s="33">
        <v>0</v>
      </c>
      <c r="AA48" s="334"/>
      <c r="AB48" s="33">
        <v>0</v>
      </c>
      <c r="AC48" s="33">
        <v>0</v>
      </c>
      <c r="AD48" s="33">
        <v>0</v>
      </c>
      <c r="AE48" s="33">
        <v>0</v>
      </c>
      <c r="AF48" s="33">
        <v>0</v>
      </c>
      <c r="AG48" s="33">
        <v>0</v>
      </c>
      <c r="AH48" s="354">
        <v>-241</v>
      </c>
      <c r="AI48" s="354">
        <v>0</v>
      </c>
      <c r="AK48" s="305">
        <v>0</v>
      </c>
    </row>
    <row r="49" spans="1:224" x14ac:dyDescent="0.2">
      <c r="A49" s="15" t="s">
        <v>122</v>
      </c>
      <c r="B49" s="149">
        <v>-1005</v>
      </c>
      <c r="C49" s="149">
        <v>-403</v>
      </c>
      <c r="D49" s="149">
        <v>-6193</v>
      </c>
      <c r="E49" s="149">
        <v>-1533</v>
      </c>
      <c r="F49" s="149">
        <v>-9134</v>
      </c>
      <c r="G49" s="149">
        <v>-5995</v>
      </c>
      <c r="H49" s="149">
        <v>-65868</v>
      </c>
      <c r="I49" s="149">
        <v>-37299</v>
      </c>
      <c r="J49" s="144">
        <f t="shared" si="26"/>
        <v>-19888</v>
      </c>
      <c r="K49" s="149">
        <v>-129050</v>
      </c>
      <c r="L49" s="110"/>
      <c r="M49" s="149">
        <v>-101327</v>
      </c>
      <c r="N49" s="149">
        <v>-30948</v>
      </c>
      <c r="O49" s="149">
        <v>-23434</v>
      </c>
      <c r="P49" s="149">
        <f t="shared" si="27"/>
        <v>-26762</v>
      </c>
      <c r="Q49" s="149">
        <v>-182471</v>
      </c>
      <c r="R49" s="149">
        <v>-129837</v>
      </c>
      <c r="S49" s="334">
        <f t="shared" si="32"/>
        <v>-129837</v>
      </c>
      <c r="T49" s="149">
        <v>-39585</v>
      </c>
      <c r="U49" s="334">
        <f t="shared" si="33"/>
        <v>-39585</v>
      </c>
      <c r="V49" s="149">
        <v>-28475</v>
      </c>
      <c r="W49" s="334">
        <f t="shared" si="28"/>
        <v>-28475</v>
      </c>
      <c r="X49" s="203">
        <f t="shared" si="29"/>
        <v>-204824</v>
      </c>
      <c r="Y49" s="334">
        <f t="shared" si="29"/>
        <v>-204824</v>
      </c>
      <c r="Z49" s="258">
        <v>-402721</v>
      </c>
      <c r="AA49" s="334">
        <f t="shared" si="30"/>
        <v>-402721</v>
      </c>
      <c r="AB49" s="258">
        <v>-20310</v>
      </c>
      <c r="AC49" s="258">
        <v>-20353</v>
      </c>
      <c r="AD49" s="258">
        <v>-17294</v>
      </c>
      <c r="AE49" s="258">
        <f t="shared" si="31"/>
        <v>-75477</v>
      </c>
      <c r="AF49" s="354">
        <v>-133434</v>
      </c>
      <c r="AG49" s="354">
        <v>-47683</v>
      </c>
      <c r="AH49" s="354">
        <v>-20505</v>
      </c>
      <c r="AI49" s="354">
        <v>-49746</v>
      </c>
      <c r="AK49" s="305">
        <v>0</v>
      </c>
    </row>
    <row r="50" spans="1:224" x14ac:dyDescent="0.2">
      <c r="A50" s="15" t="s">
        <v>123</v>
      </c>
      <c r="B50" s="149">
        <v>0</v>
      </c>
      <c r="C50" s="149">
        <v>0</v>
      </c>
      <c r="D50" s="149">
        <v>6986</v>
      </c>
      <c r="E50" s="149">
        <v>-251</v>
      </c>
      <c r="F50" s="149">
        <v>6735</v>
      </c>
      <c r="G50" s="149">
        <v>3079</v>
      </c>
      <c r="H50" s="149">
        <v>2922</v>
      </c>
      <c r="I50" s="149">
        <v>22639</v>
      </c>
      <c r="J50" s="144">
        <f t="shared" si="26"/>
        <v>96725</v>
      </c>
      <c r="K50" s="149">
        <v>125365</v>
      </c>
      <c r="L50" s="110"/>
      <c r="M50" s="149">
        <v>20004</v>
      </c>
      <c r="N50" s="149">
        <v>21175</v>
      </c>
      <c r="O50" s="149">
        <v>18050</v>
      </c>
      <c r="P50" s="149">
        <f t="shared" si="27"/>
        <v>123091</v>
      </c>
      <c r="Q50" s="149">
        <v>182320</v>
      </c>
      <c r="R50" s="149">
        <v>22879</v>
      </c>
      <c r="S50" s="334">
        <f t="shared" si="32"/>
        <v>22879</v>
      </c>
      <c r="T50" s="149">
        <v>16596</v>
      </c>
      <c r="U50" s="334">
        <f t="shared" si="33"/>
        <v>16596</v>
      </c>
      <c r="V50" s="149">
        <v>14763</v>
      </c>
      <c r="W50" s="334">
        <f t="shared" si="28"/>
        <v>14763</v>
      </c>
      <c r="X50" s="203">
        <f t="shared" si="29"/>
        <v>187201</v>
      </c>
      <c r="Y50" s="334">
        <f t="shared" si="29"/>
        <v>187201</v>
      </c>
      <c r="Z50" s="258">
        <v>241439</v>
      </c>
      <c r="AA50" s="334">
        <f t="shared" si="30"/>
        <v>241439</v>
      </c>
      <c r="AB50" s="258">
        <v>30358</v>
      </c>
      <c r="AC50" s="258">
        <v>30453</v>
      </c>
      <c r="AD50" s="258">
        <v>18725</v>
      </c>
      <c r="AE50" s="258">
        <f t="shared" si="31"/>
        <v>48672</v>
      </c>
      <c r="AF50" s="354">
        <v>128208</v>
      </c>
      <c r="AG50" s="354">
        <v>21361</v>
      </c>
      <c r="AH50" s="354">
        <v>70308</v>
      </c>
      <c r="AI50" s="354">
        <v>37474</v>
      </c>
      <c r="AK50" s="305">
        <v>0</v>
      </c>
    </row>
    <row r="51" spans="1:224" s="8" customFormat="1" x14ac:dyDescent="0.2">
      <c r="A51" s="55" t="s">
        <v>79</v>
      </c>
      <c r="B51" s="148">
        <f t="shared" ref="B51:H51" si="34">SUM(B45:B50)</f>
        <v>-11684</v>
      </c>
      <c r="C51" s="148">
        <f t="shared" si="34"/>
        <v>-6361</v>
      </c>
      <c r="D51" s="148">
        <f t="shared" si="34"/>
        <v>-12576</v>
      </c>
      <c r="E51" s="148">
        <f t="shared" si="34"/>
        <v>-57641</v>
      </c>
      <c r="F51" s="148">
        <f t="shared" si="34"/>
        <v>-88262</v>
      </c>
      <c r="G51" s="148">
        <f t="shared" si="34"/>
        <v>-56180</v>
      </c>
      <c r="H51" s="148">
        <f t="shared" si="34"/>
        <v>-68332</v>
      </c>
      <c r="I51" s="148">
        <v>-21407</v>
      </c>
      <c r="J51" s="148">
        <f>SUM(J45:J50)</f>
        <v>72379</v>
      </c>
      <c r="K51" s="148">
        <f>SUM(K45:K50)</f>
        <v>-73540</v>
      </c>
      <c r="L51" s="148"/>
      <c r="M51" s="148">
        <f t="shared" ref="M51:AH51" si="35">SUM(M45:M50)</f>
        <v>-89780</v>
      </c>
      <c r="N51" s="148">
        <f t="shared" si="35"/>
        <v>-16188</v>
      </c>
      <c r="O51" s="148">
        <f t="shared" si="35"/>
        <v>-20274</v>
      </c>
      <c r="P51" s="148">
        <f t="shared" si="35"/>
        <v>71575</v>
      </c>
      <c r="Q51" s="148">
        <f t="shared" si="35"/>
        <v>-54667</v>
      </c>
      <c r="R51" s="148">
        <f t="shared" si="35"/>
        <v>-117072</v>
      </c>
      <c r="S51" s="336">
        <f t="shared" si="35"/>
        <v>-117072</v>
      </c>
      <c r="T51" s="148">
        <f t="shared" si="35"/>
        <v>-33322</v>
      </c>
      <c r="U51" s="336">
        <f t="shared" si="35"/>
        <v>-33322</v>
      </c>
      <c r="V51" s="148">
        <f t="shared" si="35"/>
        <v>-20748</v>
      </c>
      <c r="W51" s="336">
        <f t="shared" si="35"/>
        <v>-20748</v>
      </c>
      <c r="X51" s="148">
        <f t="shared" si="35"/>
        <v>-51594</v>
      </c>
      <c r="Y51" s="336">
        <f t="shared" si="35"/>
        <v>-51594</v>
      </c>
      <c r="Z51" s="242">
        <f t="shared" si="35"/>
        <v>-222736</v>
      </c>
      <c r="AA51" s="336">
        <f t="shared" si="35"/>
        <v>-222736</v>
      </c>
      <c r="AB51" s="242">
        <f t="shared" si="35"/>
        <v>-3012</v>
      </c>
      <c r="AC51" s="242">
        <f t="shared" si="35"/>
        <v>3369</v>
      </c>
      <c r="AD51" s="242">
        <f t="shared" si="35"/>
        <v>-240766</v>
      </c>
      <c r="AE51" s="242">
        <f t="shared" si="35"/>
        <v>-37083</v>
      </c>
      <c r="AF51" s="242">
        <f t="shared" si="35"/>
        <v>-277492</v>
      </c>
      <c r="AG51" s="242">
        <f t="shared" si="35"/>
        <v>-37200</v>
      </c>
      <c r="AH51" s="242">
        <f t="shared" si="35"/>
        <v>38153</v>
      </c>
      <c r="AI51" s="242">
        <f t="shared" ref="AI51" si="36">SUM(AI45:AI50)</f>
        <v>-22293</v>
      </c>
      <c r="AJ51" s="1"/>
      <c r="AK51" s="398"/>
      <c r="AL51" s="1"/>
      <c r="AM51" s="1"/>
      <c r="AN51" s="1"/>
      <c r="AO51" s="1"/>
      <c r="AP51" s="1"/>
      <c r="AQ51" s="1"/>
      <c r="AR51" s="1"/>
      <c r="AS51" s="1"/>
      <c r="AT51" s="1"/>
      <c r="AU51" s="1"/>
      <c r="AV51" s="1"/>
      <c r="AW51" s="1"/>
      <c r="AX51" s="1"/>
      <c r="AY51" s="1"/>
      <c r="AZ51" s="1"/>
    </row>
    <row r="52" spans="1:224" s="8" customFormat="1" x14ac:dyDescent="0.2">
      <c r="A52" s="56" t="s">
        <v>80</v>
      </c>
      <c r="B52" s="147">
        <v>0</v>
      </c>
      <c r="C52" s="147">
        <v>0</v>
      </c>
      <c r="D52" s="147">
        <v>0</v>
      </c>
      <c r="E52" s="147">
        <v>0</v>
      </c>
      <c r="F52" s="260">
        <v>0</v>
      </c>
      <c r="G52" s="147">
        <v>0</v>
      </c>
      <c r="H52" s="147">
        <v>0</v>
      </c>
      <c r="I52" s="147">
        <v>0</v>
      </c>
      <c r="J52" s="147">
        <v>0</v>
      </c>
      <c r="K52" s="260">
        <v>0</v>
      </c>
      <c r="L52" s="110"/>
      <c r="M52" s="147"/>
      <c r="N52" s="147"/>
      <c r="O52" s="147"/>
      <c r="P52" s="147"/>
      <c r="Q52" s="260">
        <v>0</v>
      </c>
      <c r="R52" s="260">
        <v>0</v>
      </c>
      <c r="S52" s="337">
        <v>0</v>
      </c>
      <c r="T52" s="260">
        <v>0</v>
      </c>
      <c r="U52" s="337">
        <v>0</v>
      </c>
      <c r="V52" s="260">
        <v>0</v>
      </c>
      <c r="W52" s="337">
        <v>0</v>
      </c>
      <c r="X52" s="260">
        <v>0</v>
      </c>
      <c r="Y52" s="337">
        <v>0</v>
      </c>
      <c r="Z52" s="259">
        <v>0</v>
      </c>
      <c r="AA52" s="337">
        <v>0</v>
      </c>
      <c r="AB52" s="259">
        <v>0</v>
      </c>
      <c r="AC52" s="259">
        <v>0</v>
      </c>
      <c r="AD52" s="259">
        <v>0</v>
      </c>
      <c r="AE52" s="259">
        <v>0</v>
      </c>
      <c r="AF52" s="259">
        <v>0</v>
      </c>
      <c r="AG52" s="259">
        <v>0</v>
      </c>
      <c r="AH52" s="259">
        <v>0</v>
      </c>
      <c r="AI52" s="259">
        <v>0</v>
      </c>
      <c r="AJ52" s="1"/>
      <c r="AK52" s="398"/>
      <c r="AL52" s="1"/>
      <c r="AM52" s="1"/>
      <c r="AN52" s="1"/>
      <c r="AO52" s="1"/>
      <c r="AP52" s="1"/>
      <c r="AQ52" s="1"/>
      <c r="AR52" s="1"/>
      <c r="AS52" s="1"/>
      <c r="AT52" s="1"/>
      <c r="AU52" s="1"/>
      <c r="AV52" s="1"/>
      <c r="AW52" s="1"/>
      <c r="AX52" s="1"/>
      <c r="AY52" s="1"/>
      <c r="AZ52" s="1"/>
    </row>
    <row r="53" spans="1:224" x14ac:dyDescent="0.2">
      <c r="A53" s="16"/>
      <c r="B53" s="144"/>
      <c r="C53" s="144"/>
      <c r="D53" s="144"/>
      <c r="E53" s="144"/>
      <c r="F53" s="144"/>
      <c r="G53" s="144"/>
      <c r="H53" s="144"/>
      <c r="I53" s="144"/>
      <c r="J53" s="144"/>
      <c r="K53" s="144"/>
      <c r="L53" s="110"/>
      <c r="M53" s="144"/>
      <c r="N53" s="144"/>
      <c r="O53" s="144"/>
      <c r="P53" s="144"/>
      <c r="Q53" s="144"/>
      <c r="R53" s="144"/>
      <c r="S53" s="335"/>
      <c r="T53" s="144"/>
      <c r="U53" s="335"/>
      <c r="W53" s="335"/>
      <c r="Y53" s="335"/>
      <c r="AA53" s="335"/>
      <c r="AF53" s="239"/>
      <c r="AG53" s="239"/>
      <c r="AH53" s="239"/>
      <c r="AI53" s="390"/>
    </row>
    <row r="54" spans="1:224" x14ac:dyDescent="0.2">
      <c r="A54" s="53" t="s">
        <v>251</v>
      </c>
      <c r="B54" s="145">
        <f t="shared" ref="B54:G54" si="37">SUM(B51:B52)</f>
        <v>-11684</v>
      </c>
      <c r="C54" s="145">
        <f t="shared" si="37"/>
        <v>-6361</v>
      </c>
      <c r="D54" s="145">
        <f t="shared" si="37"/>
        <v>-12576</v>
      </c>
      <c r="E54" s="145">
        <f t="shared" si="37"/>
        <v>-57641</v>
      </c>
      <c r="F54" s="145">
        <f t="shared" si="37"/>
        <v>-88262</v>
      </c>
      <c r="G54" s="145">
        <f t="shared" si="37"/>
        <v>-56180</v>
      </c>
      <c r="H54" s="145">
        <f t="shared" ref="H54" si="38">SUM(H51:H52)</f>
        <v>-68332</v>
      </c>
      <c r="I54" s="145">
        <v>-21407</v>
      </c>
      <c r="J54" s="145">
        <f t="shared" ref="J54:Q54" si="39">SUM(J51:J52)</f>
        <v>72379</v>
      </c>
      <c r="K54" s="145">
        <f t="shared" si="39"/>
        <v>-73540</v>
      </c>
      <c r="L54" s="145"/>
      <c r="M54" s="145">
        <f t="shared" si="39"/>
        <v>-89780</v>
      </c>
      <c r="N54" s="145">
        <f t="shared" si="39"/>
        <v>-16188</v>
      </c>
      <c r="O54" s="145">
        <f t="shared" si="39"/>
        <v>-20274</v>
      </c>
      <c r="P54" s="145">
        <f t="shared" si="39"/>
        <v>71575</v>
      </c>
      <c r="Q54" s="145">
        <f t="shared" si="39"/>
        <v>-54667</v>
      </c>
      <c r="R54" s="145">
        <f t="shared" ref="R54:X54" si="40">SUM(R51:R52)</f>
        <v>-117072</v>
      </c>
      <c r="S54" s="338">
        <f t="shared" si="40"/>
        <v>-117072</v>
      </c>
      <c r="T54" s="145">
        <f t="shared" si="40"/>
        <v>-33322</v>
      </c>
      <c r="U54" s="338">
        <f t="shared" si="40"/>
        <v>-33322</v>
      </c>
      <c r="V54" s="145">
        <f t="shared" si="40"/>
        <v>-20748</v>
      </c>
      <c r="W54" s="338">
        <f t="shared" si="40"/>
        <v>-20748</v>
      </c>
      <c r="X54" s="145">
        <f t="shared" si="40"/>
        <v>-51594</v>
      </c>
      <c r="Y54" s="338">
        <f t="shared" ref="Y54" si="41">SUM(Y51:Y52)</f>
        <v>-51594</v>
      </c>
      <c r="Z54" s="244">
        <f t="shared" ref="Z54:AB54" si="42">SUM(Z51:Z52)</f>
        <v>-222736</v>
      </c>
      <c r="AA54" s="338">
        <f t="shared" si="42"/>
        <v>-222736</v>
      </c>
      <c r="AB54" s="244">
        <f t="shared" si="42"/>
        <v>-3012</v>
      </c>
      <c r="AC54" s="244">
        <f t="shared" ref="AC54:AD54" si="43">SUM(AC51:AC52)</f>
        <v>3369</v>
      </c>
      <c r="AD54" s="244">
        <f t="shared" si="43"/>
        <v>-240766</v>
      </c>
      <c r="AE54" s="244">
        <f t="shared" ref="AE54:AF54" si="44">SUM(AE51:AE52)</f>
        <v>-37083</v>
      </c>
      <c r="AF54" s="244">
        <f t="shared" si="44"/>
        <v>-277492</v>
      </c>
      <c r="AG54" s="244">
        <f t="shared" ref="AG54:AH54" si="45">SUM(AG51:AG52)</f>
        <v>-37200</v>
      </c>
      <c r="AH54" s="244">
        <f t="shared" si="45"/>
        <v>38153</v>
      </c>
      <c r="AI54" s="244">
        <f t="shared" ref="AI54" si="46">SUM(AI51:AI52)</f>
        <v>-22293</v>
      </c>
      <c r="AJ54" s="129"/>
      <c r="AK54" s="305">
        <v>0</v>
      </c>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29"/>
      <c r="EM54" s="129"/>
      <c r="EN54" s="129"/>
      <c r="EO54" s="129"/>
      <c r="EP54" s="129"/>
      <c r="EQ54" s="129"/>
      <c r="ER54" s="129"/>
      <c r="ES54" s="129"/>
      <c r="ET54" s="129"/>
      <c r="EU54" s="129"/>
      <c r="EV54" s="129"/>
      <c r="EW54" s="129"/>
      <c r="EX54" s="129"/>
      <c r="EY54" s="129"/>
      <c r="EZ54" s="129"/>
      <c r="FA54" s="129"/>
      <c r="FB54" s="129"/>
      <c r="FC54" s="129"/>
      <c r="FD54" s="129"/>
      <c r="FE54" s="129"/>
      <c r="FF54" s="129"/>
      <c r="FG54" s="129"/>
      <c r="FH54" s="129"/>
      <c r="FI54" s="129"/>
      <c r="FJ54" s="129"/>
      <c r="FK54" s="129"/>
      <c r="FL54" s="129"/>
      <c r="FM54" s="129"/>
      <c r="FN54" s="129"/>
      <c r="FO54" s="129"/>
      <c r="FP54" s="129"/>
      <c r="FQ54" s="129"/>
      <c r="FR54" s="129"/>
      <c r="FS54" s="129"/>
      <c r="FT54" s="129"/>
      <c r="FU54" s="129"/>
      <c r="FV54" s="129"/>
      <c r="FW54" s="129"/>
      <c r="FX54" s="129"/>
      <c r="FY54" s="129"/>
      <c r="FZ54" s="129"/>
      <c r="GA54" s="129"/>
      <c r="GB54" s="129"/>
      <c r="GC54" s="129"/>
      <c r="GD54" s="129"/>
      <c r="GE54" s="129"/>
      <c r="GF54" s="129"/>
      <c r="GG54" s="129"/>
      <c r="GH54" s="129"/>
      <c r="GI54" s="129"/>
      <c r="GJ54" s="129"/>
      <c r="GK54" s="129"/>
      <c r="GL54" s="129"/>
      <c r="GM54" s="129"/>
      <c r="GN54" s="129"/>
      <c r="GO54" s="129"/>
      <c r="GP54" s="129"/>
      <c r="GQ54" s="129"/>
      <c r="GR54" s="129"/>
      <c r="GS54" s="129"/>
      <c r="GT54" s="129"/>
      <c r="GU54" s="129"/>
      <c r="GV54" s="129"/>
      <c r="GW54" s="129"/>
      <c r="GX54" s="129"/>
      <c r="GY54" s="129"/>
      <c r="GZ54" s="129"/>
      <c r="HA54" s="129"/>
      <c r="HB54" s="129"/>
      <c r="HC54" s="129"/>
      <c r="HD54" s="129"/>
      <c r="HE54" s="129"/>
      <c r="HF54" s="129"/>
      <c r="HG54" s="129"/>
      <c r="HH54" s="129"/>
      <c r="HI54" s="129"/>
      <c r="HJ54" s="129"/>
      <c r="HK54" s="129"/>
      <c r="HL54" s="129"/>
      <c r="HM54" s="129"/>
      <c r="HN54" s="129"/>
      <c r="HO54" s="129"/>
      <c r="HP54" s="129"/>
    </row>
    <row r="55" spans="1:224" x14ac:dyDescent="0.2">
      <c r="A55" s="17" t="s">
        <v>21</v>
      </c>
      <c r="L55" s="110"/>
      <c r="S55" s="332"/>
      <c r="T55" s="110"/>
      <c r="U55" s="332"/>
      <c r="W55" s="332"/>
      <c r="Y55" s="332"/>
      <c r="AA55" s="332"/>
      <c r="AF55" s="354"/>
      <c r="AG55" s="354"/>
      <c r="AH55" s="354"/>
      <c r="AI55" s="354"/>
    </row>
    <row r="56" spans="1:224" x14ac:dyDescent="0.2">
      <c r="A56" s="13" t="s">
        <v>118</v>
      </c>
      <c r="L56" s="110"/>
      <c r="S56" s="332"/>
      <c r="T56" s="110"/>
      <c r="U56" s="332"/>
      <c r="W56" s="332"/>
      <c r="Y56" s="332"/>
      <c r="AA56" s="332"/>
      <c r="AF56" s="354"/>
      <c r="AG56" s="354"/>
      <c r="AH56" s="354"/>
      <c r="AI56" s="354"/>
    </row>
    <row r="57" spans="1:224" x14ac:dyDescent="0.2">
      <c r="A57" s="15" t="s">
        <v>40</v>
      </c>
      <c r="B57" s="144">
        <v>0</v>
      </c>
      <c r="C57" s="144">
        <v>0</v>
      </c>
      <c r="D57" s="144">
        <v>0</v>
      </c>
      <c r="E57" s="144">
        <v>0</v>
      </c>
      <c r="F57" s="144">
        <v>0</v>
      </c>
      <c r="G57" s="144">
        <v>0</v>
      </c>
      <c r="H57" s="144">
        <v>0</v>
      </c>
      <c r="I57" s="144">
        <v>0</v>
      </c>
      <c r="J57" s="144">
        <f t="shared" ref="J57:J70" si="47">K57-G57-H57-I57</f>
        <v>0</v>
      </c>
      <c r="K57" s="144">
        <v>0</v>
      </c>
      <c r="L57" s="110"/>
      <c r="M57" s="131">
        <v>0</v>
      </c>
      <c r="N57" s="131">
        <v>0</v>
      </c>
      <c r="O57" s="131">
        <v>0</v>
      </c>
      <c r="P57" s="131">
        <f t="shared" ref="P57:P71" si="48">Q57-M57-N57-O57</f>
        <v>0</v>
      </c>
      <c r="Q57" s="144">
        <v>0</v>
      </c>
      <c r="R57" s="110">
        <v>0</v>
      </c>
      <c r="S57" s="341">
        <f>R57</f>
        <v>0</v>
      </c>
      <c r="T57" s="110">
        <v>0</v>
      </c>
      <c r="U57" s="341">
        <f>T57</f>
        <v>0</v>
      </c>
      <c r="V57" s="110">
        <v>0</v>
      </c>
      <c r="W57" s="341">
        <f>V57</f>
        <v>0</v>
      </c>
      <c r="X57" s="110">
        <f t="shared" ref="X57:Y71" si="49">+Z57-SUM(R57,T57,V57)</f>
        <v>0</v>
      </c>
      <c r="Y57" s="341">
        <f t="shared" si="49"/>
        <v>0</v>
      </c>
      <c r="Z57" s="261">
        <v>0</v>
      </c>
      <c r="AA57" s="341">
        <f t="shared" ref="AA57:AA71" si="50">Z57</f>
        <v>0</v>
      </c>
      <c r="AB57" s="261">
        <v>0</v>
      </c>
      <c r="AC57" s="261">
        <v>0</v>
      </c>
      <c r="AD57" s="261">
        <v>0</v>
      </c>
      <c r="AE57" s="261">
        <f t="shared" ref="AE57:AE71" si="51">+AF57-SUM(AB57:AD57)</f>
        <v>0</v>
      </c>
      <c r="AF57" s="354">
        <v>0</v>
      </c>
      <c r="AG57" s="354">
        <v>0</v>
      </c>
      <c r="AH57" s="354">
        <v>0</v>
      </c>
      <c r="AI57" s="354">
        <v>0</v>
      </c>
      <c r="AJ57" s="2"/>
      <c r="AK57" s="170"/>
      <c r="AL57" s="2"/>
      <c r="AM57" s="2"/>
      <c r="AN57" s="2"/>
      <c r="AO57" s="2"/>
      <c r="AP57" s="2"/>
      <c r="AQ57" s="2"/>
      <c r="AR57" s="2"/>
      <c r="AS57" s="2"/>
      <c r="AT57" s="2"/>
      <c r="AU57" s="2"/>
      <c r="AV57" s="2"/>
      <c r="AW57" s="2"/>
      <c r="AX57" s="2"/>
      <c r="AY57" s="2"/>
      <c r="AZ57" s="2"/>
    </row>
    <row r="58" spans="1:224" x14ac:dyDescent="0.2">
      <c r="A58" s="15" t="s">
        <v>205</v>
      </c>
      <c r="B58" s="131">
        <v>0</v>
      </c>
      <c r="C58" s="131">
        <v>0</v>
      </c>
      <c r="D58" s="131">
        <v>0</v>
      </c>
      <c r="E58" s="131">
        <v>0</v>
      </c>
      <c r="F58" s="131">
        <v>0</v>
      </c>
      <c r="G58" s="131">
        <v>5000</v>
      </c>
      <c r="H58" s="131">
        <v>15000</v>
      </c>
      <c r="I58" s="131">
        <v>0</v>
      </c>
      <c r="J58" s="144">
        <f t="shared" si="47"/>
        <v>0</v>
      </c>
      <c r="K58" s="131">
        <v>20000</v>
      </c>
      <c r="L58" s="110"/>
      <c r="M58" s="131">
        <v>0</v>
      </c>
      <c r="N58" s="131">
        <v>0</v>
      </c>
      <c r="O58" s="131">
        <v>0</v>
      </c>
      <c r="P58" s="131">
        <f t="shared" si="48"/>
        <v>0</v>
      </c>
      <c r="Q58" s="131">
        <v>0</v>
      </c>
      <c r="R58" s="149">
        <v>0</v>
      </c>
      <c r="S58" s="334">
        <f t="shared" ref="S58:S71" si="52">R58</f>
        <v>0</v>
      </c>
      <c r="T58" s="149">
        <v>0</v>
      </c>
      <c r="U58" s="334">
        <f t="shared" ref="U58:U71" si="53">T58</f>
        <v>0</v>
      </c>
      <c r="V58" s="149">
        <v>0</v>
      </c>
      <c r="W58" s="334">
        <f t="shared" ref="W58:W71" si="54">V58</f>
        <v>0</v>
      </c>
      <c r="X58" s="203">
        <f t="shared" si="49"/>
        <v>60574</v>
      </c>
      <c r="Y58" s="334">
        <f t="shared" si="49"/>
        <v>60574</v>
      </c>
      <c r="Z58" s="306">
        <v>60574</v>
      </c>
      <c r="AA58" s="334">
        <f t="shared" si="50"/>
        <v>60574</v>
      </c>
      <c r="AB58" s="306">
        <v>12000</v>
      </c>
      <c r="AC58" s="306">
        <v>0</v>
      </c>
      <c r="AD58" s="306">
        <v>233000</v>
      </c>
      <c r="AE58" s="306">
        <f t="shared" si="51"/>
        <v>1614</v>
      </c>
      <c r="AF58" s="354">
        <v>246614</v>
      </c>
      <c r="AG58" s="354">
        <v>46000</v>
      </c>
      <c r="AH58" s="354">
        <v>0</v>
      </c>
      <c r="AI58" s="354">
        <v>0</v>
      </c>
      <c r="AJ58" s="2"/>
      <c r="AK58" s="170">
        <v>0</v>
      </c>
      <c r="AL58" s="2"/>
      <c r="AM58" s="2"/>
      <c r="AN58" s="2"/>
      <c r="AO58" s="2"/>
      <c r="AP58" s="2"/>
      <c r="AQ58" s="2"/>
      <c r="AR58" s="2"/>
      <c r="AS58" s="2"/>
      <c r="AT58" s="2"/>
      <c r="AU58" s="2"/>
      <c r="AV58" s="2"/>
      <c r="AW58" s="2"/>
      <c r="AX58" s="2"/>
      <c r="AY58" s="2"/>
      <c r="AZ58" s="2"/>
    </row>
    <row r="59" spans="1:224" x14ac:dyDescent="0.2">
      <c r="A59" s="15" t="s">
        <v>206</v>
      </c>
      <c r="B59" s="131">
        <v>0</v>
      </c>
      <c r="C59" s="131">
        <v>0</v>
      </c>
      <c r="D59" s="131">
        <v>0</v>
      </c>
      <c r="E59" s="131">
        <v>0</v>
      </c>
      <c r="F59" s="131">
        <v>0</v>
      </c>
      <c r="G59" s="131">
        <v>0</v>
      </c>
      <c r="H59" s="131">
        <v>-10000</v>
      </c>
      <c r="I59" s="131">
        <v>0</v>
      </c>
      <c r="J59" s="144">
        <f t="shared" si="47"/>
        <v>0</v>
      </c>
      <c r="K59" s="131">
        <v>-10000</v>
      </c>
      <c r="L59" s="110"/>
      <c r="M59" s="131">
        <v>0</v>
      </c>
      <c r="N59" s="131">
        <v>0</v>
      </c>
      <c r="O59" s="131">
        <v>0</v>
      </c>
      <c r="P59" s="131">
        <f t="shared" si="48"/>
        <v>-25000</v>
      </c>
      <c r="Q59" s="131">
        <v>-25000</v>
      </c>
      <c r="R59" s="149">
        <v>0</v>
      </c>
      <c r="S59" s="334">
        <f t="shared" si="52"/>
        <v>0</v>
      </c>
      <c r="T59" s="149">
        <v>0</v>
      </c>
      <c r="U59" s="334">
        <f t="shared" si="53"/>
        <v>0</v>
      </c>
      <c r="V59" s="149">
        <v>0</v>
      </c>
      <c r="W59" s="334">
        <f t="shared" si="54"/>
        <v>0</v>
      </c>
      <c r="X59" s="203">
        <f t="shared" si="49"/>
        <v>-45192</v>
      </c>
      <c r="Y59" s="334">
        <f t="shared" si="49"/>
        <v>-45192</v>
      </c>
      <c r="Z59" s="306">
        <v>-45192</v>
      </c>
      <c r="AA59" s="334">
        <f t="shared" si="50"/>
        <v>-45192</v>
      </c>
      <c r="AB59" s="306">
        <v>-5036</v>
      </c>
      <c r="AC59" s="306">
        <v>-29</v>
      </c>
      <c r="AD59" s="306">
        <v>-18</v>
      </c>
      <c r="AE59" s="306">
        <f t="shared" si="51"/>
        <v>-150126</v>
      </c>
      <c r="AF59" s="354">
        <v>-155209</v>
      </c>
      <c r="AG59" s="354">
        <v>-10572</v>
      </c>
      <c r="AH59" s="354">
        <v>-69018</v>
      </c>
      <c r="AI59" s="354">
        <v>-8173</v>
      </c>
      <c r="AJ59" s="2"/>
      <c r="AK59" s="170">
        <v>0</v>
      </c>
      <c r="AL59" s="2"/>
      <c r="AM59" s="2"/>
      <c r="AN59" s="2"/>
      <c r="AO59" s="2"/>
      <c r="AP59" s="2"/>
      <c r="AQ59" s="2"/>
      <c r="AR59" s="2"/>
      <c r="AS59" s="2"/>
      <c r="AT59" s="2"/>
      <c r="AU59" s="2"/>
      <c r="AV59" s="2"/>
      <c r="AW59" s="2"/>
      <c r="AX59" s="2"/>
      <c r="AY59" s="2"/>
      <c r="AZ59" s="2"/>
    </row>
    <row r="60" spans="1:224" x14ac:dyDescent="0.2">
      <c r="A60" s="15" t="s">
        <v>235</v>
      </c>
      <c r="B60" s="131"/>
      <c r="C60" s="131"/>
      <c r="D60" s="131"/>
      <c r="E60" s="131"/>
      <c r="F60" s="131"/>
      <c r="G60" s="131"/>
      <c r="H60" s="131"/>
      <c r="I60" s="131"/>
      <c r="J60" s="144"/>
      <c r="K60" s="131"/>
      <c r="L60" s="110"/>
      <c r="M60" s="131"/>
      <c r="N60" s="131"/>
      <c r="O60" s="131"/>
      <c r="P60" s="131"/>
      <c r="Q60" s="131"/>
      <c r="R60" s="149"/>
      <c r="S60" s="334"/>
      <c r="T60" s="149"/>
      <c r="U60" s="334"/>
      <c r="V60" s="149"/>
      <c r="W60" s="334"/>
      <c r="X60" s="203"/>
      <c r="Y60" s="334"/>
      <c r="Z60" s="306"/>
      <c r="AA60" s="334"/>
      <c r="AB60" s="306"/>
      <c r="AC60" s="306"/>
      <c r="AD60" s="306"/>
      <c r="AE60" s="306">
        <f t="shared" si="51"/>
        <v>149000</v>
      </c>
      <c r="AF60" s="354">
        <v>149000</v>
      </c>
      <c r="AG60" s="354">
        <v>0</v>
      </c>
      <c r="AH60" s="354">
        <v>0</v>
      </c>
      <c r="AI60" s="354">
        <v>0</v>
      </c>
      <c r="AJ60" s="2"/>
      <c r="AK60" s="170"/>
      <c r="AL60" s="2"/>
      <c r="AM60" s="2"/>
      <c r="AN60" s="2"/>
      <c r="AO60" s="2"/>
      <c r="AP60" s="2"/>
      <c r="AQ60" s="2"/>
      <c r="AR60" s="2"/>
      <c r="AS60" s="2"/>
      <c r="AT60" s="2"/>
      <c r="AU60" s="2"/>
      <c r="AV60" s="2"/>
      <c r="AW60" s="2"/>
      <c r="AX60" s="2"/>
      <c r="AY60" s="2"/>
      <c r="AZ60" s="2"/>
    </row>
    <row r="61" spans="1:224" x14ac:dyDescent="0.2">
      <c r="A61" s="15" t="s">
        <v>141</v>
      </c>
      <c r="B61" s="131">
        <v>0</v>
      </c>
      <c r="C61" s="131">
        <v>0</v>
      </c>
      <c r="D61" s="131">
        <v>0</v>
      </c>
      <c r="E61" s="131">
        <v>-405</v>
      </c>
      <c r="F61" s="131">
        <v>-405</v>
      </c>
      <c r="G61" s="131">
        <v>-50</v>
      </c>
      <c r="H61" s="131">
        <v>-24</v>
      </c>
      <c r="I61" s="131">
        <v>0</v>
      </c>
      <c r="J61" s="144">
        <f t="shared" si="47"/>
        <v>0</v>
      </c>
      <c r="K61" s="131">
        <v>-74</v>
      </c>
      <c r="L61" s="110"/>
      <c r="M61" s="131">
        <v>0</v>
      </c>
      <c r="N61" s="131">
        <v>0</v>
      </c>
      <c r="O61" s="131">
        <v>0</v>
      </c>
      <c r="P61" s="131">
        <f t="shared" si="48"/>
        <v>0</v>
      </c>
      <c r="Q61" s="131">
        <v>0</v>
      </c>
      <c r="R61" s="149">
        <v>0</v>
      </c>
      <c r="S61" s="334">
        <f t="shared" si="52"/>
        <v>0</v>
      </c>
      <c r="T61" s="149">
        <v>0</v>
      </c>
      <c r="U61" s="334">
        <f t="shared" si="53"/>
        <v>0</v>
      </c>
      <c r="V61" s="149">
        <v>0</v>
      </c>
      <c r="W61" s="334">
        <f t="shared" si="54"/>
        <v>0</v>
      </c>
      <c r="X61" s="203">
        <f t="shared" si="49"/>
        <v>-790</v>
      </c>
      <c r="Y61" s="334">
        <f t="shared" si="49"/>
        <v>-790</v>
      </c>
      <c r="Z61" s="306">
        <v>-790</v>
      </c>
      <c r="AA61" s="334">
        <f t="shared" si="50"/>
        <v>-790</v>
      </c>
      <c r="AB61" s="257">
        <v>0</v>
      </c>
      <c r="AC61" s="257">
        <v>0</v>
      </c>
      <c r="AD61" s="257">
        <v>0</v>
      </c>
      <c r="AE61" s="257">
        <f t="shared" si="51"/>
        <v>-762</v>
      </c>
      <c r="AF61" s="354">
        <v>-762</v>
      </c>
      <c r="AG61" s="354">
        <v>-97</v>
      </c>
      <c r="AH61" s="354">
        <v>-20</v>
      </c>
      <c r="AI61" s="354">
        <v>0</v>
      </c>
      <c r="AJ61" s="2"/>
      <c r="AK61" s="170">
        <v>0</v>
      </c>
      <c r="AL61" s="2"/>
      <c r="AM61" s="2"/>
      <c r="AN61" s="2"/>
      <c r="AO61" s="2"/>
      <c r="AP61" s="2"/>
      <c r="AQ61" s="2"/>
      <c r="AR61" s="2"/>
      <c r="AS61" s="2"/>
      <c r="AT61" s="2"/>
      <c r="AU61" s="2"/>
      <c r="AV61" s="2"/>
      <c r="AW61" s="2"/>
      <c r="AX61" s="2"/>
      <c r="AY61" s="2"/>
      <c r="AZ61" s="2"/>
    </row>
    <row r="62" spans="1:224" x14ac:dyDescent="0.2">
      <c r="A62" s="15" t="s">
        <v>41</v>
      </c>
      <c r="B62" s="149">
        <v>-288</v>
      </c>
      <c r="C62" s="149">
        <v>-276</v>
      </c>
      <c r="D62" s="149">
        <v>-243</v>
      </c>
      <c r="E62" s="149">
        <v>-160</v>
      </c>
      <c r="F62" s="149">
        <v>-967</v>
      </c>
      <c r="G62" s="149">
        <v>-223</v>
      </c>
      <c r="H62" s="149">
        <v>-135</v>
      </c>
      <c r="I62" s="149">
        <v>-201</v>
      </c>
      <c r="J62" s="144">
        <f t="shared" si="47"/>
        <v>-161</v>
      </c>
      <c r="K62" s="149">
        <v>-720</v>
      </c>
      <c r="L62" s="110"/>
      <c r="M62" s="149">
        <v>-123</v>
      </c>
      <c r="N62" s="149">
        <v>-117</v>
      </c>
      <c r="O62" s="149">
        <v>-52</v>
      </c>
      <c r="P62" s="149">
        <f t="shared" si="48"/>
        <v>-56</v>
      </c>
      <c r="Q62" s="149">
        <v>-348</v>
      </c>
      <c r="R62" s="149">
        <v>-43</v>
      </c>
      <c r="S62" s="334">
        <f t="shared" si="52"/>
        <v>-43</v>
      </c>
      <c r="T62" s="149">
        <v>-51</v>
      </c>
      <c r="U62" s="334">
        <f t="shared" si="53"/>
        <v>-51</v>
      </c>
      <c r="V62" s="149">
        <v>-39</v>
      </c>
      <c r="W62" s="334">
        <f t="shared" si="54"/>
        <v>-39</v>
      </c>
      <c r="X62" s="203">
        <f t="shared" si="49"/>
        <v>-41</v>
      </c>
      <c r="Y62" s="334">
        <f t="shared" si="49"/>
        <v>-41</v>
      </c>
      <c r="Z62" s="306">
        <v>-174</v>
      </c>
      <c r="AA62" s="334">
        <f t="shared" si="50"/>
        <v>-174</v>
      </c>
      <c r="AB62" s="306">
        <v>-42</v>
      </c>
      <c r="AC62" s="306">
        <v>-41</v>
      </c>
      <c r="AD62" s="306">
        <v>-22</v>
      </c>
      <c r="AE62" s="306">
        <f t="shared" si="51"/>
        <v>-47</v>
      </c>
      <c r="AF62" s="354">
        <v>-152</v>
      </c>
      <c r="AG62" s="354">
        <v>-137</v>
      </c>
      <c r="AH62" s="354">
        <v>-70</v>
      </c>
      <c r="AI62" s="354">
        <v>-67</v>
      </c>
      <c r="AJ62" s="2"/>
      <c r="AK62" s="170">
        <v>0</v>
      </c>
      <c r="AL62" s="2"/>
      <c r="AM62" s="2"/>
      <c r="AN62" s="2"/>
      <c r="AO62" s="2"/>
      <c r="AP62" s="2"/>
      <c r="AQ62" s="2"/>
      <c r="AR62" s="2"/>
      <c r="AS62" s="2"/>
      <c r="AT62" s="2"/>
      <c r="AU62" s="2"/>
      <c r="AV62" s="2"/>
      <c r="AW62" s="2"/>
      <c r="AX62" s="2"/>
      <c r="AY62" s="2"/>
      <c r="AZ62" s="2"/>
    </row>
    <row r="63" spans="1:224" x14ac:dyDescent="0.2">
      <c r="A63" s="15" t="s">
        <v>42</v>
      </c>
      <c r="B63" s="149">
        <v>0</v>
      </c>
      <c r="C63" s="149">
        <v>0</v>
      </c>
      <c r="D63" s="149">
        <v>0</v>
      </c>
      <c r="E63" s="149">
        <v>0</v>
      </c>
      <c r="F63" s="131">
        <v>0</v>
      </c>
      <c r="G63" s="131">
        <v>0</v>
      </c>
      <c r="H63" s="131">
        <v>0</v>
      </c>
      <c r="I63" s="131">
        <v>0</v>
      </c>
      <c r="J63" s="144">
        <f t="shared" si="47"/>
        <v>0</v>
      </c>
      <c r="K63" s="131">
        <v>0</v>
      </c>
      <c r="L63" s="110"/>
      <c r="M63" s="131">
        <v>0</v>
      </c>
      <c r="N63" s="131">
        <v>0</v>
      </c>
      <c r="O63" s="131">
        <v>0</v>
      </c>
      <c r="P63" s="131">
        <f t="shared" si="48"/>
        <v>0</v>
      </c>
      <c r="Q63" s="131">
        <v>0</v>
      </c>
      <c r="R63" s="149">
        <v>0</v>
      </c>
      <c r="S63" s="334">
        <f t="shared" si="52"/>
        <v>0</v>
      </c>
      <c r="T63" s="149">
        <v>0</v>
      </c>
      <c r="U63" s="334">
        <f t="shared" si="53"/>
        <v>0</v>
      </c>
      <c r="V63" s="149">
        <v>0</v>
      </c>
      <c r="W63" s="334">
        <f t="shared" si="54"/>
        <v>0</v>
      </c>
      <c r="X63" s="203">
        <f t="shared" si="49"/>
        <v>0</v>
      </c>
      <c r="Y63" s="334">
        <f t="shared" si="49"/>
        <v>0</v>
      </c>
      <c r="Z63" s="262">
        <v>0</v>
      </c>
      <c r="AA63" s="334">
        <f t="shared" si="50"/>
        <v>0</v>
      </c>
      <c r="AB63" s="257">
        <v>0</v>
      </c>
      <c r="AC63" s="257">
        <v>0</v>
      </c>
      <c r="AD63" s="257">
        <v>0</v>
      </c>
      <c r="AE63" s="257">
        <f t="shared" si="51"/>
        <v>0</v>
      </c>
      <c r="AF63" s="257">
        <v>0</v>
      </c>
      <c r="AG63" s="257">
        <v>0</v>
      </c>
      <c r="AH63" s="257">
        <v>0</v>
      </c>
      <c r="AI63" s="257">
        <v>0</v>
      </c>
      <c r="AJ63" s="2"/>
      <c r="AK63" s="170"/>
      <c r="AL63" s="2"/>
      <c r="AM63" s="2"/>
      <c r="AN63" s="2"/>
      <c r="AO63" s="2"/>
      <c r="AP63" s="2"/>
      <c r="AQ63" s="2"/>
      <c r="AR63" s="2"/>
      <c r="AS63" s="2"/>
      <c r="AT63" s="2"/>
      <c r="AU63" s="2"/>
      <c r="AV63" s="2"/>
      <c r="AW63" s="2"/>
      <c r="AX63" s="2"/>
      <c r="AY63" s="2"/>
      <c r="AZ63" s="2"/>
    </row>
    <row r="64" spans="1:224" x14ac:dyDescent="0.2">
      <c r="A64" s="15" t="s">
        <v>55</v>
      </c>
      <c r="B64" s="149">
        <v>0</v>
      </c>
      <c r="C64" s="149">
        <v>0</v>
      </c>
      <c r="D64" s="149">
        <v>0</v>
      </c>
      <c r="E64" s="149">
        <v>0</v>
      </c>
      <c r="F64" s="131">
        <v>0</v>
      </c>
      <c r="G64" s="131">
        <v>0</v>
      </c>
      <c r="H64" s="131">
        <v>0</v>
      </c>
      <c r="I64" s="131">
        <v>0</v>
      </c>
      <c r="J64" s="144">
        <f t="shared" si="47"/>
        <v>0</v>
      </c>
      <c r="K64" s="131">
        <v>0</v>
      </c>
      <c r="L64" s="110"/>
      <c r="M64" s="131">
        <v>0</v>
      </c>
      <c r="N64" s="131">
        <v>0</v>
      </c>
      <c r="O64" s="131">
        <v>0</v>
      </c>
      <c r="P64" s="131">
        <f t="shared" si="48"/>
        <v>0</v>
      </c>
      <c r="Q64" s="131">
        <v>0</v>
      </c>
      <c r="R64" s="149">
        <v>0</v>
      </c>
      <c r="S64" s="334">
        <f t="shared" si="52"/>
        <v>0</v>
      </c>
      <c r="T64" s="149">
        <v>0</v>
      </c>
      <c r="U64" s="334">
        <f t="shared" si="53"/>
        <v>0</v>
      </c>
      <c r="V64" s="149">
        <v>0</v>
      </c>
      <c r="W64" s="334">
        <f t="shared" si="54"/>
        <v>0</v>
      </c>
      <c r="X64" s="203">
        <f t="shared" si="49"/>
        <v>0</v>
      </c>
      <c r="Y64" s="334">
        <f t="shared" si="49"/>
        <v>0</v>
      </c>
      <c r="Z64" s="262">
        <v>0</v>
      </c>
      <c r="AA64" s="334">
        <f t="shared" si="50"/>
        <v>0</v>
      </c>
      <c r="AB64" s="257">
        <v>0</v>
      </c>
      <c r="AC64" s="257">
        <v>0</v>
      </c>
      <c r="AD64" s="257">
        <v>0</v>
      </c>
      <c r="AE64" s="257">
        <f t="shared" si="51"/>
        <v>0</v>
      </c>
      <c r="AF64" s="257">
        <v>0</v>
      </c>
      <c r="AG64" s="257">
        <v>0</v>
      </c>
      <c r="AH64" s="257">
        <v>0</v>
      </c>
      <c r="AI64" s="257">
        <v>0</v>
      </c>
      <c r="AJ64" s="2"/>
      <c r="AK64" s="170"/>
      <c r="AL64" s="2"/>
      <c r="AM64" s="2"/>
      <c r="AN64" s="2"/>
      <c r="AO64" s="2"/>
      <c r="AP64" s="2"/>
      <c r="AQ64" s="2"/>
      <c r="AR64" s="2"/>
      <c r="AS64" s="2"/>
      <c r="AT64" s="2"/>
      <c r="AU64" s="2"/>
      <c r="AV64" s="2"/>
      <c r="AW64" s="2"/>
      <c r="AX64" s="2"/>
      <c r="AY64" s="2"/>
      <c r="AZ64" s="2"/>
    </row>
    <row r="65" spans="1:52" x14ac:dyDescent="0.2">
      <c r="A65" s="15" t="s">
        <v>54</v>
      </c>
      <c r="B65" s="149">
        <v>0</v>
      </c>
      <c r="C65" s="149">
        <v>0</v>
      </c>
      <c r="D65" s="149">
        <v>0</v>
      </c>
      <c r="E65" s="149">
        <v>0</v>
      </c>
      <c r="F65" s="131">
        <v>0</v>
      </c>
      <c r="G65" s="131">
        <v>0</v>
      </c>
      <c r="H65" s="131">
        <v>0</v>
      </c>
      <c r="I65" s="131">
        <v>0</v>
      </c>
      <c r="J65" s="144">
        <f t="shared" si="47"/>
        <v>0</v>
      </c>
      <c r="K65" s="131">
        <v>0</v>
      </c>
      <c r="L65" s="110"/>
      <c r="M65" s="131">
        <v>-5000</v>
      </c>
      <c r="N65" s="131">
        <v>-20000</v>
      </c>
      <c r="O65" s="131">
        <v>0</v>
      </c>
      <c r="P65" s="131">
        <f t="shared" si="48"/>
        <v>25000</v>
      </c>
      <c r="Q65" s="131">
        <v>0</v>
      </c>
      <c r="R65" s="149">
        <v>0</v>
      </c>
      <c r="S65" s="334">
        <f t="shared" si="52"/>
        <v>0</v>
      </c>
      <c r="T65" s="149">
        <v>0</v>
      </c>
      <c r="U65" s="334">
        <f t="shared" si="53"/>
        <v>0</v>
      </c>
      <c r="V65" s="149">
        <v>0</v>
      </c>
      <c r="W65" s="334">
        <f t="shared" si="54"/>
        <v>0</v>
      </c>
      <c r="X65" s="203">
        <f t="shared" si="49"/>
        <v>0</v>
      </c>
      <c r="Y65" s="334">
        <f t="shared" si="49"/>
        <v>0</v>
      </c>
      <c r="Z65" s="262">
        <v>0</v>
      </c>
      <c r="AA65" s="334">
        <f t="shared" si="50"/>
        <v>0</v>
      </c>
      <c r="AB65" s="257">
        <v>0</v>
      </c>
      <c r="AC65" s="257">
        <v>0</v>
      </c>
      <c r="AD65" s="257">
        <v>0</v>
      </c>
      <c r="AE65" s="257">
        <f t="shared" si="51"/>
        <v>0</v>
      </c>
      <c r="AF65" s="257">
        <v>0</v>
      </c>
      <c r="AG65" s="257">
        <v>0</v>
      </c>
      <c r="AH65" s="257">
        <v>0</v>
      </c>
      <c r="AI65" s="257">
        <v>0</v>
      </c>
      <c r="AJ65" s="2"/>
      <c r="AK65" s="170"/>
      <c r="AL65" s="2"/>
      <c r="AM65" s="2"/>
      <c r="AN65" s="2"/>
      <c r="AO65" s="2"/>
      <c r="AP65" s="2"/>
      <c r="AQ65" s="2"/>
      <c r="AR65" s="2"/>
      <c r="AS65" s="2"/>
      <c r="AT65" s="2"/>
      <c r="AU65" s="2"/>
      <c r="AV65" s="2"/>
      <c r="AW65" s="2"/>
      <c r="AX65" s="2"/>
      <c r="AY65" s="2"/>
      <c r="AZ65" s="2"/>
    </row>
    <row r="66" spans="1:52" x14ac:dyDescent="0.2">
      <c r="A66" s="15" t="s">
        <v>43</v>
      </c>
      <c r="B66" s="149">
        <v>1673</v>
      </c>
      <c r="C66" s="149">
        <v>1140</v>
      </c>
      <c r="D66" s="149">
        <v>2157</v>
      </c>
      <c r="E66" s="149">
        <v>1489</v>
      </c>
      <c r="F66" s="149">
        <v>6459</v>
      </c>
      <c r="G66" s="149">
        <v>1883</v>
      </c>
      <c r="H66" s="149">
        <v>483</v>
      </c>
      <c r="I66" s="149">
        <v>796</v>
      </c>
      <c r="J66" s="144">
        <f t="shared" si="47"/>
        <v>212</v>
      </c>
      <c r="K66" s="149">
        <v>3374</v>
      </c>
      <c r="L66" s="110"/>
      <c r="M66" s="149">
        <v>2010</v>
      </c>
      <c r="N66" s="149">
        <v>2185</v>
      </c>
      <c r="O66" s="149">
        <v>2031</v>
      </c>
      <c r="P66" s="149">
        <f t="shared" si="48"/>
        <v>273</v>
      </c>
      <c r="Q66" s="149">
        <v>6499</v>
      </c>
      <c r="R66" s="149">
        <v>191</v>
      </c>
      <c r="S66" s="334">
        <f t="shared" si="52"/>
        <v>191</v>
      </c>
      <c r="T66" s="149">
        <v>1587</v>
      </c>
      <c r="U66" s="334">
        <f t="shared" si="53"/>
        <v>1587</v>
      </c>
      <c r="V66" s="149">
        <v>2497</v>
      </c>
      <c r="W66" s="334">
        <f t="shared" si="54"/>
        <v>2497</v>
      </c>
      <c r="X66" s="203">
        <f t="shared" si="49"/>
        <v>4286</v>
      </c>
      <c r="Y66" s="334">
        <f t="shared" si="49"/>
        <v>4286</v>
      </c>
      <c r="Z66" s="306">
        <v>8561</v>
      </c>
      <c r="AA66" s="334">
        <f t="shared" si="50"/>
        <v>8561</v>
      </c>
      <c r="AB66" s="306">
        <v>431</v>
      </c>
      <c r="AC66" s="306">
        <v>0</v>
      </c>
      <c r="AD66" s="306">
        <v>653</v>
      </c>
      <c r="AE66" s="306">
        <f t="shared" si="51"/>
        <v>313</v>
      </c>
      <c r="AF66" s="354">
        <v>1397</v>
      </c>
      <c r="AG66" s="354">
        <v>22</v>
      </c>
      <c r="AH66" s="354">
        <v>316</v>
      </c>
      <c r="AI66" s="354">
        <v>0</v>
      </c>
      <c r="AJ66" s="2"/>
      <c r="AK66" s="170">
        <v>0</v>
      </c>
      <c r="AL66" s="2"/>
      <c r="AM66" s="2"/>
      <c r="AN66" s="2"/>
      <c r="AO66" s="2"/>
      <c r="AP66" s="2"/>
      <c r="AQ66" s="2"/>
      <c r="AR66" s="2"/>
      <c r="AS66" s="2"/>
      <c r="AT66" s="2"/>
      <c r="AU66" s="2"/>
      <c r="AV66" s="2"/>
      <c r="AW66" s="2"/>
      <c r="AX66" s="2"/>
      <c r="AY66" s="2"/>
      <c r="AZ66" s="2"/>
    </row>
    <row r="67" spans="1:52" x14ac:dyDescent="0.2">
      <c r="A67" s="15" t="s">
        <v>56</v>
      </c>
      <c r="B67" s="149">
        <v>0</v>
      </c>
      <c r="C67" s="149">
        <v>0</v>
      </c>
      <c r="D67" s="149">
        <v>0</v>
      </c>
      <c r="E67" s="149">
        <v>1181</v>
      </c>
      <c r="F67" s="149">
        <v>1181</v>
      </c>
      <c r="G67" s="149">
        <v>0</v>
      </c>
      <c r="H67" s="149">
        <v>0</v>
      </c>
      <c r="I67" s="149">
        <v>0</v>
      </c>
      <c r="J67" s="144">
        <f t="shared" si="47"/>
        <v>1458</v>
      </c>
      <c r="K67" s="149">
        <v>1458</v>
      </c>
      <c r="L67" s="110"/>
      <c r="M67" s="131">
        <v>0</v>
      </c>
      <c r="N67" s="131">
        <v>0</v>
      </c>
      <c r="O67" s="131">
        <v>0</v>
      </c>
      <c r="P67" s="131">
        <f t="shared" si="48"/>
        <v>4326</v>
      </c>
      <c r="Q67" s="149">
        <v>4326</v>
      </c>
      <c r="R67" s="149">
        <v>0</v>
      </c>
      <c r="S67" s="334">
        <f t="shared" si="52"/>
        <v>0</v>
      </c>
      <c r="T67" s="149">
        <v>0</v>
      </c>
      <c r="U67" s="334">
        <f t="shared" si="53"/>
        <v>0</v>
      </c>
      <c r="V67" s="149">
        <v>0</v>
      </c>
      <c r="W67" s="334">
        <f t="shared" si="54"/>
        <v>0</v>
      </c>
      <c r="X67" s="203">
        <f t="shared" si="49"/>
        <v>0</v>
      </c>
      <c r="Y67" s="334">
        <f t="shared" si="49"/>
        <v>0</v>
      </c>
      <c r="Z67" s="262">
        <v>0</v>
      </c>
      <c r="AA67" s="334">
        <f t="shared" si="50"/>
        <v>0</v>
      </c>
      <c r="AB67" s="257">
        <v>0</v>
      </c>
      <c r="AC67" s="257">
        <v>0</v>
      </c>
      <c r="AD67" s="257">
        <v>0</v>
      </c>
      <c r="AE67" s="257">
        <f t="shared" si="51"/>
        <v>0</v>
      </c>
      <c r="AF67" s="257">
        <v>0</v>
      </c>
      <c r="AG67" s="257">
        <v>0</v>
      </c>
      <c r="AH67" s="257">
        <v>0</v>
      </c>
      <c r="AI67" s="257">
        <v>0</v>
      </c>
      <c r="AJ67" s="2"/>
      <c r="AK67" s="170"/>
      <c r="AL67" s="2"/>
      <c r="AM67" s="2"/>
      <c r="AN67" s="2"/>
      <c r="AO67" s="2"/>
      <c r="AP67" s="2"/>
      <c r="AQ67" s="2"/>
      <c r="AR67" s="2"/>
      <c r="AS67" s="2"/>
      <c r="AT67" s="2"/>
      <c r="AU67" s="2"/>
      <c r="AV67" s="2"/>
      <c r="AW67" s="2"/>
      <c r="AX67" s="2"/>
      <c r="AY67" s="2"/>
      <c r="AZ67" s="2"/>
    </row>
    <row r="68" spans="1:52" ht="25.5" x14ac:dyDescent="0.2">
      <c r="A68" s="20" t="s">
        <v>142</v>
      </c>
      <c r="B68" s="131">
        <v>0</v>
      </c>
      <c r="C68" s="131">
        <v>0</v>
      </c>
      <c r="D68" s="131">
        <v>0</v>
      </c>
      <c r="E68" s="131">
        <v>0</v>
      </c>
      <c r="F68" s="131">
        <v>0</v>
      </c>
      <c r="G68" s="131">
        <v>0</v>
      </c>
      <c r="H68" s="131">
        <v>0</v>
      </c>
      <c r="I68" s="131">
        <v>0</v>
      </c>
      <c r="J68" s="144">
        <f t="shared" si="47"/>
        <v>0</v>
      </c>
      <c r="K68" s="131">
        <v>0</v>
      </c>
      <c r="L68" s="110"/>
      <c r="M68" s="131">
        <v>0</v>
      </c>
      <c r="N68" s="131">
        <v>0</v>
      </c>
      <c r="O68" s="131">
        <v>0</v>
      </c>
      <c r="P68" s="131">
        <f t="shared" si="48"/>
        <v>0</v>
      </c>
      <c r="Q68" s="131">
        <v>0</v>
      </c>
      <c r="R68" s="149">
        <v>0</v>
      </c>
      <c r="S68" s="334">
        <f t="shared" si="52"/>
        <v>0</v>
      </c>
      <c r="T68" s="149">
        <v>0</v>
      </c>
      <c r="U68" s="334">
        <f t="shared" si="53"/>
        <v>0</v>
      </c>
      <c r="V68" s="149">
        <v>0</v>
      </c>
      <c r="W68" s="334">
        <f t="shared" si="54"/>
        <v>0</v>
      </c>
      <c r="X68" s="203">
        <f t="shared" si="49"/>
        <v>0</v>
      </c>
      <c r="Y68" s="334">
        <f t="shared" si="49"/>
        <v>0</v>
      </c>
      <c r="Z68" s="262">
        <v>0</v>
      </c>
      <c r="AA68" s="334">
        <f t="shared" si="50"/>
        <v>0</v>
      </c>
      <c r="AB68" s="257">
        <v>0</v>
      </c>
      <c r="AC68" s="257">
        <v>0</v>
      </c>
      <c r="AD68" s="257">
        <v>0</v>
      </c>
      <c r="AE68" s="257">
        <f t="shared" si="51"/>
        <v>0</v>
      </c>
      <c r="AF68" s="257">
        <v>0</v>
      </c>
      <c r="AG68" s="257">
        <v>0</v>
      </c>
      <c r="AH68" s="257">
        <v>0</v>
      </c>
      <c r="AI68" s="257">
        <v>0</v>
      </c>
      <c r="AJ68" s="2"/>
      <c r="AK68" s="170"/>
      <c r="AL68" s="2"/>
      <c r="AM68" s="2"/>
      <c r="AN68" s="2"/>
      <c r="AO68" s="2"/>
      <c r="AP68" s="2"/>
      <c r="AQ68" s="2"/>
      <c r="AR68" s="2"/>
      <c r="AS68" s="2"/>
      <c r="AT68" s="2"/>
      <c r="AU68" s="2"/>
      <c r="AV68" s="2"/>
      <c r="AW68" s="2"/>
      <c r="AX68" s="2"/>
      <c r="AY68" s="2"/>
      <c r="AZ68" s="2"/>
    </row>
    <row r="69" spans="1:52" x14ac:dyDescent="0.2">
      <c r="A69" s="15" t="s">
        <v>126</v>
      </c>
      <c r="B69" s="149">
        <v>0</v>
      </c>
      <c r="C69" s="149">
        <v>0</v>
      </c>
      <c r="D69" s="149">
        <v>0</v>
      </c>
      <c r="E69" s="149">
        <v>0</v>
      </c>
      <c r="F69" s="131">
        <v>0</v>
      </c>
      <c r="G69" s="131">
        <v>0</v>
      </c>
      <c r="H69" s="131">
        <v>0</v>
      </c>
      <c r="I69" s="131">
        <v>0</v>
      </c>
      <c r="J69" s="144">
        <f t="shared" si="47"/>
        <v>176</v>
      </c>
      <c r="K69" s="131">
        <v>176</v>
      </c>
      <c r="L69" s="110"/>
      <c r="M69" s="131">
        <v>0</v>
      </c>
      <c r="N69" s="131">
        <v>0</v>
      </c>
      <c r="O69" s="131">
        <v>0</v>
      </c>
      <c r="P69" s="131">
        <f t="shared" si="48"/>
        <v>0</v>
      </c>
      <c r="Q69" s="131">
        <v>0</v>
      </c>
      <c r="R69" s="149">
        <v>0</v>
      </c>
      <c r="S69" s="334">
        <f t="shared" si="52"/>
        <v>0</v>
      </c>
      <c r="T69" s="149">
        <v>0</v>
      </c>
      <c r="U69" s="334">
        <f t="shared" si="53"/>
        <v>0</v>
      </c>
      <c r="V69" s="149">
        <v>0</v>
      </c>
      <c r="W69" s="334">
        <f t="shared" si="54"/>
        <v>0</v>
      </c>
      <c r="X69" s="203">
        <f t="shared" si="49"/>
        <v>0</v>
      </c>
      <c r="Y69" s="334">
        <f t="shared" si="49"/>
        <v>0</v>
      </c>
      <c r="Z69" s="262">
        <v>0</v>
      </c>
      <c r="AA69" s="334">
        <f t="shared" si="50"/>
        <v>0</v>
      </c>
      <c r="AB69" s="257">
        <v>0</v>
      </c>
      <c r="AC69" s="257">
        <v>0</v>
      </c>
      <c r="AD69" s="257">
        <v>0</v>
      </c>
      <c r="AE69" s="257">
        <f t="shared" si="51"/>
        <v>0</v>
      </c>
      <c r="AF69" s="257">
        <v>0</v>
      </c>
      <c r="AG69" s="257">
        <v>0</v>
      </c>
      <c r="AH69" s="257">
        <v>0</v>
      </c>
      <c r="AI69" s="257">
        <v>0</v>
      </c>
      <c r="AJ69" s="2"/>
      <c r="AK69" s="170"/>
      <c r="AL69" s="2"/>
      <c r="AM69" s="2"/>
      <c r="AN69" s="2"/>
      <c r="AO69" s="2"/>
      <c r="AP69" s="2"/>
      <c r="AQ69" s="2"/>
      <c r="AR69" s="2"/>
      <c r="AS69" s="2"/>
      <c r="AT69" s="2"/>
      <c r="AU69" s="2"/>
      <c r="AV69" s="2"/>
      <c r="AW69" s="2"/>
      <c r="AX69" s="2"/>
      <c r="AY69" s="2"/>
      <c r="AZ69" s="2"/>
    </row>
    <row r="70" spans="1:52" x14ac:dyDescent="0.2">
      <c r="A70" s="15" t="s">
        <v>163</v>
      </c>
      <c r="B70" s="131">
        <v>0</v>
      </c>
      <c r="C70" s="131">
        <v>0</v>
      </c>
      <c r="D70" s="131">
        <v>0</v>
      </c>
      <c r="E70" s="131">
        <v>50000</v>
      </c>
      <c r="F70" s="149">
        <v>50000</v>
      </c>
      <c r="G70" s="149">
        <v>25000</v>
      </c>
      <c r="H70" s="149">
        <v>-15000</v>
      </c>
      <c r="I70" s="149">
        <v>0</v>
      </c>
      <c r="J70" s="144">
        <f t="shared" si="47"/>
        <v>0</v>
      </c>
      <c r="K70" s="149">
        <v>10000</v>
      </c>
      <c r="L70" s="110"/>
      <c r="M70" s="131">
        <v>0</v>
      </c>
      <c r="N70" s="131">
        <v>0</v>
      </c>
      <c r="O70" s="131">
        <v>0</v>
      </c>
      <c r="P70" s="131">
        <f t="shared" si="48"/>
        <v>0</v>
      </c>
      <c r="Q70" s="149">
        <v>0</v>
      </c>
      <c r="R70" s="149">
        <v>0</v>
      </c>
      <c r="S70" s="334">
        <f t="shared" si="52"/>
        <v>0</v>
      </c>
      <c r="T70" s="149">
        <v>0</v>
      </c>
      <c r="U70" s="334">
        <f t="shared" si="53"/>
        <v>0</v>
      </c>
      <c r="V70" s="149">
        <v>0</v>
      </c>
      <c r="W70" s="334">
        <f t="shared" si="54"/>
        <v>0</v>
      </c>
      <c r="X70" s="203">
        <f t="shared" si="49"/>
        <v>0</v>
      </c>
      <c r="Y70" s="334">
        <f t="shared" si="49"/>
        <v>0</v>
      </c>
      <c r="Z70" s="262">
        <v>0</v>
      </c>
      <c r="AA70" s="334">
        <f t="shared" si="50"/>
        <v>0</v>
      </c>
      <c r="AB70" s="257">
        <v>0</v>
      </c>
      <c r="AC70" s="257">
        <v>0</v>
      </c>
      <c r="AD70" s="257">
        <v>0</v>
      </c>
      <c r="AE70" s="257">
        <f t="shared" si="51"/>
        <v>0</v>
      </c>
      <c r="AF70" s="257">
        <v>0</v>
      </c>
      <c r="AG70" s="257">
        <v>0</v>
      </c>
      <c r="AH70" s="257">
        <v>0</v>
      </c>
      <c r="AI70" s="257">
        <v>0</v>
      </c>
      <c r="AJ70" s="2"/>
      <c r="AK70" s="170"/>
      <c r="AL70" s="2"/>
      <c r="AM70" s="2"/>
      <c r="AN70" s="2"/>
      <c r="AO70" s="2"/>
      <c r="AP70" s="2"/>
      <c r="AQ70" s="2"/>
      <c r="AR70" s="2"/>
      <c r="AS70" s="2"/>
      <c r="AT70" s="2"/>
      <c r="AU70" s="2"/>
      <c r="AV70" s="2"/>
      <c r="AW70" s="2"/>
      <c r="AX70" s="2"/>
      <c r="AY70" s="2"/>
      <c r="AZ70" s="2"/>
    </row>
    <row r="71" spans="1:52" x14ac:dyDescent="0.2">
      <c r="A71" s="15" t="s">
        <v>44</v>
      </c>
      <c r="B71" s="149">
        <v>-459</v>
      </c>
      <c r="C71" s="149">
        <v>0</v>
      </c>
      <c r="D71" s="149">
        <v>-2863</v>
      </c>
      <c r="E71" s="149">
        <v>0</v>
      </c>
      <c r="F71" s="149">
        <v>-3322</v>
      </c>
      <c r="G71" s="149">
        <v>-397</v>
      </c>
      <c r="H71" s="149">
        <v>-4708</v>
      </c>
      <c r="I71" s="149">
        <v>-7910</v>
      </c>
      <c r="J71" s="144">
        <f>K71-G71-H71-I71</f>
        <v>-1180</v>
      </c>
      <c r="K71" s="149">
        <v>-14195</v>
      </c>
      <c r="L71" s="110"/>
      <c r="M71" s="149">
        <v>-6855</v>
      </c>
      <c r="N71" s="149">
        <v>-2849</v>
      </c>
      <c r="O71" s="149">
        <v>-5465</v>
      </c>
      <c r="P71" s="149">
        <f t="shared" si="48"/>
        <v>-3034</v>
      </c>
      <c r="Q71" s="149">
        <v>-18203</v>
      </c>
      <c r="R71" s="149">
        <v>-11913</v>
      </c>
      <c r="S71" s="334">
        <f t="shared" si="52"/>
        <v>-11913</v>
      </c>
      <c r="T71" s="149">
        <v>-11419</v>
      </c>
      <c r="U71" s="334">
        <f t="shared" si="53"/>
        <v>-11419</v>
      </c>
      <c r="V71" s="149">
        <v>-9004</v>
      </c>
      <c r="W71" s="334">
        <f t="shared" si="54"/>
        <v>-9004</v>
      </c>
      <c r="X71" s="203">
        <f t="shared" si="49"/>
        <v>-11118</v>
      </c>
      <c r="Y71" s="334">
        <f t="shared" si="49"/>
        <v>-11118</v>
      </c>
      <c r="Z71" s="306">
        <v>-43454</v>
      </c>
      <c r="AA71" s="334">
        <f t="shared" si="50"/>
        <v>-43454</v>
      </c>
      <c r="AB71" s="306">
        <v>-13504</v>
      </c>
      <c r="AC71" s="306">
        <v>-9632</v>
      </c>
      <c r="AD71" s="306">
        <v>-9657</v>
      </c>
      <c r="AE71" s="306">
        <f t="shared" si="51"/>
        <v>-10316</v>
      </c>
      <c r="AF71" s="354">
        <v>-43109</v>
      </c>
      <c r="AG71" s="354">
        <v>-15408</v>
      </c>
      <c r="AH71" s="354">
        <v>-12130</v>
      </c>
      <c r="AI71" s="354">
        <v>-8346</v>
      </c>
      <c r="AJ71" s="2"/>
      <c r="AK71" s="170">
        <v>0</v>
      </c>
      <c r="AL71" s="2"/>
      <c r="AM71" s="2"/>
      <c r="AN71" s="2"/>
      <c r="AO71" s="2"/>
      <c r="AP71" s="2"/>
      <c r="AQ71" s="2"/>
      <c r="AR71" s="2"/>
      <c r="AS71" s="2"/>
      <c r="AT71" s="2"/>
      <c r="AU71" s="2"/>
      <c r="AV71" s="2"/>
      <c r="AW71" s="2"/>
      <c r="AX71" s="2"/>
      <c r="AY71" s="2"/>
      <c r="AZ71" s="2"/>
    </row>
    <row r="72" spans="1:52" x14ac:dyDescent="0.2">
      <c r="A72" s="55" t="s">
        <v>81</v>
      </c>
      <c r="B72" s="148">
        <f t="shared" ref="B72:G72" si="55">SUM(B57:B71)</f>
        <v>926</v>
      </c>
      <c r="C72" s="148">
        <f t="shared" si="55"/>
        <v>864</v>
      </c>
      <c r="D72" s="148">
        <f t="shared" si="55"/>
        <v>-949</v>
      </c>
      <c r="E72" s="148">
        <f t="shared" si="55"/>
        <v>52105</v>
      </c>
      <c r="F72" s="148">
        <f t="shared" si="55"/>
        <v>52946</v>
      </c>
      <c r="G72" s="148">
        <f t="shared" si="55"/>
        <v>31213</v>
      </c>
      <c r="H72" s="148">
        <f t="shared" ref="H72" si="56">SUM(H57:H71)</f>
        <v>-14384</v>
      </c>
      <c r="I72" s="148">
        <v>-7315</v>
      </c>
      <c r="J72" s="148">
        <f>SUM(J57:J71)</f>
        <v>505</v>
      </c>
      <c r="K72" s="148">
        <f t="shared" ref="K72:Q72" si="57">SUM(K57:K71)</f>
        <v>10019</v>
      </c>
      <c r="L72" s="148"/>
      <c r="M72" s="148">
        <f t="shared" si="57"/>
        <v>-9968</v>
      </c>
      <c r="N72" s="148">
        <f t="shared" si="57"/>
        <v>-20781</v>
      </c>
      <c r="O72" s="148">
        <f t="shared" si="57"/>
        <v>-3486</v>
      </c>
      <c r="P72" s="148">
        <f t="shared" si="57"/>
        <v>1509</v>
      </c>
      <c r="Q72" s="148">
        <f t="shared" si="57"/>
        <v>-32726</v>
      </c>
      <c r="R72" s="148">
        <f t="shared" ref="R72:W72" si="58">SUM(R57:R71)</f>
        <v>-11765</v>
      </c>
      <c r="S72" s="336">
        <f t="shared" si="58"/>
        <v>-11765</v>
      </c>
      <c r="T72" s="148">
        <f t="shared" si="58"/>
        <v>-9883</v>
      </c>
      <c r="U72" s="336">
        <f t="shared" si="58"/>
        <v>-9883</v>
      </c>
      <c r="V72" s="148">
        <f t="shared" si="58"/>
        <v>-6546</v>
      </c>
      <c r="W72" s="336">
        <f t="shared" si="58"/>
        <v>-6546</v>
      </c>
      <c r="X72" s="148">
        <f t="shared" ref="X72:AB72" si="59">SUM(X57:X71)</f>
        <v>7719</v>
      </c>
      <c r="Y72" s="336">
        <f t="shared" ref="Y72" si="60">SUM(Y57:Y71)</f>
        <v>7719</v>
      </c>
      <c r="Z72" s="242">
        <f t="shared" si="59"/>
        <v>-20475</v>
      </c>
      <c r="AA72" s="336">
        <f t="shared" si="59"/>
        <v>-20475</v>
      </c>
      <c r="AB72" s="242">
        <f t="shared" si="59"/>
        <v>-6151</v>
      </c>
      <c r="AC72" s="242">
        <f t="shared" ref="AC72:AD72" si="61">SUM(AC57:AC71)</f>
        <v>-9702</v>
      </c>
      <c r="AD72" s="242">
        <f t="shared" si="61"/>
        <v>223956</v>
      </c>
      <c r="AE72" s="242">
        <f t="shared" ref="AE72:AF72" si="62">SUM(AE57:AE71)</f>
        <v>-10324</v>
      </c>
      <c r="AF72" s="242">
        <f t="shared" si="62"/>
        <v>197779</v>
      </c>
      <c r="AG72" s="242">
        <f t="shared" ref="AG72:AH72" si="63">SUM(AG57:AG71)</f>
        <v>19808</v>
      </c>
      <c r="AH72" s="242">
        <f t="shared" si="63"/>
        <v>-80922</v>
      </c>
      <c r="AI72" s="242">
        <f t="shared" ref="AI72" si="64">SUM(AI57:AI71)</f>
        <v>-16586</v>
      </c>
      <c r="AJ72" s="2"/>
      <c r="AK72" s="170">
        <v>0</v>
      </c>
      <c r="AL72" s="2"/>
      <c r="AM72" s="2"/>
      <c r="AN72" s="2"/>
      <c r="AO72" s="2"/>
      <c r="AP72" s="2"/>
      <c r="AQ72" s="2"/>
      <c r="AR72" s="2"/>
      <c r="AS72" s="2"/>
      <c r="AT72" s="2"/>
      <c r="AU72" s="2"/>
      <c r="AV72" s="2"/>
      <c r="AW72" s="2"/>
      <c r="AX72" s="2"/>
      <c r="AY72" s="2"/>
      <c r="AZ72" s="2"/>
    </row>
    <row r="73" spans="1:52" x14ac:dyDescent="0.2">
      <c r="A73" s="56" t="s">
        <v>82</v>
      </c>
      <c r="B73" s="147">
        <v>0</v>
      </c>
      <c r="C73" s="147">
        <v>0</v>
      </c>
      <c r="D73" s="147">
        <v>0</v>
      </c>
      <c r="E73" s="147">
        <v>0</v>
      </c>
      <c r="F73" s="147">
        <v>0</v>
      </c>
      <c r="G73" s="147">
        <v>0</v>
      </c>
      <c r="H73" s="147">
        <v>0</v>
      </c>
      <c r="I73" s="147">
        <v>0</v>
      </c>
      <c r="J73" s="147">
        <v>0</v>
      </c>
      <c r="K73" s="147">
        <v>0</v>
      </c>
      <c r="L73" s="110"/>
      <c r="M73" s="147"/>
      <c r="N73" s="147"/>
      <c r="O73" s="147"/>
      <c r="P73" s="147"/>
      <c r="Q73" s="147">
        <v>0</v>
      </c>
      <c r="R73" s="147"/>
      <c r="S73" s="340"/>
      <c r="T73" s="147"/>
      <c r="U73" s="340"/>
      <c r="V73" s="147"/>
      <c r="W73" s="340"/>
      <c r="X73" s="147"/>
      <c r="Y73" s="340"/>
      <c r="Z73" s="243"/>
      <c r="AA73" s="340"/>
      <c r="AB73" s="243"/>
      <c r="AC73" s="243"/>
      <c r="AD73" s="243"/>
      <c r="AE73" s="243"/>
      <c r="AF73" s="243"/>
      <c r="AG73" s="243"/>
      <c r="AH73" s="243"/>
      <c r="AI73" s="243"/>
      <c r="AJ73" s="2"/>
      <c r="AK73" s="170"/>
      <c r="AL73" s="2"/>
      <c r="AM73" s="2"/>
      <c r="AN73" s="2"/>
      <c r="AO73" s="2"/>
      <c r="AP73" s="2"/>
      <c r="AQ73" s="2"/>
      <c r="AR73" s="2"/>
      <c r="AS73" s="2"/>
      <c r="AT73" s="2"/>
      <c r="AU73" s="2"/>
      <c r="AV73" s="2"/>
      <c r="AW73" s="2"/>
      <c r="AX73" s="2"/>
      <c r="AY73" s="2"/>
      <c r="AZ73" s="2"/>
    </row>
    <row r="74" spans="1:52" x14ac:dyDescent="0.2">
      <c r="A74" s="17" t="s">
        <v>21</v>
      </c>
      <c r="B74" s="146"/>
      <c r="C74" s="146"/>
      <c r="D74" s="146"/>
      <c r="E74" s="146"/>
      <c r="F74" s="146"/>
      <c r="G74" s="146"/>
      <c r="H74" s="146"/>
      <c r="I74" s="146"/>
      <c r="J74" s="146"/>
      <c r="K74" s="146"/>
      <c r="L74" s="110"/>
      <c r="M74" s="146"/>
      <c r="N74" s="146"/>
      <c r="O74" s="146"/>
      <c r="P74" s="146"/>
      <c r="Q74" s="146"/>
      <c r="R74" s="146"/>
      <c r="S74" s="333"/>
      <c r="T74" s="146"/>
      <c r="U74" s="333"/>
      <c r="V74" s="2"/>
      <c r="W74" s="333"/>
      <c r="X74" s="2"/>
      <c r="Y74" s="333"/>
      <c r="Z74" s="245"/>
      <c r="AA74" s="333"/>
      <c r="AB74" s="245"/>
      <c r="AC74" s="245"/>
      <c r="AD74" s="245"/>
      <c r="AE74" s="245"/>
      <c r="AF74" s="245"/>
      <c r="AG74" s="245"/>
      <c r="AH74" s="245"/>
      <c r="AI74" s="391"/>
      <c r="AJ74" s="2"/>
      <c r="AK74" s="170"/>
      <c r="AL74" s="2"/>
      <c r="AM74" s="2"/>
      <c r="AN74" s="2"/>
      <c r="AO74" s="2"/>
      <c r="AP74" s="2"/>
      <c r="AQ74" s="2"/>
      <c r="AR74" s="2"/>
      <c r="AS74" s="2"/>
      <c r="AT74" s="2"/>
      <c r="AU74" s="2"/>
      <c r="AV74" s="2"/>
      <c r="AW74" s="2"/>
      <c r="AX74" s="2"/>
      <c r="AY74" s="2"/>
      <c r="AZ74" s="2"/>
    </row>
    <row r="75" spans="1:52" x14ac:dyDescent="0.2">
      <c r="A75" s="54" t="s">
        <v>77</v>
      </c>
      <c r="B75" s="145">
        <f t="shared" ref="B75:F75" si="65">SUM(B72:B73)</f>
        <v>926</v>
      </c>
      <c r="C75" s="145">
        <f t="shared" si="65"/>
        <v>864</v>
      </c>
      <c r="D75" s="145">
        <f t="shared" si="65"/>
        <v>-949</v>
      </c>
      <c r="E75" s="145">
        <f t="shared" si="65"/>
        <v>52105</v>
      </c>
      <c r="F75" s="145">
        <f t="shared" si="65"/>
        <v>52946</v>
      </c>
      <c r="G75" s="145">
        <f t="shared" ref="G75:H75" si="66">SUM(G72:G73)</f>
        <v>31213</v>
      </c>
      <c r="H75" s="145">
        <f t="shared" si="66"/>
        <v>-14384</v>
      </c>
      <c r="I75" s="145">
        <v>-7315</v>
      </c>
      <c r="J75" s="145">
        <f>SUM(J72:J73)</f>
        <v>505</v>
      </c>
      <c r="K75" s="145">
        <f t="shared" ref="K75:Q75" si="67">SUM(K72:K73)</f>
        <v>10019</v>
      </c>
      <c r="L75" s="145"/>
      <c r="M75" s="145">
        <f t="shared" si="67"/>
        <v>-9968</v>
      </c>
      <c r="N75" s="145">
        <f t="shared" si="67"/>
        <v>-20781</v>
      </c>
      <c r="O75" s="145">
        <f t="shared" si="67"/>
        <v>-3486</v>
      </c>
      <c r="P75" s="145">
        <f t="shared" si="67"/>
        <v>1509</v>
      </c>
      <c r="Q75" s="145">
        <f t="shared" si="67"/>
        <v>-32726</v>
      </c>
      <c r="R75" s="145">
        <f t="shared" ref="R75:X75" si="68">SUM(R72:R73)</f>
        <v>-11765</v>
      </c>
      <c r="S75" s="338">
        <f t="shared" si="68"/>
        <v>-11765</v>
      </c>
      <c r="T75" s="145">
        <f t="shared" si="68"/>
        <v>-9883</v>
      </c>
      <c r="U75" s="338">
        <f t="shared" si="68"/>
        <v>-9883</v>
      </c>
      <c r="V75" s="145">
        <f t="shared" si="68"/>
        <v>-6546</v>
      </c>
      <c r="W75" s="338">
        <f t="shared" si="68"/>
        <v>-6546</v>
      </c>
      <c r="X75" s="145">
        <f t="shared" si="68"/>
        <v>7719</v>
      </c>
      <c r="Y75" s="338">
        <f t="shared" ref="Y75" si="69">SUM(Y72:Y73)</f>
        <v>7719</v>
      </c>
      <c r="Z75" s="244">
        <f t="shared" ref="Z75:AB75" si="70">SUM(Z72:Z73)</f>
        <v>-20475</v>
      </c>
      <c r="AA75" s="338">
        <f t="shared" si="70"/>
        <v>-20475</v>
      </c>
      <c r="AB75" s="244">
        <f t="shared" si="70"/>
        <v>-6151</v>
      </c>
      <c r="AC75" s="244">
        <f t="shared" ref="AC75:AD75" si="71">SUM(AC72:AC73)</f>
        <v>-9702</v>
      </c>
      <c r="AD75" s="244">
        <f t="shared" si="71"/>
        <v>223956</v>
      </c>
      <c r="AE75" s="244">
        <f t="shared" ref="AE75:AF75" si="72">SUM(AE72:AE73)</f>
        <v>-10324</v>
      </c>
      <c r="AF75" s="244">
        <f t="shared" si="72"/>
        <v>197779</v>
      </c>
      <c r="AG75" s="244">
        <f t="shared" ref="AG75:AH75" si="73">SUM(AG72:AG73)</f>
        <v>19808</v>
      </c>
      <c r="AH75" s="244">
        <f t="shared" si="73"/>
        <v>-80922</v>
      </c>
      <c r="AI75" s="244">
        <f t="shared" ref="AI75" si="74">SUM(AI72:AI73)</f>
        <v>-16586</v>
      </c>
      <c r="AJ75" s="2"/>
      <c r="AK75" s="170"/>
      <c r="AL75" s="2"/>
      <c r="AM75" s="2"/>
      <c r="AN75" s="2"/>
      <c r="AO75" s="2"/>
      <c r="AP75" s="2"/>
      <c r="AQ75" s="2"/>
      <c r="AR75" s="2"/>
      <c r="AS75" s="2"/>
      <c r="AT75" s="2"/>
      <c r="AU75" s="2"/>
      <c r="AV75" s="2"/>
      <c r="AW75" s="2"/>
      <c r="AX75" s="2"/>
      <c r="AY75" s="2"/>
      <c r="AZ75" s="2"/>
    </row>
    <row r="76" spans="1:52" x14ac:dyDescent="0.2">
      <c r="A76" s="16"/>
      <c r="L76" s="110"/>
      <c r="S76" s="332"/>
      <c r="T76" s="110"/>
      <c r="U76" s="332"/>
      <c r="V76" s="2"/>
      <c r="W76" s="332"/>
      <c r="X76" s="2"/>
      <c r="Y76" s="332"/>
      <c r="Z76" s="245"/>
      <c r="AA76" s="332"/>
      <c r="AB76" s="245"/>
      <c r="AC76" s="245"/>
      <c r="AD76" s="245"/>
      <c r="AE76" s="245"/>
      <c r="AF76" s="354"/>
      <c r="AG76" s="354"/>
      <c r="AH76" s="354"/>
      <c r="AI76" s="354"/>
      <c r="AJ76" s="2"/>
      <c r="AK76" s="170"/>
      <c r="AL76" s="2"/>
      <c r="AM76" s="2"/>
      <c r="AN76" s="2"/>
      <c r="AO76" s="2"/>
      <c r="AP76" s="2"/>
      <c r="AQ76" s="2"/>
      <c r="AR76" s="2"/>
      <c r="AS76" s="2"/>
      <c r="AT76" s="2"/>
      <c r="AU76" s="2"/>
      <c r="AV76" s="2"/>
      <c r="AW76" s="2"/>
      <c r="AX76" s="2"/>
      <c r="AY76" s="2"/>
      <c r="AZ76" s="2"/>
    </row>
    <row r="77" spans="1:52" x14ac:dyDescent="0.2">
      <c r="A77" s="16" t="s">
        <v>57</v>
      </c>
      <c r="B77" s="144">
        <v>1420</v>
      </c>
      <c r="C77" s="144">
        <v>-46</v>
      </c>
      <c r="D77" s="144">
        <v>-2536</v>
      </c>
      <c r="E77" s="171">
        <v>-1747</v>
      </c>
      <c r="F77" s="144">
        <v>-2909</v>
      </c>
      <c r="G77" s="144">
        <v>-350</v>
      </c>
      <c r="H77" s="144">
        <v>-982</v>
      </c>
      <c r="I77" s="144">
        <v>-2656</v>
      </c>
      <c r="J77" s="144">
        <f t="shared" ref="J77" si="75">K77-G77-H77-I77</f>
        <v>-358</v>
      </c>
      <c r="K77" s="144">
        <v>-4346</v>
      </c>
      <c r="L77" s="110"/>
      <c r="M77" s="144">
        <v>640</v>
      </c>
      <c r="N77" s="144">
        <v>-3048</v>
      </c>
      <c r="O77" s="144">
        <v>-106</v>
      </c>
      <c r="P77" s="144">
        <f>Q77-M77-N77-O77</f>
        <v>-2519</v>
      </c>
      <c r="Q77" s="144">
        <v>-5033</v>
      </c>
      <c r="R77" s="144">
        <v>309</v>
      </c>
      <c r="S77" s="335">
        <v>469</v>
      </c>
      <c r="T77" s="110">
        <v>1091</v>
      </c>
      <c r="U77" s="335">
        <v>1110</v>
      </c>
      <c r="V77" s="110">
        <v>262</v>
      </c>
      <c r="W77" s="335">
        <v>224</v>
      </c>
      <c r="X77" s="110">
        <f t="shared" ref="X77:Y77" si="76">+Z77-SUM(R77,T77,V77)</f>
        <v>2049</v>
      </c>
      <c r="Y77" s="335">
        <f t="shared" si="76"/>
        <v>2132</v>
      </c>
      <c r="Z77" s="246">
        <v>3711</v>
      </c>
      <c r="AA77" s="335">
        <v>3935</v>
      </c>
      <c r="AB77" s="246">
        <v>-644</v>
      </c>
      <c r="AC77" s="246">
        <v>-1938</v>
      </c>
      <c r="AD77" s="246">
        <v>-426</v>
      </c>
      <c r="AE77" s="257">
        <f t="shared" ref="AE77" si="77">+AF77-SUM(AB77:AD77)</f>
        <v>140</v>
      </c>
      <c r="AF77" s="354">
        <v>-2868</v>
      </c>
      <c r="AG77" s="354">
        <v>-455</v>
      </c>
      <c r="AH77" s="354">
        <v>215</v>
      </c>
      <c r="AI77" s="354">
        <v>-1521</v>
      </c>
      <c r="AJ77" s="2"/>
      <c r="AK77" s="170">
        <v>0</v>
      </c>
      <c r="AL77" s="2"/>
      <c r="AM77" s="2"/>
      <c r="AN77" s="2"/>
      <c r="AO77" s="2"/>
      <c r="AP77" s="2"/>
      <c r="AQ77" s="2"/>
      <c r="AR77" s="2"/>
      <c r="AS77" s="2"/>
      <c r="AT77" s="2"/>
      <c r="AU77" s="2"/>
      <c r="AV77" s="2"/>
      <c r="AW77" s="2"/>
      <c r="AX77" s="2"/>
      <c r="AY77" s="2"/>
      <c r="AZ77" s="2"/>
    </row>
    <row r="78" spans="1:52" x14ac:dyDescent="0.2">
      <c r="A78" s="17" t="s">
        <v>21</v>
      </c>
      <c r="L78" s="110"/>
      <c r="S78" s="332"/>
      <c r="T78" s="110"/>
      <c r="U78" s="332"/>
      <c r="V78" s="2"/>
      <c r="W78" s="332"/>
      <c r="X78" s="2"/>
      <c r="Y78" s="332"/>
      <c r="Z78" s="245"/>
      <c r="AA78" s="332"/>
      <c r="AB78" s="245"/>
      <c r="AC78" s="245"/>
      <c r="AD78" s="245"/>
      <c r="AE78" s="245"/>
      <c r="AF78" s="354"/>
      <c r="AG78" s="354"/>
      <c r="AH78" s="354"/>
      <c r="AI78" s="354"/>
      <c r="AJ78" s="2"/>
      <c r="AK78" s="170"/>
      <c r="AL78" s="2"/>
      <c r="AM78" s="2"/>
      <c r="AN78" s="2"/>
      <c r="AO78" s="2"/>
      <c r="AP78" s="2"/>
      <c r="AQ78" s="2"/>
      <c r="AR78" s="2"/>
      <c r="AS78" s="2"/>
      <c r="AT78" s="2"/>
      <c r="AU78" s="2"/>
      <c r="AV78" s="2"/>
      <c r="AW78" s="2"/>
      <c r="AX78" s="2"/>
      <c r="AY78" s="2"/>
      <c r="AZ78" s="2"/>
    </row>
    <row r="79" spans="1:52" x14ac:dyDescent="0.2">
      <c r="A79" s="13" t="s">
        <v>119</v>
      </c>
      <c r="B79" s="143">
        <v>-4373</v>
      </c>
      <c r="C79" s="143">
        <v>17244</v>
      </c>
      <c r="D79" s="143">
        <v>491</v>
      </c>
      <c r="E79" s="143">
        <v>15072</v>
      </c>
      <c r="F79" s="143">
        <f>F75+F54+F42+F77</f>
        <v>28434</v>
      </c>
      <c r="G79" s="143">
        <f>G75+G54+G42+G77</f>
        <v>-25180.181858416716</v>
      </c>
      <c r="H79" s="143">
        <f>H75+H54+H42+H77</f>
        <v>-56667.818141583281</v>
      </c>
      <c r="I79" s="143">
        <v>-3995</v>
      </c>
      <c r="J79" s="143">
        <f>J75+J54+J42+J77</f>
        <v>114667</v>
      </c>
      <c r="K79" s="143">
        <f>K75+K54+K42+K77</f>
        <v>28824</v>
      </c>
      <c r="L79" s="143"/>
      <c r="M79" s="143">
        <f t="shared" ref="M79:AH79" si="78">M75+M54+M42+M77</f>
        <v>-109549</v>
      </c>
      <c r="N79" s="143">
        <f t="shared" si="78"/>
        <v>-2661</v>
      </c>
      <c r="O79" s="143">
        <f t="shared" si="78"/>
        <v>5261</v>
      </c>
      <c r="P79" s="143">
        <f t="shared" si="78"/>
        <v>114781</v>
      </c>
      <c r="Q79" s="143">
        <f t="shared" si="78"/>
        <v>7832</v>
      </c>
      <c r="R79" s="146">
        <f t="shared" si="78"/>
        <v>-121454.38246057143</v>
      </c>
      <c r="S79" s="333">
        <f t="shared" si="78"/>
        <v>-122345.83199999999</v>
      </c>
      <c r="T79" s="146">
        <f t="shared" si="78"/>
        <v>-2285.5344994285697</v>
      </c>
      <c r="U79" s="333">
        <f t="shared" si="78"/>
        <v>-3044.5344994285697</v>
      </c>
      <c r="V79" s="146">
        <f t="shared" si="78"/>
        <v>-1748.9707400000043</v>
      </c>
      <c r="W79" s="333">
        <f t="shared" si="78"/>
        <v>-1715.9707400000043</v>
      </c>
      <c r="X79" s="146">
        <f t="shared" si="78"/>
        <v>-870.11230000000069</v>
      </c>
      <c r="Y79" s="333">
        <f t="shared" si="78"/>
        <v>989.33723942856886</v>
      </c>
      <c r="Z79" s="247">
        <f t="shared" si="78"/>
        <v>-126360</v>
      </c>
      <c r="AA79" s="333">
        <f t="shared" si="78"/>
        <v>-126117</v>
      </c>
      <c r="AB79" s="247">
        <f t="shared" si="78"/>
        <v>-17812</v>
      </c>
      <c r="AC79" s="247">
        <f t="shared" si="78"/>
        <v>13527</v>
      </c>
      <c r="AD79" s="247">
        <f t="shared" si="78"/>
        <v>15822</v>
      </c>
      <c r="AE79" s="247">
        <f t="shared" si="78"/>
        <v>-1682.5240648213221</v>
      </c>
      <c r="AF79" s="247">
        <f t="shared" si="78"/>
        <v>9854.4759351786925</v>
      </c>
      <c r="AG79" s="247">
        <f t="shared" si="78"/>
        <v>-9504.3735648213187</v>
      </c>
      <c r="AH79" s="247">
        <f t="shared" si="78"/>
        <v>-3180.1717051786763</v>
      </c>
      <c r="AI79" s="247">
        <f t="shared" ref="AI79" si="79">AI75+AI54+AI42+AI77</f>
        <v>17837.828320000001</v>
      </c>
      <c r="AJ79" s="2"/>
      <c r="AK79" s="170"/>
      <c r="AL79" s="2"/>
      <c r="AM79" s="2"/>
      <c r="AN79" s="2"/>
      <c r="AO79" s="2"/>
      <c r="AP79" s="2"/>
      <c r="AQ79" s="2"/>
      <c r="AR79" s="2"/>
      <c r="AS79" s="2"/>
      <c r="AT79" s="2"/>
      <c r="AU79" s="2"/>
      <c r="AV79" s="2"/>
      <c r="AW79" s="2"/>
      <c r="AX79" s="2"/>
      <c r="AY79" s="2"/>
      <c r="AZ79" s="2"/>
    </row>
    <row r="80" spans="1:52" x14ac:dyDescent="0.2">
      <c r="A80" s="37" t="s">
        <v>120</v>
      </c>
      <c r="B80" s="131">
        <v>148065.14944958445</v>
      </c>
      <c r="C80" s="131">
        <v>143692.14944958445</v>
      </c>
      <c r="D80" s="131">
        <v>160936.14944958445</v>
      </c>
      <c r="E80" s="131">
        <v>161427.14944958445</v>
      </c>
      <c r="F80" s="131">
        <v>148065.14944958445</v>
      </c>
      <c r="G80" s="131">
        <f>ROUND($F$82,0)</f>
        <v>176499</v>
      </c>
      <c r="H80" s="131">
        <f>G82</f>
        <v>151318.8181415833</v>
      </c>
      <c r="I80" s="131">
        <v>94651.000000000015</v>
      </c>
      <c r="J80" s="144">
        <f>I82</f>
        <v>90656.000000000015</v>
      </c>
      <c r="K80" s="131">
        <f>F82</f>
        <v>176499.14944958445</v>
      </c>
      <c r="L80" s="110"/>
      <c r="M80" s="131">
        <f>K82</f>
        <v>205323.14944958445</v>
      </c>
      <c r="N80" s="131">
        <f>M82</f>
        <v>95774.149449584453</v>
      </c>
      <c r="O80" s="131">
        <v>93113.149449584453</v>
      </c>
      <c r="P80" s="131">
        <f>O82</f>
        <v>98374.149449584453</v>
      </c>
      <c r="Q80" s="131">
        <f>K82</f>
        <v>205323.14944958445</v>
      </c>
      <c r="R80" s="149">
        <f>P82</f>
        <v>213155.14944958445</v>
      </c>
      <c r="S80" s="334">
        <v>220394</v>
      </c>
      <c r="T80" s="149">
        <f t="shared" ref="T80:Y80" si="80">+R82</f>
        <v>91699.76698901302</v>
      </c>
      <c r="U80" s="334">
        <f t="shared" si="80"/>
        <v>98048.168000000005</v>
      </c>
      <c r="V80" s="149">
        <f t="shared" si="80"/>
        <v>89414.23248958445</v>
      </c>
      <c r="W80" s="334">
        <f t="shared" si="80"/>
        <v>95003.633500571435</v>
      </c>
      <c r="X80" s="196">
        <f t="shared" si="80"/>
        <v>87665.261749584446</v>
      </c>
      <c r="Y80" s="334">
        <f t="shared" si="80"/>
        <v>93287.662760571431</v>
      </c>
      <c r="Z80" s="248">
        <f>+Q82</f>
        <v>213155.14944958445</v>
      </c>
      <c r="AA80" s="334">
        <f>+S80</f>
        <v>220394</v>
      </c>
      <c r="AB80" s="248">
        <f>AA82</f>
        <v>94277</v>
      </c>
      <c r="AC80" s="248">
        <f>AB84</f>
        <v>76465</v>
      </c>
      <c r="AD80" s="248">
        <f>AC84</f>
        <v>89992</v>
      </c>
      <c r="AE80" s="248">
        <f>AD84</f>
        <v>105814</v>
      </c>
      <c r="AF80" s="248">
        <f>AA82</f>
        <v>94277</v>
      </c>
      <c r="AG80" s="248">
        <f>AE82</f>
        <v>104131.47593517868</v>
      </c>
      <c r="AH80" s="248">
        <f>AG82</f>
        <v>94627.102370357359</v>
      </c>
      <c r="AI80" s="392">
        <f>AH82</f>
        <v>91446.93066517869</v>
      </c>
      <c r="AJ80" s="2"/>
      <c r="AK80" s="170"/>
      <c r="AL80" s="2"/>
      <c r="AM80" s="2"/>
      <c r="AN80" s="2"/>
      <c r="AO80" s="2"/>
      <c r="AP80" s="2"/>
      <c r="AQ80" s="2"/>
      <c r="AR80" s="2"/>
      <c r="AS80" s="2"/>
      <c r="AT80" s="2"/>
      <c r="AU80" s="2"/>
      <c r="AV80" s="2"/>
      <c r="AW80" s="2"/>
      <c r="AX80" s="2"/>
      <c r="AY80" s="2"/>
      <c r="AZ80" s="2"/>
    </row>
    <row r="81" spans="1:52" x14ac:dyDescent="0.2">
      <c r="A81" s="37" t="s">
        <v>165</v>
      </c>
      <c r="B81" s="131"/>
      <c r="C81" s="131"/>
      <c r="D81" s="131"/>
      <c r="E81" s="131"/>
      <c r="F81" s="131"/>
      <c r="G81" s="131"/>
      <c r="H81" s="131"/>
      <c r="I81" s="131"/>
      <c r="J81" s="144"/>
      <c r="K81" s="131"/>
      <c r="L81" s="110"/>
      <c r="M81" s="131"/>
      <c r="N81" s="131"/>
      <c r="O81" s="131"/>
      <c r="P81" s="131"/>
      <c r="Q81" s="131"/>
      <c r="R81" s="149"/>
      <c r="S81" s="334"/>
      <c r="T81" s="149"/>
      <c r="U81" s="334"/>
      <c r="V81" s="2"/>
      <c r="W81" s="334"/>
      <c r="X81" s="2"/>
      <c r="Y81" s="334"/>
      <c r="Z81" s="245"/>
      <c r="AA81" s="334"/>
      <c r="AB81" s="245"/>
      <c r="AC81" s="245"/>
      <c r="AD81" s="245"/>
      <c r="AE81" s="245"/>
      <c r="AF81" s="245"/>
      <c r="AG81" s="245"/>
      <c r="AH81" s="245"/>
      <c r="AI81" s="391"/>
      <c r="AJ81" s="2"/>
      <c r="AK81" s="170"/>
      <c r="AL81" s="2"/>
      <c r="AM81" s="2"/>
      <c r="AN81" s="2"/>
      <c r="AO81" s="2"/>
      <c r="AP81" s="2"/>
      <c r="AQ81" s="2"/>
      <c r="AR81" s="2"/>
      <c r="AS81" s="2"/>
      <c r="AT81" s="2"/>
      <c r="AU81" s="2"/>
      <c r="AV81" s="2"/>
      <c r="AW81" s="2"/>
      <c r="AX81" s="2"/>
      <c r="AY81" s="2"/>
      <c r="AZ81" s="2"/>
    </row>
    <row r="82" spans="1:52" x14ac:dyDescent="0.2">
      <c r="A82" s="37" t="s">
        <v>45</v>
      </c>
      <c r="B82" s="131">
        <v>143692.14944958445</v>
      </c>
      <c r="C82" s="131">
        <v>160936.14944958445</v>
      </c>
      <c r="D82" s="131">
        <v>161427.14944958445</v>
      </c>
      <c r="E82" s="131">
        <v>176499.14944958445</v>
      </c>
      <c r="F82" s="131">
        <f t="shared" ref="F82" si="81">SUM(F79:F80)</f>
        <v>176499.14944958445</v>
      </c>
      <c r="G82" s="131">
        <f>SUM(G79:G80)</f>
        <v>151318.8181415833</v>
      </c>
      <c r="H82" s="131">
        <f>SUM(H79:H80)</f>
        <v>94651.000000000015</v>
      </c>
      <c r="I82" s="131">
        <v>90656.000000000015</v>
      </c>
      <c r="J82" s="131">
        <f>SUM(J79:J81)</f>
        <v>205323</v>
      </c>
      <c r="K82" s="131">
        <f>SUM(K79:K81)</f>
        <v>205323.14944958445</v>
      </c>
      <c r="L82" s="131"/>
      <c r="M82" s="131">
        <f t="shared" ref="M82:Q82" si="82">SUM(M79:M81)</f>
        <v>95774.149449584453</v>
      </c>
      <c r="N82" s="131">
        <f t="shared" si="82"/>
        <v>93113.149449584453</v>
      </c>
      <c r="O82" s="131">
        <f t="shared" si="82"/>
        <v>98374.149449584453</v>
      </c>
      <c r="P82" s="131">
        <f t="shared" si="82"/>
        <v>213155.14944958445</v>
      </c>
      <c r="Q82" s="131">
        <f t="shared" si="82"/>
        <v>213155.14944958445</v>
      </c>
      <c r="R82" s="149">
        <f>SUM(R79:R81)-1</f>
        <v>91699.76698901302</v>
      </c>
      <c r="S82" s="334">
        <f t="shared" ref="S82:AC82" si="83">SUM(S79:S81)</f>
        <v>98048.168000000005</v>
      </c>
      <c r="T82" s="149">
        <f t="shared" si="83"/>
        <v>89414.23248958445</v>
      </c>
      <c r="U82" s="334">
        <f t="shared" si="83"/>
        <v>95003.633500571435</v>
      </c>
      <c r="V82" s="149">
        <f t="shared" si="83"/>
        <v>87665.261749584446</v>
      </c>
      <c r="W82" s="334">
        <f t="shared" si="83"/>
        <v>93287.662760571431</v>
      </c>
      <c r="X82" s="149">
        <f t="shared" si="83"/>
        <v>86795.149449584453</v>
      </c>
      <c r="Y82" s="334">
        <f t="shared" si="83"/>
        <v>94277</v>
      </c>
      <c r="Z82" s="249">
        <f t="shared" si="83"/>
        <v>86795.149449584453</v>
      </c>
      <c r="AA82" s="334">
        <f t="shared" si="83"/>
        <v>94277</v>
      </c>
      <c r="AB82" s="249">
        <f t="shared" si="83"/>
        <v>76465</v>
      </c>
      <c r="AC82" s="249">
        <f t="shared" si="83"/>
        <v>89992</v>
      </c>
      <c r="AD82" s="249">
        <f t="shared" ref="AD82:AE82" si="84">SUM(AD79:AD81)</f>
        <v>105814</v>
      </c>
      <c r="AE82" s="249">
        <f t="shared" si="84"/>
        <v>104131.47593517868</v>
      </c>
      <c r="AF82" s="249">
        <f t="shared" ref="AF82:AH82" si="85">SUM(AF79:AF81)</f>
        <v>104131.47593517869</v>
      </c>
      <c r="AG82" s="249">
        <f t="shared" si="85"/>
        <v>94627.102370357359</v>
      </c>
      <c r="AH82" s="249">
        <f t="shared" si="85"/>
        <v>91446.93066517869</v>
      </c>
      <c r="AI82" s="249">
        <f t="shared" ref="AI82" si="86">SUM(AI79:AI81)</f>
        <v>109284.75898517869</v>
      </c>
      <c r="AJ82" s="2"/>
      <c r="AK82" s="170">
        <v>0.24101482130936347</v>
      </c>
      <c r="AL82" s="2"/>
      <c r="AM82" s="2"/>
      <c r="AN82" s="2"/>
      <c r="AO82" s="2"/>
      <c r="AP82" s="2"/>
      <c r="AQ82" s="2"/>
      <c r="AR82" s="2"/>
      <c r="AS82" s="2"/>
      <c r="AT82" s="2"/>
      <c r="AU82" s="2"/>
      <c r="AV82" s="2"/>
      <c r="AW82" s="2"/>
      <c r="AX82" s="2"/>
      <c r="AY82" s="2"/>
      <c r="AZ82" s="2"/>
    </row>
    <row r="83" spans="1:52" x14ac:dyDescent="0.2">
      <c r="A83" s="16" t="s">
        <v>121</v>
      </c>
      <c r="B83" s="131">
        <v>0</v>
      </c>
      <c r="C83" s="131">
        <v>0</v>
      </c>
      <c r="D83" s="131">
        <v>0</v>
      </c>
      <c r="E83" s="131">
        <v>0</v>
      </c>
      <c r="F83" s="254">
        <v>0</v>
      </c>
      <c r="G83" s="254">
        <v>0</v>
      </c>
      <c r="H83" s="254">
        <v>0</v>
      </c>
      <c r="I83" s="254">
        <v>0</v>
      </c>
      <c r="J83" s="254">
        <v>0</v>
      </c>
      <c r="K83" s="254">
        <v>0</v>
      </c>
      <c r="L83" s="261"/>
      <c r="M83" s="254">
        <v>0</v>
      </c>
      <c r="N83" s="254">
        <v>0</v>
      </c>
      <c r="O83" s="254">
        <v>0</v>
      </c>
      <c r="P83" s="254">
        <v>0</v>
      </c>
      <c r="Q83" s="254">
        <v>0</v>
      </c>
      <c r="R83" s="33">
        <v>0</v>
      </c>
      <c r="S83" s="281"/>
      <c r="T83" s="33">
        <v>0</v>
      </c>
      <c r="U83" s="281">
        <v>0</v>
      </c>
      <c r="V83" s="33">
        <v>0</v>
      </c>
      <c r="W83" s="281">
        <v>0</v>
      </c>
      <c r="X83" s="33">
        <v>0</v>
      </c>
      <c r="Y83" s="281">
        <v>0</v>
      </c>
      <c r="Z83" s="263">
        <v>0</v>
      </c>
      <c r="AA83" s="281">
        <v>0</v>
      </c>
      <c r="AB83" s="263">
        <v>0</v>
      </c>
      <c r="AC83" s="263">
        <v>0</v>
      </c>
      <c r="AD83" s="263">
        <v>0</v>
      </c>
      <c r="AE83" s="263">
        <v>0</v>
      </c>
      <c r="AF83" s="263">
        <v>0</v>
      </c>
      <c r="AG83" s="263">
        <v>0</v>
      </c>
      <c r="AH83" s="263">
        <v>0</v>
      </c>
      <c r="AI83" s="263">
        <v>0</v>
      </c>
      <c r="AJ83" s="2"/>
      <c r="AK83" s="170"/>
      <c r="AL83" s="2"/>
      <c r="AM83" s="2"/>
      <c r="AN83" s="2"/>
      <c r="AO83" s="2"/>
      <c r="AP83" s="2"/>
      <c r="AQ83" s="2"/>
      <c r="AR83" s="2"/>
      <c r="AS83" s="2"/>
      <c r="AT83" s="2"/>
      <c r="AU83" s="2"/>
      <c r="AV83" s="2"/>
      <c r="AW83" s="2"/>
      <c r="AX83" s="2"/>
      <c r="AY83" s="2"/>
      <c r="AZ83" s="2"/>
    </row>
    <row r="84" spans="1:52" x14ac:dyDescent="0.2">
      <c r="A84" s="54" t="s">
        <v>78</v>
      </c>
      <c r="B84" s="125">
        <f t="shared" ref="B84:F84" si="87">SUM(B82:B83)</f>
        <v>143692.14944958445</v>
      </c>
      <c r="C84" s="125">
        <f t="shared" si="87"/>
        <v>160936.14944958445</v>
      </c>
      <c r="D84" s="125">
        <f t="shared" si="87"/>
        <v>161427.14944958445</v>
      </c>
      <c r="E84" s="125">
        <f t="shared" si="87"/>
        <v>176499.14944958445</v>
      </c>
      <c r="F84" s="125">
        <f t="shared" si="87"/>
        <v>176499.14944958445</v>
      </c>
      <c r="G84" s="125">
        <f t="shared" ref="G84:H84" si="88">SUM(G82:G83)</f>
        <v>151318.8181415833</v>
      </c>
      <c r="H84" s="125">
        <f t="shared" si="88"/>
        <v>94651.000000000015</v>
      </c>
      <c r="I84" s="125">
        <v>90656.000000000015</v>
      </c>
      <c r="J84" s="125">
        <f t="shared" ref="J84:P84" si="89">SUM(J82:J83)</f>
        <v>205323</v>
      </c>
      <c r="K84" s="125">
        <f t="shared" si="89"/>
        <v>205323.14944958445</v>
      </c>
      <c r="L84" s="110"/>
      <c r="M84" s="125">
        <f t="shared" si="89"/>
        <v>95774.149449584453</v>
      </c>
      <c r="N84" s="125">
        <f t="shared" si="89"/>
        <v>93113.149449584453</v>
      </c>
      <c r="O84" s="125">
        <f t="shared" si="89"/>
        <v>98374.149449584453</v>
      </c>
      <c r="P84" s="125">
        <f t="shared" si="89"/>
        <v>213155.14944958445</v>
      </c>
      <c r="Q84" s="125">
        <f>SUM(Q82:Q83)</f>
        <v>213155.14944958445</v>
      </c>
      <c r="R84" s="145">
        <f t="shared" ref="R84:AB84" si="90">SUM(R82:R83)</f>
        <v>91699.76698901302</v>
      </c>
      <c r="S84" s="338">
        <f t="shared" si="90"/>
        <v>98048.168000000005</v>
      </c>
      <c r="T84" s="145">
        <f t="shared" si="90"/>
        <v>89414.23248958445</v>
      </c>
      <c r="U84" s="338">
        <f t="shared" ref="U84" si="91">SUM(U82:U83)</f>
        <v>95003.633500571435</v>
      </c>
      <c r="V84" s="145">
        <f t="shared" si="90"/>
        <v>87665.261749584446</v>
      </c>
      <c r="W84" s="338">
        <f t="shared" ref="W84" si="92">SUM(W82:W83)</f>
        <v>93287.662760571431</v>
      </c>
      <c r="X84" s="145">
        <f t="shared" si="90"/>
        <v>86795.149449584453</v>
      </c>
      <c r="Y84" s="338">
        <f t="shared" ref="Y84" si="93">SUM(Y82:Y83)</f>
        <v>94277</v>
      </c>
      <c r="Z84" s="244">
        <f t="shared" si="90"/>
        <v>86795.149449584453</v>
      </c>
      <c r="AA84" s="338">
        <f t="shared" ref="AA84" si="94">SUM(AA82:AA83)</f>
        <v>94277</v>
      </c>
      <c r="AB84" s="244">
        <f t="shared" si="90"/>
        <v>76465</v>
      </c>
      <c r="AC84" s="244">
        <f t="shared" ref="AC84:AD84" si="95">SUM(AC82:AC83)</f>
        <v>89992</v>
      </c>
      <c r="AD84" s="244">
        <f t="shared" si="95"/>
        <v>105814</v>
      </c>
      <c r="AE84" s="244">
        <f t="shared" ref="AE84:AF84" si="96">SUM(AE82:AE83)</f>
        <v>104131.47593517868</v>
      </c>
      <c r="AF84" s="244">
        <f t="shared" si="96"/>
        <v>104131.47593517869</v>
      </c>
      <c r="AG84" s="244">
        <f t="shared" ref="AG84:AH84" si="97">SUM(AG82:AG83)</f>
        <v>94627.102370357359</v>
      </c>
      <c r="AH84" s="244">
        <f t="shared" si="97"/>
        <v>91446.93066517869</v>
      </c>
      <c r="AI84" s="244">
        <f t="shared" ref="AI84" si="98">SUM(AI82:AI83)</f>
        <v>109284.75898517869</v>
      </c>
      <c r="AJ84" s="2"/>
      <c r="AK84" s="170"/>
      <c r="AL84" s="2"/>
      <c r="AM84" s="2"/>
      <c r="AN84" s="2"/>
      <c r="AO84" s="2"/>
      <c r="AP84" s="2"/>
      <c r="AQ84" s="2"/>
      <c r="AR84" s="2"/>
      <c r="AS84" s="2"/>
      <c r="AT84" s="2"/>
      <c r="AU84" s="2"/>
      <c r="AV84" s="2"/>
      <c r="AW84" s="2"/>
      <c r="AX84" s="2"/>
      <c r="AY84" s="2"/>
      <c r="AZ84" s="2"/>
    </row>
    <row r="85" spans="1:52" x14ac:dyDescent="0.2">
      <c r="A85" s="16"/>
      <c r="B85" s="110"/>
      <c r="C85" s="110"/>
      <c r="D85" s="110"/>
      <c r="E85" s="110"/>
      <c r="F85" s="110"/>
      <c r="G85" s="110"/>
      <c r="H85" s="110"/>
      <c r="I85" s="110"/>
      <c r="J85" s="110"/>
      <c r="K85" s="110"/>
      <c r="L85" s="2"/>
      <c r="M85" s="110"/>
      <c r="N85" s="110"/>
      <c r="O85" s="110"/>
      <c r="P85" s="110"/>
      <c r="Q85" s="110"/>
      <c r="R85" s="189"/>
      <c r="S85" s="189"/>
      <c r="T85" s="110"/>
      <c r="U85" s="110"/>
      <c r="V85" s="2"/>
      <c r="W85" s="2"/>
      <c r="X85" s="2"/>
      <c r="Y85" s="2"/>
      <c r="Z85" s="245"/>
      <c r="AA85" s="245"/>
      <c r="AB85" s="245"/>
      <c r="AC85" s="245"/>
      <c r="AD85" s="245"/>
      <c r="AE85" s="245"/>
      <c r="AF85" s="245"/>
      <c r="AG85" s="245"/>
      <c r="AH85" s="245"/>
      <c r="AI85" s="391"/>
      <c r="AJ85" s="2"/>
      <c r="AK85" s="170"/>
      <c r="AL85" s="2"/>
      <c r="AM85" s="2"/>
      <c r="AN85" s="2"/>
      <c r="AO85" s="2"/>
      <c r="AP85" s="2"/>
      <c r="AQ85" s="2"/>
      <c r="AR85" s="2"/>
      <c r="AS85" s="2"/>
      <c r="AT85" s="2"/>
      <c r="AU85" s="2"/>
      <c r="AV85" s="2"/>
      <c r="AW85" s="2"/>
      <c r="AX85" s="2"/>
      <c r="AY85" s="2"/>
      <c r="AZ85" s="2"/>
    </row>
    <row r="86" spans="1:52" x14ac:dyDescent="0.2">
      <c r="B86" s="110"/>
      <c r="C86" s="110"/>
      <c r="D86" s="110"/>
      <c r="E86" s="110"/>
      <c r="F86" s="110"/>
      <c r="G86" s="110"/>
      <c r="H86" s="110"/>
      <c r="I86" s="110"/>
      <c r="J86" s="110"/>
      <c r="K86" s="110"/>
      <c r="L86" s="2"/>
      <c r="M86" s="110"/>
      <c r="N86" s="110">
        <v>0.1494495844526682</v>
      </c>
      <c r="O86" s="110">
        <v>0.1494495844526682</v>
      </c>
      <c r="P86" s="110">
        <v>0.1494495844526682</v>
      </c>
      <c r="Q86" s="110"/>
      <c r="R86" s="189"/>
      <c r="S86" s="189"/>
      <c r="T86" s="110"/>
      <c r="U86" s="110"/>
      <c r="V86" s="2"/>
      <c r="W86" s="2"/>
      <c r="X86" s="2"/>
      <c r="Y86" s="2"/>
      <c r="Z86" s="245"/>
      <c r="AA86" s="245"/>
      <c r="AB86" s="245"/>
      <c r="AC86" s="245"/>
      <c r="AD86" s="245"/>
      <c r="AE86" s="245"/>
      <c r="AF86" s="245"/>
      <c r="AG86" s="245"/>
      <c r="AH86" s="245"/>
      <c r="AI86" s="391"/>
      <c r="AJ86" s="2"/>
      <c r="AK86" s="170"/>
      <c r="AL86" s="2"/>
      <c r="AM86" s="2"/>
      <c r="AN86" s="2"/>
      <c r="AO86" s="2"/>
      <c r="AP86" s="2"/>
      <c r="AQ86" s="2"/>
      <c r="AR86" s="2"/>
      <c r="AS86" s="2"/>
      <c r="AT86" s="2"/>
      <c r="AU86" s="2"/>
      <c r="AV86" s="2"/>
      <c r="AW86" s="2"/>
      <c r="AX86" s="2"/>
      <c r="AY86" s="2"/>
      <c r="AZ86" s="2"/>
    </row>
    <row r="87" spans="1:52" x14ac:dyDescent="0.2">
      <c r="A87" s="2" t="s">
        <v>230</v>
      </c>
      <c r="H87" s="110"/>
      <c r="I87" s="110"/>
      <c r="K87" s="110"/>
      <c r="M87" s="110"/>
      <c r="N87" s="110"/>
      <c r="O87" s="110"/>
      <c r="P87" s="110"/>
      <c r="Q87" s="110"/>
      <c r="R87" s="189"/>
      <c r="S87" s="189"/>
      <c r="T87" s="110"/>
      <c r="U87" s="110"/>
      <c r="AF87" s="239"/>
      <c r="AG87" s="239"/>
      <c r="AH87" s="239"/>
      <c r="AI87" s="390"/>
    </row>
    <row r="88" spans="1:52" x14ac:dyDescent="0.2">
      <c r="L88" s="2"/>
      <c r="Q88" s="110"/>
      <c r="T88" s="110"/>
      <c r="U88" s="110"/>
      <c r="V88" s="2"/>
      <c r="W88" s="2"/>
      <c r="X88" s="2"/>
      <c r="Y88" s="2"/>
      <c r="Z88" s="245"/>
      <c r="AA88" s="245"/>
      <c r="AB88" s="306">
        <f>SUM('Balance Sheet'!S8,'Balance Sheet'!S10,'Balance Sheet'!S19)</f>
        <v>76465</v>
      </c>
      <c r="AC88" s="306">
        <f>SUM('Balance Sheet'!T8,'Balance Sheet'!T10,'Balance Sheet'!T19)</f>
        <v>89992</v>
      </c>
      <c r="AD88" s="306">
        <f>SUM('Balance Sheet'!U8,'Balance Sheet'!U10,'Balance Sheet'!U19)</f>
        <v>105814</v>
      </c>
      <c r="AE88" s="306">
        <f>SUM('Balance Sheet'!V8,'Balance Sheet'!V10,'Balance Sheet'!V19)</f>
        <v>104131</v>
      </c>
      <c r="AF88" s="306">
        <f>SUM('Balance Sheet'!V8,'Balance Sheet'!V10,'Balance Sheet'!V19)</f>
        <v>104131</v>
      </c>
      <c r="AG88" s="306">
        <f>SUM('Balance Sheet'!W8,'Balance Sheet'!W10,'Balance Sheet'!W19)</f>
        <v>94627</v>
      </c>
      <c r="AH88" s="306">
        <f>SUM('Balance Sheet'!X8,'Balance Sheet'!X10,'Balance Sheet'!X19)</f>
        <v>91447</v>
      </c>
      <c r="AI88" s="393">
        <f>SUM('Balance Sheet'!Y8,'Balance Sheet'!Y10,'Balance Sheet'!Y19)</f>
        <v>109285</v>
      </c>
      <c r="AJ88" s="2"/>
      <c r="AK88" s="170"/>
      <c r="AL88" s="2"/>
      <c r="AM88" s="2"/>
      <c r="AN88" s="2"/>
      <c r="AO88" s="2"/>
      <c r="AP88" s="2"/>
      <c r="AQ88" s="2"/>
      <c r="AR88" s="2"/>
      <c r="AS88" s="2"/>
      <c r="AT88" s="2"/>
      <c r="AU88" s="2"/>
      <c r="AV88" s="2"/>
      <c r="AW88" s="2"/>
      <c r="AX88" s="2"/>
      <c r="AY88" s="2"/>
      <c r="AZ88" s="2"/>
    </row>
    <row r="89" spans="1:52" x14ac:dyDescent="0.2">
      <c r="T89" s="110"/>
      <c r="U89" s="110"/>
      <c r="AB89" s="258">
        <f>AB84-AB88</f>
        <v>0</v>
      </c>
      <c r="AC89" s="258">
        <f t="shared" ref="AC89:AD89" si="99">AC84-AC88</f>
        <v>0</v>
      </c>
      <c r="AD89" s="258">
        <f t="shared" si="99"/>
        <v>0</v>
      </c>
      <c r="AE89" s="258">
        <f t="shared" ref="AE89:AF89" si="100">AE84-AE88</f>
        <v>0.47593517867790069</v>
      </c>
      <c r="AF89" s="258">
        <f t="shared" si="100"/>
        <v>0.47593517869245261</v>
      </c>
      <c r="AG89" s="258">
        <f t="shared" ref="AG89:AH89" si="101">AG84-AG88</f>
        <v>0.10237035735917743</v>
      </c>
      <c r="AH89" s="258">
        <f t="shared" si="101"/>
        <v>-6.9334821309894323E-2</v>
      </c>
      <c r="AI89" s="112">
        <f t="shared" ref="AI89" si="102">AI84-AI88</f>
        <v>-0.24101482130936347</v>
      </c>
    </row>
    <row r="90" spans="1:52" x14ac:dyDescent="0.2">
      <c r="T90" s="110"/>
      <c r="U90" s="110"/>
    </row>
    <row r="91" spans="1:52" x14ac:dyDescent="0.2">
      <c r="T91" s="110"/>
      <c r="U91" s="110"/>
    </row>
    <row r="92" spans="1:52" x14ac:dyDescent="0.2">
      <c r="T92" s="110"/>
      <c r="U92" s="110"/>
    </row>
    <row r="93" spans="1:52" x14ac:dyDescent="0.2">
      <c r="T93" s="110"/>
      <c r="U93" s="110"/>
    </row>
    <row r="94" spans="1:52" x14ac:dyDescent="0.2">
      <c r="T94" s="110"/>
      <c r="U94" s="110"/>
    </row>
    <row r="95" spans="1:52" x14ac:dyDescent="0.2">
      <c r="T95" s="110"/>
      <c r="U95" s="110"/>
    </row>
    <row r="96" spans="1:52" x14ac:dyDescent="0.2">
      <c r="T96" s="110"/>
      <c r="U96" s="110"/>
    </row>
    <row r="97" spans="20:21" x14ac:dyDescent="0.2">
      <c r="T97" s="110"/>
      <c r="U97" s="110"/>
    </row>
    <row r="98" spans="20:21" x14ac:dyDescent="0.2">
      <c r="T98" s="110"/>
      <c r="U98" s="110"/>
    </row>
    <row r="99" spans="20:21" x14ac:dyDescent="0.2">
      <c r="T99" s="110"/>
      <c r="U99" s="110"/>
    </row>
    <row r="100" spans="20:21" x14ac:dyDescent="0.2">
      <c r="T100" s="110"/>
      <c r="U100" s="110"/>
    </row>
  </sheetData>
  <phoneticPr fontId="17" type="noConversion"/>
  <pageMargins left="0.38" right="0.36" top="0.39" bottom="0.46" header="0.3" footer="0.3"/>
  <pageSetup paperSize="5" scale="49" orientation="landscape" r:id="rId1"/>
  <ignoredErrors>
    <ignoredError sqref="AE23 AE13 AE7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107"/>
  <sheetViews>
    <sheetView showGridLines="0" zoomScale="55" zoomScaleNormal="55" workbookViewId="0">
      <pane xSplit="2" ySplit="4" topLeftCell="C5" activePane="bottomRight" state="frozen"/>
      <selection pane="topRight" activeCell="C1" sqref="C1"/>
      <selection pane="bottomLeft" activeCell="A5" sqref="A5"/>
      <selection pane="bottomRight" activeCell="V29" sqref="V29"/>
    </sheetView>
  </sheetViews>
  <sheetFormatPr defaultColWidth="9.140625" defaultRowHeight="21" outlineLevelCol="1" x14ac:dyDescent="0.35"/>
  <cols>
    <col min="1" max="1" width="2.42578125" style="204" customWidth="1"/>
    <col min="2" max="2" width="58.5703125" style="207" customWidth="1"/>
    <col min="3" max="4" width="16.85546875" style="207" customWidth="1"/>
    <col min="5" max="8" width="16.28515625" style="207" hidden="1" customWidth="1" outlineLevel="1"/>
    <col min="9" max="9" width="16.5703125" style="207" customWidth="1" collapsed="1"/>
    <col min="10" max="12" width="18.28515625" style="207" hidden="1" customWidth="1" outlineLevel="1"/>
    <col min="13" max="13" width="17.28515625" style="207" hidden="1" customWidth="1" outlineLevel="1"/>
    <col min="14" max="14" width="17.28515625" style="207" bestFit="1" customWidth="1" collapsed="1"/>
    <col min="15" max="17" width="17.28515625" style="207" customWidth="1" outlineLevel="1"/>
    <col min="18" max="18" width="18.42578125" style="326" customWidth="1" outlineLevel="1"/>
    <col min="19" max="23" width="16.85546875" style="326" customWidth="1"/>
    <col min="24" max="25" width="18.42578125" style="326" customWidth="1"/>
    <col min="26" max="26" width="15.140625" style="326" customWidth="1"/>
    <col min="27" max="27" width="9.140625" style="207" customWidth="1"/>
    <col min="28" max="28" width="9.140625" style="207"/>
    <col min="29" max="29" width="18" style="207" bestFit="1" customWidth="1"/>
    <col min="30" max="16384" width="9.140625" style="207"/>
  </cols>
  <sheetData>
    <row r="1" spans="1:26" ht="21.75" thickBot="1" x14ac:dyDescent="0.4">
      <c r="A1" s="204" t="s">
        <v>192</v>
      </c>
      <c r="B1" s="205"/>
      <c r="C1" s="206"/>
      <c r="D1" s="206"/>
      <c r="E1" s="206"/>
      <c r="F1" s="206"/>
      <c r="G1" s="206"/>
      <c r="H1" s="206"/>
      <c r="I1" s="206"/>
      <c r="J1" s="206"/>
    </row>
    <row r="2" spans="1:26" ht="21.75" thickBot="1" x14ac:dyDescent="0.4">
      <c r="B2" s="205"/>
      <c r="C2" s="206"/>
      <c r="D2" s="206"/>
      <c r="E2" s="206"/>
      <c r="F2" s="206"/>
      <c r="G2" s="206"/>
      <c r="H2" s="206"/>
      <c r="I2" s="206"/>
      <c r="J2" s="407">
        <v>2017</v>
      </c>
      <c r="K2" s="408"/>
      <c r="L2" s="408"/>
      <c r="M2" s="408"/>
      <c r="N2" s="409"/>
    </row>
    <row r="3" spans="1:26" s="372" customFormat="1" ht="24" thickBot="1" x14ac:dyDescent="0.3">
      <c r="A3" s="366"/>
      <c r="B3" s="367"/>
      <c r="C3" s="368">
        <v>2014</v>
      </c>
      <c r="D3" s="368">
        <v>2015</v>
      </c>
      <c r="E3" s="403">
        <v>2016</v>
      </c>
      <c r="F3" s="404"/>
      <c r="G3" s="404"/>
      <c r="H3" s="404"/>
      <c r="I3" s="405"/>
      <c r="J3" s="369" t="s">
        <v>215</v>
      </c>
      <c r="K3" s="369" t="s">
        <v>215</v>
      </c>
      <c r="L3" s="369" t="s">
        <v>215</v>
      </c>
      <c r="M3" s="369" t="s">
        <v>216</v>
      </c>
      <c r="N3" s="370" t="s">
        <v>216</v>
      </c>
      <c r="O3" s="410">
        <v>2018</v>
      </c>
      <c r="P3" s="411"/>
      <c r="Q3" s="411"/>
      <c r="R3" s="411"/>
      <c r="S3" s="412"/>
      <c r="T3" s="400">
        <v>2019</v>
      </c>
      <c r="U3" s="401"/>
      <c r="V3" s="402"/>
      <c r="W3" s="371"/>
      <c r="X3" s="371"/>
      <c r="Y3" s="371"/>
      <c r="Z3" s="371"/>
    </row>
    <row r="4" spans="1:26" x14ac:dyDescent="0.35">
      <c r="A4" s="208"/>
      <c r="B4" s="209"/>
      <c r="C4" s="210" t="s">
        <v>13</v>
      </c>
      <c r="D4" s="210" t="s">
        <v>13</v>
      </c>
      <c r="E4" s="210" t="s">
        <v>9</v>
      </c>
      <c r="F4" s="210" t="s">
        <v>10</v>
      </c>
      <c r="G4" s="210" t="s">
        <v>11</v>
      </c>
      <c r="H4" s="210" t="s">
        <v>12</v>
      </c>
      <c r="I4" s="210" t="s">
        <v>13</v>
      </c>
      <c r="J4" s="293" t="s">
        <v>9</v>
      </c>
      <c r="K4" s="293" t="s">
        <v>10</v>
      </c>
      <c r="L4" s="293" t="s">
        <v>11</v>
      </c>
      <c r="M4" s="293" t="s">
        <v>12</v>
      </c>
      <c r="N4" s="293" t="s">
        <v>214</v>
      </c>
      <c r="O4" s="210" t="s">
        <v>9</v>
      </c>
      <c r="P4" s="210" t="s">
        <v>10</v>
      </c>
      <c r="Q4" s="210" t="s">
        <v>11</v>
      </c>
      <c r="R4" s="210" t="s">
        <v>12</v>
      </c>
      <c r="S4" s="210" t="s">
        <v>13</v>
      </c>
      <c r="T4" s="210" t="s">
        <v>9</v>
      </c>
      <c r="U4" s="210" t="s">
        <v>10</v>
      </c>
      <c r="V4" s="210" t="s">
        <v>11</v>
      </c>
    </row>
    <row r="5" spans="1:26" x14ac:dyDescent="0.35">
      <c r="A5" s="211" t="s">
        <v>1</v>
      </c>
      <c r="B5" s="209"/>
      <c r="C5" s="212"/>
      <c r="D5" s="212"/>
      <c r="E5" s="212"/>
      <c r="F5" s="212"/>
      <c r="G5" s="212"/>
      <c r="H5" s="212"/>
      <c r="I5" s="212"/>
      <c r="J5" s="294"/>
      <c r="K5" s="300"/>
      <c r="L5" s="300"/>
      <c r="M5" s="300"/>
      <c r="N5" s="300"/>
    </row>
    <row r="6" spans="1:26" hidden="1" x14ac:dyDescent="0.35">
      <c r="A6" s="213"/>
      <c r="B6" s="214" t="s">
        <v>166</v>
      </c>
      <c r="C6" s="215"/>
      <c r="D6" s="215"/>
      <c r="E6" s="215"/>
      <c r="F6" s="215"/>
      <c r="G6" s="215"/>
      <c r="H6" s="215"/>
      <c r="I6" s="215"/>
      <c r="J6" s="295"/>
      <c r="K6" s="295"/>
      <c r="L6" s="299"/>
      <c r="M6" s="299"/>
      <c r="N6" s="299"/>
      <c r="O6" s="222"/>
      <c r="P6" s="222"/>
      <c r="Q6" s="222"/>
    </row>
    <row r="7" spans="1:26" hidden="1" x14ac:dyDescent="0.35">
      <c r="A7" s="208"/>
      <c r="B7" s="216" t="s">
        <v>153</v>
      </c>
      <c r="C7" s="217"/>
      <c r="D7" s="217"/>
      <c r="E7" s="217"/>
      <c r="F7" s="217"/>
      <c r="G7" s="217"/>
      <c r="H7" s="217"/>
      <c r="I7" s="217"/>
      <c r="J7" s="296"/>
      <c r="K7" s="300"/>
      <c r="L7" s="300"/>
      <c r="M7" s="300"/>
      <c r="N7" s="300"/>
    </row>
    <row r="8" spans="1:26" hidden="1" x14ac:dyDescent="0.35">
      <c r="A8" s="208"/>
      <c r="B8" s="216" t="s">
        <v>168</v>
      </c>
      <c r="C8" s="218"/>
      <c r="D8" s="218"/>
      <c r="E8" s="218"/>
      <c r="F8" s="218"/>
      <c r="G8" s="218"/>
      <c r="H8" s="218"/>
      <c r="I8" s="218"/>
      <c r="J8" s="297"/>
      <c r="K8" s="301"/>
      <c r="L8" s="300"/>
      <c r="M8" s="300"/>
      <c r="N8" s="300"/>
    </row>
    <row r="9" spans="1:26" hidden="1" x14ac:dyDescent="0.35">
      <c r="A9" s="208"/>
      <c r="B9" s="216" t="s">
        <v>58</v>
      </c>
      <c r="C9" s="219"/>
      <c r="D9" s="219"/>
      <c r="E9" s="219"/>
      <c r="F9" s="219"/>
      <c r="G9" s="219"/>
      <c r="H9" s="219"/>
      <c r="I9" s="219"/>
      <c r="J9" s="298"/>
      <c r="K9" s="300"/>
      <c r="L9" s="300"/>
      <c r="M9" s="300"/>
      <c r="N9" s="300"/>
    </row>
    <row r="10" spans="1:26" hidden="1" x14ac:dyDescent="0.35">
      <c r="A10" s="208"/>
      <c r="B10" s="216" t="s">
        <v>60</v>
      </c>
      <c r="C10" s="218"/>
      <c r="D10" s="218"/>
      <c r="E10" s="218"/>
      <c r="F10" s="218"/>
      <c r="G10" s="218"/>
      <c r="H10" s="218"/>
      <c r="I10" s="218"/>
      <c r="J10" s="297"/>
      <c r="K10" s="300"/>
      <c r="L10" s="300"/>
      <c r="M10" s="300"/>
      <c r="N10" s="300"/>
    </row>
    <row r="11" spans="1:26" hidden="1" x14ac:dyDescent="0.35">
      <c r="A11" s="208"/>
      <c r="B11" s="209"/>
      <c r="C11" s="212"/>
      <c r="D11" s="212"/>
      <c r="E11" s="212"/>
      <c r="F11" s="212"/>
      <c r="G11" s="212"/>
      <c r="H11" s="212"/>
      <c r="I11" s="212"/>
      <c r="J11" s="294"/>
      <c r="K11" s="300"/>
      <c r="L11" s="300"/>
      <c r="M11" s="300"/>
      <c r="N11" s="300"/>
    </row>
    <row r="12" spans="1:26" hidden="1" x14ac:dyDescent="0.35">
      <c r="A12" s="213"/>
      <c r="B12" s="214" t="s">
        <v>167</v>
      </c>
      <c r="C12" s="215"/>
      <c r="D12" s="215"/>
      <c r="E12" s="215"/>
      <c r="F12" s="215"/>
      <c r="G12" s="215"/>
      <c r="H12" s="215"/>
      <c r="I12" s="215"/>
      <c r="J12" s="295"/>
      <c r="K12" s="295"/>
      <c r="L12" s="299"/>
      <c r="M12" s="299"/>
      <c r="N12" s="299"/>
      <c r="O12" s="222"/>
      <c r="P12" s="222"/>
      <c r="Q12" s="222"/>
    </row>
    <row r="13" spans="1:26" hidden="1" x14ac:dyDescent="0.35">
      <c r="A13" s="208"/>
      <c r="B13" s="216" t="s">
        <v>153</v>
      </c>
      <c r="C13" s="217"/>
      <c r="D13" s="217"/>
      <c r="E13" s="217"/>
      <c r="F13" s="217"/>
      <c r="G13" s="217"/>
      <c r="H13" s="217"/>
      <c r="I13" s="217"/>
      <c r="J13" s="296"/>
      <c r="K13" s="300"/>
      <c r="L13" s="300"/>
      <c r="M13" s="300"/>
      <c r="N13" s="300"/>
    </row>
    <row r="14" spans="1:26" hidden="1" x14ac:dyDescent="0.35">
      <c r="A14" s="208"/>
      <c r="B14" s="216" t="s">
        <v>58</v>
      </c>
      <c r="C14" s="219"/>
      <c r="D14" s="219"/>
      <c r="E14" s="219"/>
      <c r="F14" s="219"/>
      <c r="G14" s="219"/>
      <c r="H14" s="219"/>
      <c r="I14" s="219"/>
      <c r="J14" s="298"/>
      <c r="K14" s="300"/>
      <c r="L14" s="300"/>
      <c r="M14" s="300"/>
      <c r="N14" s="300"/>
    </row>
    <row r="15" spans="1:26" hidden="1" x14ac:dyDescent="0.35">
      <c r="A15" s="208"/>
      <c r="B15" s="216" t="s">
        <v>60</v>
      </c>
      <c r="C15" s="218"/>
      <c r="D15" s="218"/>
      <c r="E15" s="218"/>
      <c r="F15" s="218"/>
      <c r="G15" s="218"/>
      <c r="H15" s="218"/>
      <c r="I15" s="218"/>
      <c r="J15" s="297"/>
      <c r="K15" s="300"/>
      <c r="L15" s="300"/>
      <c r="M15" s="300"/>
      <c r="N15" s="300"/>
    </row>
    <row r="16" spans="1:26" x14ac:dyDescent="0.35">
      <c r="A16" s="211"/>
      <c r="B16" s="209"/>
      <c r="C16" s="212"/>
      <c r="D16" s="212"/>
      <c r="E16" s="212"/>
      <c r="F16" s="212"/>
      <c r="G16" s="212"/>
      <c r="H16" s="212"/>
      <c r="I16" s="212"/>
      <c r="J16" s="294"/>
      <c r="K16" s="300"/>
      <c r="L16" s="300"/>
      <c r="M16" s="300"/>
      <c r="N16" s="300"/>
    </row>
    <row r="17" spans="1:29" x14ac:dyDescent="0.35">
      <c r="A17" s="213"/>
      <c r="B17" s="214" t="s">
        <v>181</v>
      </c>
      <c r="C17" s="215">
        <v>433663</v>
      </c>
      <c r="D17" s="215">
        <v>506340.59694368718</v>
      </c>
      <c r="E17" s="215">
        <v>128070</v>
      </c>
      <c r="F17" s="215">
        <v>130869</v>
      </c>
      <c r="G17" s="215">
        <v>129563</v>
      </c>
      <c r="H17" s="215">
        <f>I17-E17-F17-G17</f>
        <v>131752</v>
      </c>
      <c r="I17" s="215">
        <v>520254</v>
      </c>
      <c r="J17" s="215">
        <f t="shared" ref="J17:O17" si="0">J23+J29+J35+J41+J47</f>
        <v>134026</v>
      </c>
      <c r="K17" s="215">
        <f t="shared" si="0"/>
        <v>137498</v>
      </c>
      <c r="L17" s="215">
        <f t="shared" si="0"/>
        <v>138601</v>
      </c>
      <c r="M17" s="215">
        <f t="shared" ref="M17" si="1">M23+M29+M35+M41+M47</f>
        <v>142242</v>
      </c>
      <c r="N17" s="215">
        <f t="shared" ref="N17" si="2">N23+N29+N35+N41+N47</f>
        <v>552367</v>
      </c>
      <c r="O17" s="215">
        <f t="shared" si="0"/>
        <v>149871</v>
      </c>
      <c r="P17" s="215">
        <f t="shared" ref="P17:Q17" si="3">P23+P29+P35+P41+P47</f>
        <v>150494</v>
      </c>
      <c r="Q17" s="215">
        <f t="shared" si="3"/>
        <v>148417</v>
      </c>
      <c r="R17" s="215">
        <f t="shared" ref="R17:S17" si="4">R23+R29+R35+R41+R47</f>
        <v>149040</v>
      </c>
      <c r="S17" s="215">
        <f t="shared" si="4"/>
        <v>597822</v>
      </c>
      <c r="T17" s="215">
        <f t="shared" ref="T17:U17" si="5">T23+T29+T35+T41+T47</f>
        <v>152612</v>
      </c>
      <c r="U17" s="215">
        <f t="shared" si="5"/>
        <v>155638</v>
      </c>
      <c r="V17" s="215">
        <f t="shared" ref="V17" si="6">V23+V29+V35+V41+V47</f>
        <v>162639</v>
      </c>
      <c r="W17" s="327"/>
      <c r="X17" s="327"/>
      <c r="Y17" s="327"/>
      <c r="Z17" s="327"/>
    </row>
    <row r="18" spans="1:29" x14ac:dyDescent="0.35">
      <c r="A18" s="208"/>
      <c r="B18" s="216" t="s">
        <v>153</v>
      </c>
      <c r="C18" s="217">
        <v>1.7261264301722257E-3</v>
      </c>
      <c r="D18" s="217">
        <f>D17/C17-1</f>
        <v>0.16759003406720696</v>
      </c>
      <c r="E18" s="217">
        <v>3.404860388708153E-2</v>
      </c>
      <c r="F18" s="217">
        <v>4.6552096069604199E-2</v>
      </c>
      <c r="G18" s="217">
        <v>1.1874323276879206E-2</v>
      </c>
      <c r="H18" s="217">
        <v>1.8197659386003817E-2</v>
      </c>
      <c r="I18" s="217">
        <f t="shared" ref="I18" si="7">I17/D17-1</f>
        <v>2.7478347855762086E-2</v>
      </c>
      <c r="J18" s="296">
        <f t="shared" ref="J18:V18" si="8">J17/E17-1</f>
        <v>4.6505817131256455E-2</v>
      </c>
      <c r="K18" s="296">
        <f t="shared" si="8"/>
        <v>5.065370714225681E-2</v>
      </c>
      <c r="L18" s="296">
        <f t="shared" si="8"/>
        <v>6.975756967652802E-2</v>
      </c>
      <c r="M18" s="296">
        <f t="shared" si="8"/>
        <v>7.9619284716740513E-2</v>
      </c>
      <c r="N18" s="296">
        <f t="shared" si="8"/>
        <v>6.1725618640125823E-2</v>
      </c>
      <c r="O18" s="217">
        <f t="shared" si="8"/>
        <v>0.11822332980168038</v>
      </c>
      <c r="P18" s="217">
        <f t="shared" si="8"/>
        <v>9.4517738439831911E-2</v>
      </c>
      <c r="Q18" s="217">
        <f t="shared" si="8"/>
        <v>7.0821999841270911E-2</v>
      </c>
      <c r="R18" s="217">
        <f t="shared" si="8"/>
        <v>4.779179145400092E-2</v>
      </c>
      <c r="S18" s="217">
        <f t="shared" si="8"/>
        <v>8.2291302702732105E-2</v>
      </c>
      <c r="T18" s="217">
        <f t="shared" si="8"/>
        <v>1.82890619265903E-2</v>
      </c>
      <c r="U18" s="217">
        <f t="shared" si="8"/>
        <v>3.4180764681648546E-2</v>
      </c>
      <c r="V18" s="217">
        <f t="shared" si="8"/>
        <v>9.5824602302970741E-2</v>
      </c>
      <c r="W18" s="327"/>
      <c r="X18" s="327"/>
      <c r="Y18" s="327"/>
      <c r="Z18" s="327"/>
    </row>
    <row r="19" spans="1:29" x14ac:dyDescent="0.35">
      <c r="A19" s="208"/>
      <c r="B19" s="216" t="s">
        <v>168</v>
      </c>
      <c r="C19" s="218">
        <v>1.11E-2</v>
      </c>
      <c r="D19" s="218">
        <v>0.18440000000000001</v>
      </c>
      <c r="E19" s="218">
        <v>5.6000000000000001E-2</v>
      </c>
      <c r="F19" s="218">
        <v>6.6000000000000003E-2</v>
      </c>
      <c r="G19" s="218">
        <v>2.4E-2</v>
      </c>
      <c r="H19" s="218">
        <v>3.2000000000000001E-2</v>
      </c>
      <c r="I19" s="218">
        <v>4.3999999999999997E-2</v>
      </c>
      <c r="J19" s="297">
        <v>4.9000000000000002E-2</v>
      </c>
      <c r="K19" s="301">
        <v>4.8525496185022776E-2</v>
      </c>
      <c r="L19" s="296">
        <v>6.4270961809923532E-2</v>
      </c>
      <c r="M19" s="296">
        <v>6.8680050795172143E-2</v>
      </c>
      <c r="N19" s="296">
        <v>5.7701269035152603E-2</v>
      </c>
      <c r="O19" s="217">
        <v>0.104152477303735</v>
      </c>
      <c r="P19" s="217">
        <v>9.7943653485765836E-2</v>
      </c>
      <c r="Q19" s="218">
        <v>8.7427961273436328E-2</v>
      </c>
      <c r="R19" s="218">
        <v>6.7816377226745272E-2</v>
      </c>
      <c r="S19" s="217">
        <v>8.905334615962901E-2</v>
      </c>
      <c r="T19" s="217">
        <v>3.9E-2</v>
      </c>
      <c r="U19" s="226">
        <v>4.3999999999999997E-2</v>
      </c>
      <c r="V19" s="226">
        <v>0.10100000000000001</v>
      </c>
      <c r="W19" s="327"/>
      <c r="X19" s="327"/>
      <c r="Y19" s="327"/>
      <c r="Z19" s="327"/>
    </row>
    <row r="20" spans="1:29" x14ac:dyDescent="0.35">
      <c r="A20" s="208"/>
      <c r="B20" s="216" t="s">
        <v>58</v>
      </c>
      <c r="C20" s="219">
        <v>147170.4587213741</v>
      </c>
      <c r="D20" s="219">
        <v>182261.52705927051</v>
      </c>
      <c r="E20" s="219">
        <v>44462.19093017219</v>
      </c>
      <c r="F20" s="219">
        <v>44387</v>
      </c>
      <c r="G20" s="219">
        <v>43575</v>
      </c>
      <c r="H20" s="219">
        <f>I20-E20-F20-G20</f>
        <v>46214.80906982781</v>
      </c>
      <c r="I20" s="219">
        <v>178639</v>
      </c>
      <c r="J20" s="298">
        <f t="shared" ref="J20:O20" si="9">ROUND(J26+J32+J38+J44+J50,0)</f>
        <v>46710</v>
      </c>
      <c r="K20" s="298">
        <f t="shared" si="9"/>
        <v>47415</v>
      </c>
      <c r="L20" s="298">
        <f t="shared" si="9"/>
        <v>51154</v>
      </c>
      <c r="M20" s="298">
        <f t="shared" si="9"/>
        <v>48906</v>
      </c>
      <c r="N20" s="298">
        <f t="shared" si="9"/>
        <v>194185</v>
      </c>
      <c r="O20" s="219">
        <f t="shared" si="9"/>
        <v>49845</v>
      </c>
      <c r="P20" s="219">
        <f t="shared" ref="P20:Q20" si="10">ROUND(P26+P32+P38+P44+P50,0)</f>
        <v>49501</v>
      </c>
      <c r="Q20" s="219">
        <f t="shared" si="10"/>
        <v>49898</v>
      </c>
      <c r="R20" s="219">
        <f t="shared" ref="R20:S20" si="11">ROUND(R26+R32+R38+R44+R50,0)</f>
        <v>48327</v>
      </c>
      <c r="S20" s="219">
        <f t="shared" si="11"/>
        <v>197571</v>
      </c>
      <c r="T20" s="219">
        <f t="shared" ref="T20:U20" si="12">ROUND(T26+T32+T38+T44+T50,0)</f>
        <v>52274</v>
      </c>
      <c r="U20" s="219">
        <f t="shared" si="12"/>
        <v>50623</v>
      </c>
      <c r="V20" s="219">
        <f t="shared" ref="V20" si="13">ROUND(V26+V32+V38+V44+V50,0)</f>
        <v>52930</v>
      </c>
      <c r="W20" s="327"/>
      <c r="X20" s="327"/>
      <c r="Y20" s="327"/>
      <c r="Z20" s="327"/>
      <c r="AC20" s="323"/>
    </row>
    <row r="21" spans="1:29" x14ac:dyDescent="0.35">
      <c r="A21" s="208"/>
      <c r="B21" s="216" t="s">
        <v>60</v>
      </c>
      <c r="C21" s="218">
        <v>0.33939999999999998</v>
      </c>
      <c r="D21" s="218">
        <v>0.36</v>
      </c>
      <c r="E21" s="218">
        <v>0.34720000000000001</v>
      </c>
      <c r="F21" s="218">
        <v>0.3392</v>
      </c>
      <c r="G21" s="218">
        <v>0.33629999999999999</v>
      </c>
      <c r="H21" s="218">
        <v>0.3508</v>
      </c>
      <c r="I21" s="218">
        <v>0.34339999999999998</v>
      </c>
      <c r="J21" s="297">
        <f t="shared" ref="J21:O21" si="14">J20/J17</f>
        <v>0.34851446734215752</v>
      </c>
      <c r="K21" s="297">
        <f t="shared" si="14"/>
        <v>0.34484137951097471</v>
      </c>
      <c r="L21" s="297">
        <f t="shared" si="14"/>
        <v>0.36907381620623225</v>
      </c>
      <c r="M21" s="297">
        <f t="shared" ref="M21" si="15">M20/M17</f>
        <v>0.34382249968363776</v>
      </c>
      <c r="N21" s="297">
        <f t="shared" ref="N21" si="16">N20/N17</f>
        <v>0.35155069003036027</v>
      </c>
      <c r="O21" s="218">
        <f t="shared" si="14"/>
        <v>0.33258602398062331</v>
      </c>
      <c r="P21" s="218">
        <f>P20/P17</f>
        <v>0.32892341222905896</v>
      </c>
      <c r="Q21" s="218">
        <f>Q20/Q17</f>
        <v>0.33620137854827953</v>
      </c>
      <c r="R21" s="218">
        <f>R20/R17</f>
        <v>0.32425523349436391</v>
      </c>
      <c r="S21" s="218">
        <f t="shared" ref="S21:T21" si="17">S20/S17</f>
        <v>0.33048465931330728</v>
      </c>
      <c r="T21" s="218">
        <f t="shared" si="17"/>
        <v>0.34252876575891805</v>
      </c>
      <c r="U21" s="218">
        <f t="shared" ref="U21:V21" si="18">U20/U17</f>
        <v>0.32526118300158058</v>
      </c>
      <c r="V21" s="218">
        <f t="shared" si="18"/>
        <v>0.3254446965365011</v>
      </c>
      <c r="W21" s="327"/>
      <c r="X21" s="327"/>
      <c r="Y21" s="327"/>
      <c r="Z21" s="327"/>
      <c r="AC21" s="323"/>
    </row>
    <row r="22" spans="1:29" x14ac:dyDescent="0.35">
      <c r="A22" s="208"/>
      <c r="B22" s="216"/>
      <c r="C22" s="218"/>
      <c r="D22" s="218"/>
      <c r="E22" s="218"/>
      <c r="F22" s="218"/>
      <c r="G22" s="218"/>
      <c r="H22" s="218"/>
      <c r="I22" s="218"/>
      <c r="J22" s="297"/>
      <c r="K22" s="300"/>
      <c r="L22" s="300"/>
      <c r="M22" s="300"/>
      <c r="N22" s="300"/>
      <c r="R22" s="207"/>
      <c r="S22" s="207"/>
      <c r="T22" s="207"/>
      <c r="U22" s="207"/>
      <c r="V22" s="207"/>
      <c r="W22" s="327"/>
      <c r="X22" s="327"/>
      <c r="Y22" s="327"/>
      <c r="Z22" s="327"/>
      <c r="AC22" s="323"/>
    </row>
    <row r="23" spans="1:29" x14ac:dyDescent="0.35">
      <c r="A23" s="221"/>
      <c r="B23" s="221" t="s">
        <v>157</v>
      </c>
      <c r="C23" s="222">
        <v>151308.36800953333</v>
      </c>
      <c r="D23" s="222">
        <v>199878.22804440593</v>
      </c>
      <c r="E23" s="222">
        <v>48298.689470000005</v>
      </c>
      <c r="F23" s="222">
        <v>50596.605320000017</v>
      </c>
      <c r="G23" s="222">
        <v>52801.058303600017</v>
      </c>
      <c r="H23" s="222">
        <v>54631.03404415027</v>
      </c>
      <c r="I23" s="222">
        <f>SUM(E23:H23)</f>
        <v>206327.38713775028</v>
      </c>
      <c r="J23" s="299">
        <v>55921</v>
      </c>
      <c r="K23" s="302">
        <v>58255</v>
      </c>
      <c r="L23" s="302">
        <v>59608</v>
      </c>
      <c r="M23" s="302">
        <f>+N23-SUM(J23,K23,L23)</f>
        <v>61010</v>
      </c>
      <c r="N23" s="302">
        <v>234794</v>
      </c>
      <c r="O23" s="223">
        <v>63903</v>
      </c>
      <c r="P23" s="223">
        <v>64812</v>
      </c>
      <c r="Q23" s="223">
        <v>64303</v>
      </c>
      <c r="R23" s="223">
        <f>+S23-SUM(O23:Q23)</f>
        <v>65126</v>
      </c>
      <c r="S23" s="223">
        <v>258144</v>
      </c>
      <c r="T23" s="223">
        <v>69038</v>
      </c>
      <c r="U23" s="223">
        <v>72236</v>
      </c>
      <c r="V23" s="223">
        <v>77714</v>
      </c>
      <c r="W23" s="327"/>
      <c r="X23" s="327"/>
      <c r="Y23" s="327"/>
      <c r="Z23" s="327"/>
    </row>
    <row r="24" spans="1:29" x14ac:dyDescent="0.35">
      <c r="A24" s="208"/>
      <c r="B24" s="216" t="s">
        <v>153</v>
      </c>
      <c r="C24" s="217"/>
      <c r="D24" s="217">
        <f>D23/C23-1</f>
        <v>0.32099916662779959</v>
      </c>
      <c r="E24" s="217">
        <v>-3.5542278919833858E-2</v>
      </c>
      <c r="F24" s="217">
        <v>-1.3593102664144374E-2</v>
      </c>
      <c r="G24" s="217">
        <v>6.4944653613187464E-2</v>
      </c>
      <c r="H24" s="217">
        <v>0.11663393601060656</v>
      </c>
      <c r="I24" s="217">
        <f t="shared" ref="I24" si="19">I23/D23-1</f>
        <v>3.2265440595719008E-2</v>
      </c>
      <c r="J24" s="296">
        <f t="shared" ref="J24:V24" si="20">J23/E23-1</f>
        <v>0.15781609425933762</v>
      </c>
      <c r="K24" s="296">
        <f t="shared" si="20"/>
        <v>0.15136182816147836</v>
      </c>
      <c r="L24" s="296">
        <f t="shared" si="20"/>
        <v>0.12891676635079641</v>
      </c>
      <c r="M24" s="296">
        <f t="shared" si="20"/>
        <v>0.1167645106386701</v>
      </c>
      <c r="N24" s="296">
        <f t="shared" si="20"/>
        <v>0.13796817406137452</v>
      </c>
      <c r="O24" s="217">
        <f t="shared" si="20"/>
        <v>0.14273707551724746</v>
      </c>
      <c r="P24" s="217">
        <f t="shared" si="20"/>
        <v>0.11255686207192506</v>
      </c>
      <c r="Q24" s="217">
        <f t="shared" si="20"/>
        <v>7.8764595356328071E-2</v>
      </c>
      <c r="R24" s="217">
        <f t="shared" si="20"/>
        <v>6.746435010653995E-2</v>
      </c>
      <c r="S24" s="217">
        <f t="shared" si="20"/>
        <v>9.9448878591446022E-2</v>
      </c>
      <c r="T24" s="217">
        <f t="shared" si="20"/>
        <v>8.0356164812293684E-2</v>
      </c>
      <c r="U24" s="217">
        <f t="shared" si="20"/>
        <v>0.11454668888477437</v>
      </c>
      <c r="V24" s="217">
        <f t="shared" si="20"/>
        <v>0.20855947622972493</v>
      </c>
      <c r="W24" s="327"/>
      <c r="X24" s="327"/>
      <c r="Y24" s="327"/>
      <c r="Z24" s="327"/>
    </row>
    <row r="25" spans="1:29" x14ac:dyDescent="0.35">
      <c r="A25" s="208"/>
      <c r="B25" s="216" t="s">
        <v>168</v>
      </c>
      <c r="C25" s="217"/>
      <c r="D25" s="217">
        <v>0.3291</v>
      </c>
      <c r="E25" s="217">
        <v>-2.58E-2</v>
      </c>
      <c r="F25" s="217">
        <v>-2.3E-3</v>
      </c>
      <c r="G25" s="217">
        <v>7.1099999999999997E-2</v>
      </c>
      <c r="H25" s="217">
        <v>0.1217</v>
      </c>
      <c r="I25" s="217">
        <v>4.1300000000000003E-2</v>
      </c>
      <c r="J25" s="296">
        <v>0.15235101898850245</v>
      </c>
      <c r="K25" s="301">
        <v>0.14485320587353745</v>
      </c>
      <c r="L25" s="296">
        <v>0.12063360440937987</v>
      </c>
      <c r="M25" s="296">
        <v>0.10686042279762753</v>
      </c>
      <c r="N25" s="296">
        <v>0.13035117064593615</v>
      </c>
      <c r="O25" s="217">
        <v>0.12985053069688801</v>
      </c>
      <c r="P25" s="217">
        <v>0.11510196684888774</v>
      </c>
      <c r="Q25" s="218">
        <v>9.0617499511791433E-2</v>
      </c>
      <c r="R25" s="218">
        <v>8.1936981556266941E-2</v>
      </c>
      <c r="S25" s="217">
        <v>0.1037809117620101</v>
      </c>
      <c r="T25" s="217">
        <v>0.1</v>
      </c>
      <c r="U25" s="226">
        <v>0.126</v>
      </c>
      <c r="V25" s="226">
        <v>0.217</v>
      </c>
      <c r="W25" s="327"/>
      <c r="X25" s="327"/>
      <c r="Y25" s="327"/>
      <c r="Z25" s="327"/>
    </row>
    <row r="26" spans="1:29" x14ac:dyDescent="0.35">
      <c r="A26" s="208"/>
      <c r="B26" s="216" t="s">
        <v>58</v>
      </c>
      <c r="C26" s="219">
        <v>44282.172456781256</v>
      </c>
      <c r="D26" s="219">
        <v>65682.292844508804</v>
      </c>
      <c r="E26" s="219">
        <v>14030.063296331726</v>
      </c>
      <c r="F26" s="219">
        <v>14145.917471839959</v>
      </c>
      <c r="G26" s="219">
        <v>15004.324337266604</v>
      </c>
      <c r="H26" s="219">
        <v>16944.025737502052</v>
      </c>
      <c r="I26" s="219">
        <f>SUM(E26:H26)</f>
        <v>60124.330842940341</v>
      </c>
      <c r="J26" s="298">
        <f>ROUND(17890.6824188671,0)</f>
        <v>17891</v>
      </c>
      <c r="K26" s="298">
        <v>17784.168604602171</v>
      </c>
      <c r="L26" s="298">
        <f>ROUND(20434.2308482625,0)</f>
        <v>20434</v>
      </c>
      <c r="M26" s="298">
        <f>ROUND(+N26-SUM(J26,K26,L26),0)</f>
        <v>19252</v>
      </c>
      <c r="N26" s="298">
        <f>ROUND(75361.1380508299,0)</f>
        <v>75361</v>
      </c>
      <c r="O26" s="219">
        <v>21476</v>
      </c>
      <c r="P26" s="219">
        <v>20779</v>
      </c>
      <c r="Q26" s="219">
        <v>20779</v>
      </c>
      <c r="R26" s="219">
        <f>+S26-SUM(O26:Q26)</f>
        <v>20189</v>
      </c>
      <c r="S26" s="219">
        <v>83223</v>
      </c>
      <c r="T26" s="219">
        <v>22346</v>
      </c>
      <c r="U26" s="219">
        <v>22330</v>
      </c>
      <c r="V26" s="219">
        <v>26227</v>
      </c>
      <c r="W26" s="327"/>
      <c r="X26" s="327"/>
      <c r="Y26" s="327"/>
      <c r="Z26" s="327"/>
    </row>
    <row r="27" spans="1:29" x14ac:dyDescent="0.35">
      <c r="A27" s="208"/>
      <c r="B27" s="216" t="s">
        <v>60</v>
      </c>
      <c r="C27" s="218">
        <f>C26/C23</f>
        <v>0.29266175453026638</v>
      </c>
      <c r="D27" s="218">
        <f t="shared" ref="D27:I27" si="21">D26/D23</f>
        <v>0.32861154257339376</v>
      </c>
      <c r="E27" s="218">
        <f t="shared" si="21"/>
        <v>0.2904853827358253</v>
      </c>
      <c r="F27" s="218">
        <f t="shared" si="21"/>
        <v>0.27958234317052705</v>
      </c>
      <c r="G27" s="218">
        <f t="shared" si="21"/>
        <v>0.28416711367778774</v>
      </c>
      <c r="H27" s="218">
        <f t="shared" si="21"/>
        <v>0.31015385364678755</v>
      </c>
      <c r="I27" s="218">
        <f t="shared" si="21"/>
        <v>0.29140256985273388</v>
      </c>
      <c r="J27" s="297">
        <f>J26/J23</f>
        <v>0.31993347758444951</v>
      </c>
      <c r="K27" s="297">
        <f t="shared" ref="K27:O27" si="22">K26/K23</f>
        <v>0.30528141111667961</v>
      </c>
      <c r="L27" s="297">
        <f t="shared" si="22"/>
        <v>0.3428063347201718</v>
      </c>
      <c r="M27" s="297">
        <f t="shared" ref="M27" si="23">M26/M23</f>
        <v>0.3155548270775283</v>
      </c>
      <c r="N27" s="297">
        <f t="shared" ref="N27" si="24">N26/N23</f>
        <v>0.32096646421969899</v>
      </c>
      <c r="O27" s="218">
        <f t="shared" si="22"/>
        <v>0.33607185891116226</v>
      </c>
      <c r="P27" s="218">
        <f t="shared" ref="P27:Q27" si="25">P26/P23</f>
        <v>0.32060420909708076</v>
      </c>
      <c r="Q27" s="218">
        <f t="shared" si="25"/>
        <v>0.32314199959566425</v>
      </c>
      <c r="R27" s="218">
        <f t="shared" ref="R27:S27" si="26">R26/R23</f>
        <v>0.30999907870896415</v>
      </c>
      <c r="S27" s="218">
        <f t="shared" si="26"/>
        <v>0.32238982893268875</v>
      </c>
      <c r="T27" s="218">
        <f t="shared" ref="T27:U27" si="27">T26/T23</f>
        <v>0.32367681566673429</v>
      </c>
      <c r="U27" s="218">
        <f t="shared" si="27"/>
        <v>0.30912564372335122</v>
      </c>
      <c r="V27" s="218">
        <f t="shared" ref="V27" si="28">V26/V23</f>
        <v>0.33748102015080939</v>
      </c>
      <c r="W27" s="327"/>
      <c r="X27" s="327"/>
      <c r="Y27" s="327"/>
      <c r="Z27" s="327"/>
    </row>
    <row r="28" spans="1:29" x14ac:dyDescent="0.35">
      <c r="A28" s="208"/>
      <c r="B28" s="216"/>
      <c r="C28" s="219"/>
      <c r="D28" s="218"/>
      <c r="E28" s="225"/>
      <c r="F28" s="218"/>
      <c r="G28" s="218"/>
      <c r="H28" s="218"/>
      <c r="I28" s="219"/>
      <c r="J28" s="297"/>
      <c r="K28" s="300"/>
      <c r="L28" s="300"/>
      <c r="M28" s="300"/>
      <c r="N28" s="300"/>
      <c r="R28" s="207"/>
      <c r="S28" s="207"/>
      <c r="T28" s="207"/>
      <c r="U28" s="207"/>
      <c r="V28" s="207"/>
      <c r="W28" s="327"/>
      <c r="X28" s="327"/>
      <c r="Y28" s="327"/>
      <c r="Z28" s="327"/>
    </row>
    <row r="29" spans="1:29" x14ac:dyDescent="0.35">
      <c r="A29" s="221"/>
      <c r="B29" s="221" t="s">
        <v>156</v>
      </c>
      <c r="C29" s="222">
        <v>42848.177989999996</v>
      </c>
      <c r="D29" s="222">
        <v>55208.836490000002</v>
      </c>
      <c r="E29" s="222">
        <v>16387.584720000003</v>
      </c>
      <c r="F29" s="222">
        <v>17441.937469999997</v>
      </c>
      <c r="G29" s="222">
        <v>15958.648679999989</v>
      </c>
      <c r="H29" s="222">
        <v>18867.690340788853</v>
      </c>
      <c r="I29" s="222">
        <f>SUM(E29:H29)</f>
        <v>68655.861210788848</v>
      </c>
      <c r="J29" s="299">
        <v>18932</v>
      </c>
      <c r="K29" s="302">
        <v>18923</v>
      </c>
      <c r="L29" s="302">
        <v>18872</v>
      </c>
      <c r="M29" s="302">
        <f>+N29-SUM(J29,K29,L29)</f>
        <v>20286</v>
      </c>
      <c r="N29" s="302">
        <v>77013</v>
      </c>
      <c r="O29" s="223">
        <v>22797</v>
      </c>
      <c r="P29" s="223">
        <v>19817</v>
      </c>
      <c r="Q29" s="223">
        <v>20375</v>
      </c>
      <c r="R29" s="223">
        <f>+S29-SUM(O29:Q29)</f>
        <v>21402</v>
      </c>
      <c r="S29" s="223">
        <v>84391</v>
      </c>
      <c r="T29" s="223">
        <v>20569</v>
      </c>
      <c r="U29" s="223">
        <v>20016</v>
      </c>
      <c r="V29" s="223">
        <v>23978</v>
      </c>
      <c r="W29" s="327"/>
      <c r="X29" s="327"/>
      <c r="Y29" s="327"/>
      <c r="Z29" s="327"/>
    </row>
    <row r="30" spans="1:29" x14ac:dyDescent="0.35">
      <c r="A30" s="208"/>
      <c r="B30" s="216" t="s">
        <v>153</v>
      </c>
      <c r="C30" s="217"/>
      <c r="D30" s="217">
        <f>D29/C29-1</f>
        <v>0.28847570841599768</v>
      </c>
      <c r="E30" s="217">
        <v>0.26860000000000001</v>
      </c>
      <c r="F30" s="217">
        <v>0.34899999999999998</v>
      </c>
      <c r="G30" s="217">
        <v>0.16009999999999999</v>
      </c>
      <c r="H30" s="217">
        <v>0.20899999999999999</v>
      </c>
      <c r="I30" s="217">
        <f t="shared" ref="I30" si="29">I29/D29-1</f>
        <v>0.24356652984752736</v>
      </c>
      <c r="J30" s="296">
        <f t="shared" ref="J30:V30" si="30">J29/E29-1</f>
        <v>0.15526481317864382</v>
      </c>
      <c r="K30" s="296">
        <f t="shared" si="30"/>
        <v>8.4913876829762813E-2</v>
      </c>
      <c r="L30" s="296">
        <f t="shared" si="30"/>
        <v>0.18255626641190092</v>
      </c>
      <c r="M30" s="296">
        <f t="shared" si="30"/>
        <v>7.5171344960278219E-2</v>
      </c>
      <c r="N30" s="296">
        <f t="shared" si="30"/>
        <v>0.12172505947529899</v>
      </c>
      <c r="O30" s="226">
        <f t="shared" si="30"/>
        <v>0.20415170082400169</v>
      </c>
      <c r="P30" s="226">
        <f t="shared" si="30"/>
        <v>4.7244094488188892E-2</v>
      </c>
      <c r="Q30" s="226">
        <f t="shared" si="30"/>
        <v>7.9641797371767797E-2</v>
      </c>
      <c r="R30" s="226">
        <f t="shared" si="30"/>
        <v>5.501330967169471E-2</v>
      </c>
      <c r="S30" s="226">
        <f t="shared" si="30"/>
        <v>9.5802007453287041E-2</v>
      </c>
      <c r="T30" s="226">
        <f t="shared" si="30"/>
        <v>-9.7732157740053505E-2</v>
      </c>
      <c r="U30" s="226">
        <f t="shared" si="30"/>
        <v>1.004188323156896E-2</v>
      </c>
      <c r="V30" s="226">
        <f t="shared" si="30"/>
        <v>0.17683435582822082</v>
      </c>
      <c r="W30" s="327"/>
      <c r="X30" s="327"/>
      <c r="Y30" s="327"/>
      <c r="Z30" s="327"/>
    </row>
    <row r="31" spans="1:29" x14ac:dyDescent="0.35">
      <c r="A31" s="208"/>
      <c r="B31" s="216" t="s">
        <v>168</v>
      </c>
      <c r="C31" s="217"/>
      <c r="D31" s="217">
        <v>0.28889999999999999</v>
      </c>
      <c r="E31" s="217">
        <v>0.26860000000000001</v>
      </c>
      <c r="F31" s="217">
        <v>0.34899999999999998</v>
      </c>
      <c r="G31" s="217">
        <v>0.16009999999999999</v>
      </c>
      <c r="H31" s="217">
        <v>0.20899999999999999</v>
      </c>
      <c r="I31" s="217">
        <v>0.24360000000000001</v>
      </c>
      <c r="J31" s="296">
        <v>0.15625881183456625</v>
      </c>
      <c r="K31" s="301">
        <v>8.5925937063991764E-2</v>
      </c>
      <c r="L31" s="296">
        <v>0.18313485759232662</v>
      </c>
      <c r="M31" s="296">
        <v>7.5285882262229098E-2</v>
      </c>
      <c r="N31" s="296">
        <v>0.12238539808923177</v>
      </c>
      <c r="O31" s="217">
        <v>0.20412407210167127</v>
      </c>
      <c r="P31" s="217">
        <v>4.725912118564346E-2</v>
      </c>
      <c r="Q31" s="218">
        <v>7.9651754267672015E-2</v>
      </c>
      <c r="R31" s="218">
        <v>5.5000409410426609E-2</v>
      </c>
      <c r="S31" s="217">
        <v>9.5797890578221301E-2</v>
      </c>
      <c r="T31" s="217">
        <v>-9.8000000000000004E-2</v>
      </c>
      <c r="U31" s="226">
        <v>0.01</v>
      </c>
      <c r="V31" s="226">
        <v>0.17699999999999999</v>
      </c>
      <c r="W31" s="327"/>
      <c r="X31" s="327"/>
      <c r="Y31" s="327"/>
      <c r="Z31" s="327"/>
    </row>
    <row r="32" spans="1:29" x14ac:dyDescent="0.35">
      <c r="A32" s="208"/>
      <c r="B32" s="216" t="s">
        <v>58</v>
      </c>
      <c r="C32" s="219">
        <v>13249.691106379691</v>
      </c>
      <c r="D32" s="219">
        <v>17984.528806078859</v>
      </c>
      <c r="E32" s="219">
        <v>5842.2778813829245</v>
      </c>
      <c r="F32" s="219">
        <v>6434.3608419753309</v>
      </c>
      <c r="G32" s="219">
        <v>5071.8574793260614</v>
      </c>
      <c r="H32" s="219">
        <v>7209.8527749647874</v>
      </c>
      <c r="I32" s="219">
        <f>SUM(E32:H32)</f>
        <v>24558.348977649104</v>
      </c>
      <c r="J32" s="298">
        <f>ROUND(6623.4364085443,0)</f>
        <v>6623</v>
      </c>
      <c r="K32" s="298">
        <v>6616.794367465307</v>
      </c>
      <c r="L32" s="298">
        <f>ROUND(6797.84019495859,0)+1</f>
        <v>6799</v>
      </c>
      <c r="M32" s="298">
        <f>ROUND(+N32-SUM(J32,K32,L32),0)</f>
        <v>7562</v>
      </c>
      <c r="N32" s="298">
        <f>ROUND(27600.7825640754,0)</f>
        <v>27601</v>
      </c>
      <c r="O32" s="219">
        <v>5555</v>
      </c>
      <c r="P32" s="219">
        <v>3104</v>
      </c>
      <c r="Q32" s="219">
        <v>4578</v>
      </c>
      <c r="R32" s="219">
        <f>+S32-SUM(O32:Q32)</f>
        <v>4386</v>
      </c>
      <c r="S32" s="219">
        <v>17623</v>
      </c>
      <c r="T32" s="219">
        <v>3574</v>
      </c>
      <c r="U32" s="219">
        <v>3151</v>
      </c>
      <c r="V32" s="219">
        <v>4590</v>
      </c>
      <c r="W32" s="327"/>
      <c r="X32" s="327"/>
      <c r="Y32" s="327"/>
      <c r="Z32" s="327"/>
    </row>
    <row r="33" spans="1:26" x14ac:dyDescent="0.35">
      <c r="A33" s="208"/>
      <c r="B33" s="216" t="s">
        <v>60</v>
      </c>
      <c r="C33" s="218">
        <f>C32/C29</f>
        <v>0.30922414272718746</v>
      </c>
      <c r="D33" s="218">
        <f t="shared" ref="D33" si="31">D32/D29</f>
        <v>0.32575453404703436</v>
      </c>
      <c r="E33" s="218">
        <f t="shared" ref="E33" si="32">E32/E29</f>
        <v>0.35650634191704877</v>
      </c>
      <c r="F33" s="218">
        <f t="shared" ref="F33" si="33">F32/F29</f>
        <v>0.36890172625847234</v>
      </c>
      <c r="G33" s="218">
        <f t="shared" ref="G33" si="34">G32/G29</f>
        <v>0.3178124652673327</v>
      </c>
      <c r="H33" s="218">
        <f t="shared" ref="H33" si="35">H32/H29</f>
        <v>0.38212694000909414</v>
      </c>
      <c r="I33" s="218">
        <f t="shared" ref="I33" si="36">I32/I29</f>
        <v>0.35770214726823513</v>
      </c>
      <c r="J33" s="297">
        <f t="shared" ref="J33:O33" si="37">J32/J29</f>
        <v>0.34983097401225438</v>
      </c>
      <c r="K33" s="297">
        <f t="shared" si="37"/>
        <v>0.34966941644904648</v>
      </c>
      <c r="L33" s="297">
        <f t="shared" si="37"/>
        <v>0.36026918185671897</v>
      </c>
      <c r="M33" s="297">
        <f t="shared" ref="M33" si="38">M32/M29</f>
        <v>0.37276939761411809</v>
      </c>
      <c r="N33" s="297">
        <f t="shared" ref="N33" si="39">N32/N29</f>
        <v>0.35839403737031411</v>
      </c>
      <c r="O33" s="218">
        <f t="shared" si="37"/>
        <v>0.24367241303680309</v>
      </c>
      <c r="P33" s="218">
        <f t="shared" ref="P33:Q33" si="40">P32/P29</f>
        <v>0.15663319372256143</v>
      </c>
      <c r="Q33" s="218">
        <f t="shared" si="40"/>
        <v>0.22468711656441717</v>
      </c>
      <c r="R33" s="218">
        <f t="shared" ref="R33:S33" si="41">R32/R29</f>
        <v>0.2049341183067003</v>
      </c>
      <c r="S33" s="218">
        <f t="shared" si="41"/>
        <v>0.20882558566671802</v>
      </c>
      <c r="T33" s="218">
        <f t="shared" ref="T33:U33" si="42">T32/T29</f>
        <v>0.17375662404589431</v>
      </c>
      <c r="U33" s="218">
        <f t="shared" si="42"/>
        <v>0.15742406075139889</v>
      </c>
      <c r="V33" s="218">
        <f t="shared" ref="V33" si="43">V32/V29</f>
        <v>0.19142547335057136</v>
      </c>
      <c r="W33" s="327"/>
      <c r="X33" s="327"/>
      <c r="Y33" s="327"/>
      <c r="Z33" s="327"/>
    </row>
    <row r="34" spans="1:26" x14ac:dyDescent="0.35">
      <c r="A34" s="208"/>
      <c r="B34" s="216"/>
      <c r="C34" s="219"/>
      <c r="D34" s="219"/>
      <c r="E34" s="225"/>
      <c r="F34" s="218"/>
      <c r="G34" s="218"/>
      <c r="H34" s="218"/>
      <c r="I34" s="219"/>
      <c r="J34" s="297"/>
      <c r="K34" s="300"/>
      <c r="L34" s="300"/>
      <c r="M34" s="300"/>
      <c r="N34" s="300"/>
      <c r="R34" s="207"/>
      <c r="S34" s="207"/>
      <c r="T34" s="207"/>
      <c r="U34" s="207"/>
      <c r="V34" s="207"/>
      <c r="W34" s="327"/>
      <c r="X34" s="327"/>
      <c r="Y34" s="327"/>
      <c r="Z34" s="327"/>
    </row>
    <row r="35" spans="1:26" x14ac:dyDescent="0.35">
      <c r="A35" s="221"/>
      <c r="B35" s="221" t="s">
        <v>154</v>
      </c>
      <c r="C35" s="222">
        <v>47492.421269999999</v>
      </c>
      <c r="D35" s="222">
        <v>62264.395700000008</v>
      </c>
      <c r="E35" s="222">
        <v>17558.967769999999</v>
      </c>
      <c r="F35" s="222">
        <v>17545.106169999995</v>
      </c>
      <c r="G35" s="222">
        <v>17518.984499999999</v>
      </c>
      <c r="H35" s="222">
        <v>16743.114587483804</v>
      </c>
      <c r="I35" s="222">
        <f>SUM(E35:H35)</f>
        <v>69366.173027483805</v>
      </c>
      <c r="J35" s="299">
        <v>17043</v>
      </c>
      <c r="K35" s="302">
        <v>17835</v>
      </c>
      <c r="L35" s="302">
        <v>18496</v>
      </c>
      <c r="M35" s="302">
        <f>+N35-SUM(J35,K35,L35)</f>
        <v>17577</v>
      </c>
      <c r="N35" s="302">
        <v>70951</v>
      </c>
      <c r="O35" s="223">
        <v>17499</v>
      </c>
      <c r="P35" s="223">
        <v>18549</v>
      </c>
      <c r="Q35" s="223">
        <v>17278</v>
      </c>
      <c r="R35" s="223">
        <f>+S35-SUM(O35:Q35)</f>
        <v>16911</v>
      </c>
      <c r="S35" s="223">
        <v>70237</v>
      </c>
      <c r="T35" s="223">
        <v>17425</v>
      </c>
      <c r="U35" s="223">
        <v>17541</v>
      </c>
      <c r="V35" s="223">
        <v>16950</v>
      </c>
      <c r="W35" s="327"/>
      <c r="X35" s="327"/>
      <c r="Y35" s="327"/>
      <c r="Z35" s="327"/>
    </row>
    <row r="36" spans="1:26" x14ac:dyDescent="0.35">
      <c r="A36" s="208"/>
      <c r="B36" s="216" t="s">
        <v>153</v>
      </c>
      <c r="C36" s="217"/>
      <c r="D36" s="217">
        <f>D35/C35-1</f>
        <v>0.3110385622585885</v>
      </c>
      <c r="E36" s="217">
        <v>0.24727413257275432</v>
      </c>
      <c r="F36" s="217">
        <v>0.19672846511191211</v>
      </c>
      <c r="G36" s="217">
        <v>9.2784432323543831E-2</v>
      </c>
      <c r="H36" s="217">
        <v>-4.2929047052516989E-2</v>
      </c>
      <c r="I36" s="217">
        <f t="shared" ref="I36" si="44">I35/D35-1</f>
        <v>0.1140583996302047</v>
      </c>
      <c r="J36" s="296">
        <f t="shared" ref="J36:V36" si="45">J35/E35-1</f>
        <v>-2.9384857740985537E-2</v>
      </c>
      <c r="K36" s="296">
        <f t="shared" si="45"/>
        <v>1.6522774338959989E-2</v>
      </c>
      <c r="L36" s="296">
        <f t="shared" si="45"/>
        <v>5.5768957384487727E-2</v>
      </c>
      <c r="M36" s="296">
        <f t="shared" si="45"/>
        <v>4.9804676911162193E-2</v>
      </c>
      <c r="N36" s="296">
        <f t="shared" si="45"/>
        <v>2.2847259742702963E-2</v>
      </c>
      <c r="O36" s="217">
        <f t="shared" si="45"/>
        <v>2.6755852842809347E-2</v>
      </c>
      <c r="P36" s="217">
        <f t="shared" si="45"/>
        <v>4.003364171572743E-2</v>
      </c>
      <c r="Q36" s="217">
        <f t="shared" si="45"/>
        <v>-6.5852076124567449E-2</v>
      </c>
      <c r="R36" s="217">
        <f t="shared" si="45"/>
        <v>-3.7890424987199189E-2</v>
      </c>
      <c r="S36" s="217">
        <f t="shared" si="45"/>
        <v>-1.006328311087934E-2</v>
      </c>
      <c r="T36" s="217">
        <f t="shared" si="45"/>
        <v>-4.2288130750328667E-3</v>
      </c>
      <c r="U36" s="217">
        <f t="shared" si="45"/>
        <v>-5.4342552159146074E-2</v>
      </c>
      <c r="V36" s="217">
        <f t="shared" si="45"/>
        <v>-1.8983678666512294E-2</v>
      </c>
      <c r="W36" s="327"/>
      <c r="X36" s="327"/>
      <c r="Y36" s="327"/>
      <c r="Z36" s="327"/>
    </row>
    <row r="37" spans="1:26" x14ac:dyDescent="0.35">
      <c r="A37" s="208"/>
      <c r="B37" s="216" t="s">
        <v>168</v>
      </c>
      <c r="C37" s="217"/>
      <c r="D37" s="217">
        <v>0.3513</v>
      </c>
      <c r="E37" s="217">
        <v>0.2994</v>
      </c>
      <c r="F37" s="217">
        <v>0.23619999999999999</v>
      </c>
      <c r="G37" s="217">
        <v>0.1109</v>
      </c>
      <c r="H37" s="217">
        <v>-1.72E-2</v>
      </c>
      <c r="I37" s="217">
        <v>0.14699999999999999</v>
      </c>
      <c r="J37" s="296">
        <v>-8.7898081101827064E-3</v>
      </c>
      <c r="K37" s="301">
        <v>3.0415633413528154E-2</v>
      </c>
      <c r="L37" s="296">
        <v>6.9456755626851718E-2</v>
      </c>
      <c r="M37" s="296">
        <v>5.1325079581286515E-2</v>
      </c>
      <c r="N37" s="296">
        <v>3.5398495320312362E-2</v>
      </c>
      <c r="O37" s="217">
        <v>2.2017804564526511E-2</v>
      </c>
      <c r="P37" s="217">
        <v>4.6765098007093719E-2</v>
      </c>
      <c r="Q37" s="218">
        <v>-4.7263843395054406E-2</v>
      </c>
      <c r="R37" s="218">
        <v>-1.2110295222743761E-2</v>
      </c>
      <c r="S37" s="217">
        <v>1.7229201583262022E-3</v>
      </c>
      <c r="T37" s="217">
        <v>1.6E-2</v>
      </c>
      <c r="U37" s="226">
        <v>-0.05</v>
      </c>
      <c r="V37" s="226">
        <v>-2.1000000000000001E-2</v>
      </c>
      <c r="W37" s="327"/>
      <c r="X37" s="327"/>
      <c r="Y37" s="327"/>
      <c r="Z37" s="327"/>
    </row>
    <row r="38" spans="1:26" x14ac:dyDescent="0.35">
      <c r="A38" s="208"/>
      <c r="B38" s="216" t="s">
        <v>58</v>
      </c>
      <c r="C38" s="219">
        <v>17547.47159472257</v>
      </c>
      <c r="D38" s="219">
        <v>24758.198504829226</v>
      </c>
      <c r="E38" s="219">
        <v>7096.413997130705</v>
      </c>
      <c r="F38" s="219">
        <v>6743.8109230066148</v>
      </c>
      <c r="G38" s="219">
        <v>6882.3177134990838</v>
      </c>
      <c r="H38" s="219">
        <v>6681.9046943482699</v>
      </c>
      <c r="I38" s="219">
        <f>SUM(E38:H38)</f>
        <v>27404.447327984672</v>
      </c>
      <c r="J38" s="298">
        <f>ROUND(6904.8321447588,0)</f>
        <v>6905</v>
      </c>
      <c r="K38" s="298">
        <v>7512.1982279049298</v>
      </c>
      <c r="L38" s="298">
        <f>ROUND(8500.24509549765,0)</f>
        <v>8500</v>
      </c>
      <c r="M38" s="298">
        <f>ROUND(+N38-SUM(J38,K38,L38),0)</f>
        <v>6697</v>
      </c>
      <c r="N38" s="298">
        <f>ROUND(29614.3890430638,0)</f>
        <v>29614</v>
      </c>
      <c r="O38" s="219">
        <v>7056</v>
      </c>
      <c r="P38" s="219">
        <v>7924</v>
      </c>
      <c r="Q38" s="219">
        <v>7320</v>
      </c>
      <c r="R38" s="219">
        <f>+S38-SUM(O38:Q38)</f>
        <v>6871</v>
      </c>
      <c r="S38" s="219">
        <v>29171</v>
      </c>
      <c r="T38" s="219">
        <v>7625</v>
      </c>
      <c r="U38" s="219">
        <v>7552</v>
      </c>
      <c r="V38" s="219">
        <v>7150</v>
      </c>
      <c r="W38" s="327"/>
      <c r="X38" s="327"/>
      <c r="Y38" s="327"/>
      <c r="Z38" s="327"/>
    </row>
    <row r="39" spans="1:26" x14ac:dyDescent="0.35">
      <c r="A39" s="208"/>
      <c r="B39" s="216" t="s">
        <v>60</v>
      </c>
      <c r="C39" s="218">
        <f>C38/C35</f>
        <v>0.3694794058816907</v>
      </c>
      <c r="D39" s="218">
        <f t="shared" ref="D39" si="46">D38/D35</f>
        <v>0.3976301098964849</v>
      </c>
      <c r="E39" s="218">
        <f t="shared" ref="E39" si="47">E38/E35</f>
        <v>0.40414756095487187</v>
      </c>
      <c r="F39" s="218">
        <f t="shared" ref="F39" si="48">F38/F35</f>
        <v>0.3843699124795103</v>
      </c>
      <c r="G39" s="218">
        <f t="shared" ref="G39" si="49">G38/G35</f>
        <v>0.39284912396030058</v>
      </c>
      <c r="H39" s="218">
        <f t="shared" ref="H39" si="50">H38/H35</f>
        <v>0.39908373435748212</v>
      </c>
      <c r="I39" s="218">
        <f t="shared" ref="I39" si="51">I38/I35</f>
        <v>0.39506932748223927</v>
      </c>
      <c r="J39" s="297">
        <f t="shared" ref="J39:O39" si="52">J38/J35</f>
        <v>0.40515167517455847</v>
      </c>
      <c r="K39" s="297">
        <f t="shared" si="52"/>
        <v>0.42120539545303781</v>
      </c>
      <c r="L39" s="297">
        <f t="shared" si="52"/>
        <v>0.45955882352941174</v>
      </c>
      <c r="M39" s="297">
        <f t="shared" ref="M39" si="53">M38/M35</f>
        <v>0.38100927348239177</v>
      </c>
      <c r="N39" s="297">
        <f t="shared" ref="N39" si="54">N38/N35</f>
        <v>0.4173866471226621</v>
      </c>
      <c r="O39" s="227">
        <f t="shared" si="52"/>
        <v>0.40322304131664666</v>
      </c>
      <c r="P39" s="227">
        <f t="shared" ref="P39:Q39" si="55">P38/P35</f>
        <v>0.4271928405843981</v>
      </c>
      <c r="Q39" s="227">
        <f t="shared" si="55"/>
        <v>0.42366014585021416</v>
      </c>
      <c r="R39" s="227">
        <f t="shared" ref="R39:S39" si="56">R38/R35</f>
        <v>0.40630358937969369</v>
      </c>
      <c r="S39" s="227">
        <f t="shared" si="56"/>
        <v>0.41532240841721602</v>
      </c>
      <c r="T39" s="227">
        <f t="shared" ref="T39:U39" si="57">T38/T35</f>
        <v>0.43758967001434718</v>
      </c>
      <c r="U39" s="227">
        <f t="shared" si="57"/>
        <v>0.43053417707086256</v>
      </c>
      <c r="V39" s="227">
        <f t="shared" ref="V39" si="58">V38/V35</f>
        <v>0.42182890855457228</v>
      </c>
      <c r="W39" s="327"/>
      <c r="X39" s="327"/>
      <c r="Y39" s="327"/>
      <c r="Z39" s="327"/>
    </row>
    <row r="40" spans="1:26" x14ac:dyDescent="0.35">
      <c r="A40" s="208"/>
      <c r="B40" s="216"/>
      <c r="C40" s="219"/>
      <c r="D40" s="219"/>
      <c r="E40" s="225"/>
      <c r="F40" s="219"/>
      <c r="G40" s="218"/>
      <c r="H40" s="218"/>
      <c r="I40" s="219"/>
      <c r="J40" s="297"/>
      <c r="K40" s="300"/>
      <c r="L40" s="300"/>
      <c r="M40" s="300"/>
      <c r="N40" s="300"/>
      <c r="R40" s="207"/>
      <c r="S40" s="207"/>
      <c r="T40" s="207"/>
      <c r="U40" s="207"/>
      <c r="V40" s="207"/>
      <c r="W40" s="327"/>
      <c r="X40" s="327"/>
      <c r="Y40" s="327"/>
      <c r="Z40" s="327"/>
    </row>
    <row r="41" spans="1:26" x14ac:dyDescent="0.35">
      <c r="A41" s="221"/>
      <c r="B41" s="221" t="s">
        <v>177</v>
      </c>
      <c r="C41" s="222">
        <v>92013.012085009483</v>
      </c>
      <c r="D41" s="222">
        <v>78504.085756886008</v>
      </c>
      <c r="E41" s="222">
        <v>19818.352157100006</v>
      </c>
      <c r="F41" s="222">
        <v>19284.475142600004</v>
      </c>
      <c r="G41" s="222">
        <v>19857.807480000003</v>
      </c>
      <c r="H41" s="222">
        <v>20455.601914249866</v>
      </c>
      <c r="I41" s="222">
        <f>SUM(E41:H41)</f>
        <v>79416.236693949875</v>
      </c>
      <c r="J41" s="299">
        <v>21014</v>
      </c>
      <c r="K41" s="302">
        <v>21038</v>
      </c>
      <c r="L41" s="302">
        <v>21642</v>
      </c>
      <c r="M41" s="302">
        <f>+N41-SUM(J41,K41,L41)</f>
        <v>22833</v>
      </c>
      <c r="N41" s="302">
        <v>86527</v>
      </c>
      <c r="O41" s="223">
        <v>23972</v>
      </c>
      <c r="P41" s="223">
        <v>24228</v>
      </c>
      <c r="Q41" s="223">
        <v>24517</v>
      </c>
      <c r="R41" s="223">
        <f>+S41-SUM(O41:Q41)</f>
        <v>25224</v>
      </c>
      <c r="S41" s="223">
        <v>97941</v>
      </c>
      <c r="T41" s="223">
        <v>25724</v>
      </c>
      <c r="U41" s="223">
        <v>26422</v>
      </c>
      <c r="V41" s="223">
        <v>26542</v>
      </c>
      <c r="W41" s="327"/>
      <c r="X41" s="327"/>
      <c r="Y41" s="327"/>
      <c r="Z41" s="327"/>
    </row>
    <row r="42" spans="1:26" x14ac:dyDescent="0.35">
      <c r="A42" s="208"/>
      <c r="B42" s="216" t="s">
        <v>153</v>
      </c>
      <c r="C42" s="217"/>
      <c r="D42" s="217">
        <f>D41/C41-1</f>
        <v>-0.14681539080193107</v>
      </c>
      <c r="E42" s="217">
        <v>-7.4618175234064665E-4</v>
      </c>
      <c r="F42" s="217">
        <v>-1.0612374653135803E-2</v>
      </c>
      <c r="G42" s="217">
        <v>1.8524805758866947E-2</v>
      </c>
      <c r="H42" s="217">
        <v>3.9253616501386812E-2</v>
      </c>
      <c r="I42" s="217">
        <f t="shared" ref="I42" si="59">I41/D41-1</f>
        <v>1.1619152408049782E-2</v>
      </c>
      <c r="J42" s="296">
        <f t="shared" ref="J42:V42" si="60">J41/E41-1</f>
        <v>6.033033591401038E-2</v>
      </c>
      <c r="K42" s="296">
        <f t="shared" si="60"/>
        <v>9.0929353505007082E-2</v>
      </c>
      <c r="L42" s="296">
        <f t="shared" si="60"/>
        <v>8.98484146246743E-2</v>
      </c>
      <c r="M42" s="296">
        <f t="shared" si="60"/>
        <v>0.11622234807444021</v>
      </c>
      <c r="N42" s="296">
        <f t="shared" si="60"/>
        <v>8.953790310479226E-2</v>
      </c>
      <c r="O42" s="217">
        <f t="shared" si="60"/>
        <v>0.14076330065670506</v>
      </c>
      <c r="P42" s="217">
        <f t="shared" si="60"/>
        <v>0.15163038311626575</v>
      </c>
      <c r="Q42" s="217">
        <f t="shared" si="60"/>
        <v>0.13284354495887629</v>
      </c>
      <c r="R42" s="217">
        <f t="shared" si="60"/>
        <v>0.10471685718039669</v>
      </c>
      <c r="S42" s="217">
        <f t="shared" si="60"/>
        <v>0.13191258219977575</v>
      </c>
      <c r="T42" s="217">
        <f t="shared" si="60"/>
        <v>7.3085266143834371E-2</v>
      </c>
      <c r="U42" s="217">
        <f t="shared" si="60"/>
        <v>9.05563810467227E-2</v>
      </c>
      <c r="V42" s="217">
        <f t="shared" si="60"/>
        <v>8.2595749887832914E-2</v>
      </c>
      <c r="W42" s="327"/>
      <c r="X42" s="327"/>
      <c r="Y42" s="327"/>
      <c r="Z42" s="327"/>
    </row>
    <row r="43" spans="1:26" x14ac:dyDescent="0.35">
      <c r="A43" s="208"/>
      <c r="B43" s="216" t="s">
        <v>168</v>
      </c>
      <c r="C43" s="217"/>
      <c r="D43" s="217">
        <v>-0.14280000000000001</v>
      </c>
      <c r="E43" s="217">
        <v>1.0800000000000001E-2</v>
      </c>
      <c r="F43" s="217">
        <v>5.1000000000000004E-3</v>
      </c>
      <c r="G43" s="217">
        <v>2.5999999999999999E-2</v>
      </c>
      <c r="H43" s="217">
        <v>5.04E-2</v>
      </c>
      <c r="I43" s="217">
        <v>1.95E-2</v>
      </c>
      <c r="J43" s="296">
        <v>5.9375507743957501E-2</v>
      </c>
      <c r="K43" s="301">
        <v>8.7111291904700794E-2</v>
      </c>
      <c r="L43" s="296">
        <v>7.8793541177875737E-2</v>
      </c>
      <c r="M43" s="296">
        <v>9.9241949534063068E-2</v>
      </c>
      <c r="N43" s="296">
        <v>8.1234534877984155E-2</v>
      </c>
      <c r="O43" s="217">
        <v>0.11758214400387579</v>
      </c>
      <c r="P43" s="217">
        <v>0.15109154048019469</v>
      </c>
      <c r="Q43" s="218">
        <v>0.15493095253100586</v>
      </c>
      <c r="R43" s="218">
        <v>0.12982663917595483</v>
      </c>
      <c r="S43" s="217">
        <v>0.13830205588900712</v>
      </c>
      <c r="T43" s="217">
        <v>0.1</v>
      </c>
      <c r="U43" s="226">
        <v>0.10299999999999999</v>
      </c>
      <c r="V43" s="226">
        <v>8.6999999999999994E-2</v>
      </c>
      <c r="W43" s="327"/>
      <c r="X43" s="327"/>
      <c r="Y43" s="327"/>
      <c r="Z43" s="327"/>
    </row>
    <row r="44" spans="1:26" x14ac:dyDescent="0.35">
      <c r="A44" s="208"/>
      <c r="B44" s="216" t="s">
        <v>58</v>
      </c>
      <c r="C44" s="219">
        <v>35243.453580917499</v>
      </c>
      <c r="D44" s="219">
        <v>31658.04934269638</v>
      </c>
      <c r="E44" s="219">
        <v>8374.6219015083079</v>
      </c>
      <c r="F44" s="219">
        <v>7355.1145986762203</v>
      </c>
      <c r="G44" s="219">
        <v>7845.7788462436238</v>
      </c>
      <c r="H44" s="219">
        <v>7538.2434568414137</v>
      </c>
      <c r="I44" s="219">
        <f>SUM(E44:H44)</f>
        <v>31113.758803269568</v>
      </c>
      <c r="J44" s="298">
        <f>ROUND(8588.46080539107,0)</f>
        <v>8588</v>
      </c>
      <c r="K44" s="298">
        <v>8699.880853350036</v>
      </c>
      <c r="L44" s="298">
        <f>ROUND(9007.93462975813,0)</f>
        <v>9008</v>
      </c>
      <c r="M44" s="298">
        <f>ROUND(+N44-SUM(J44,K44,L44),0)</f>
        <v>8869</v>
      </c>
      <c r="N44" s="298">
        <f>ROUND(35165.0600100329,0)</f>
        <v>35165</v>
      </c>
      <c r="O44" s="219">
        <v>9243</v>
      </c>
      <c r="P44" s="219">
        <v>9685</v>
      </c>
      <c r="Q44" s="219">
        <v>9600</v>
      </c>
      <c r="R44" s="219">
        <f>+S44-SUM(O44:Q44)</f>
        <v>10258</v>
      </c>
      <c r="S44" s="219">
        <v>38786</v>
      </c>
      <c r="T44" s="219">
        <v>11450</v>
      </c>
      <c r="U44" s="219">
        <v>10428</v>
      </c>
      <c r="V44" s="219">
        <v>9891</v>
      </c>
      <c r="W44" s="327"/>
      <c r="X44" s="327"/>
      <c r="Y44" s="327"/>
      <c r="Z44" s="327"/>
    </row>
    <row r="45" spans="1:26" x14ac:dyDescent="0.35">
      <c r="A45" s="208"/>
      <c r="B45" s="216" t="s">
        <v>60</v>
      </c>
      <c r="C45" s="218">
        <f>C44/C41</f>
        <v>0.38302684351161753</v>
      </c>
      <c r="D45" s="218">
        <f t="shared" ref="D45" si="61">D44/D41</f>
        <v>0.40326626362780726</v>
      </c>
      <c r="E45" s="218">
        <f t="shared" ref="E45" si="62">E44/E41</f>
        <v>0.42256903273908497</v>
      </c>
      <c r="F45" s="218">
        <f t="shared" ref="F45" si="63">F44/F41</f>
        <v>0.38140081823790706</v>
      </c>
      <c r="G45" s="218">
        <f t="shared" ref="G45" si="64">G44/G41</f>
        <v>0.39509794090538852</v>
      </c>
      <c r="H45" s="218">
        <f t="shared" ref="H45" si="65">H44/H41</f>
        <v>0.36851731317620584</v>
      </c>
      <c r="I45" s="218">
        <f t="shared" ref="I45" si="66">I44/I41</f>
        <v>0.3917808259181827</v>
      </c>
      <c r="J45" s="297">
        <f t="shared" ref="J45:O45" si="67">J44/J41</f>
        <v>0.40867992766726946</v>
      </c>
      <c r="K45" s="297">
        <f t="shared" si="67"/>
        <v>0.41353174509696911</v>
      </c>
      <c r="L45" s="297">
        <f t="shared" si="67"/>
        <v>0.41622770538767212</v>
      </c>
      <c r="M45" s="297">
        <f t="shared" ref="M45" si="68">M44/M41</f>
        <v>0.38842902816099506</v>
      </c>
      <c r="N45" s="297">
        <f t="shared" ref="N45" si="69">N44/N41</f>
        <v>0.40640493718723636</v>
      </c>
      <c r="O45" s="227">
        <f t="shared" si="67"/>
        <v>0.38557483731019521</v>
      </c>
      <c r="P45" s="227">
        <f t="shared" ref="P45:Q45" si="70">P44/P41</f>
        <v>0.39974409773815422</v>
      </c>
      <c r="Q45" s="227">
        <f t="shared" si="70"/>
        <v>0.39156503650528207</v>
      </c>
      <c r="R45" s="227">
        <f t="shared" ref="R45:S45" si="71">R44/R41</f>
        <v>0.40667618141452583</v>
      </c>
      <c r="S45" s="227">
        <f t="shared" si="71"/>
        <v>0.39601392675181996</v>
      </c>
      <c r="T45" s="227">
        <f t="shared" ref="T45:U45" si="72">T44/T41</f>
        <v>0.44510962525268233</v>
      </c>
      <c r="U45" s="227">
        <f t="shared" si="72"/>
        <v>0.39467110741049127</v>
      </c>
      <c r="V45" s="227">
        <f t="shared" ref="V45" si="73">V44/V41</f>
        <v>0.37265466053801521</v>
      </c>
      <c r="W45" s="327"/>
      <c r="X45" s="327"/>
      <c r="Y45" s="327"/>
      <c r="Z45" s="327"/>
    </row>
    <row r="46" spans="1:26" x14ac:dyDescent="0.35">
      <c r="A46" s="208"/>
      <c r="B46" s="216"/>
      <c r="C46" s="219"/>
      <c r="D46" s="219"/>
      <c r="E46" s="225"/>
      <c r="F46" s="219"/>
      <c r="G46" s="218"/>
      <c r="H46" s="218"/>
      <c r="I46" s="219"/>
      <c r="J46" s="297"/>
      <c r="K46" s="300"/>
      <c r="L46" s="300"/>
      <c r="M46" s="300"/>
      <c r="N46" s="300"/>
      <c r="R46" s="207"/>
      <c r="S46" s="207"/>
      <c r="T46" s="207"/>
      <c r="U46" s="207"/>
      <c r="V46" s="207"/>
      <c r="W46" s="327"/>
      <c r="X46" s="327"/>
      <c r="Y46" s="327"/>
      <c r="Z46" s="327"/>
    </row>
    <row r="47" spans="1:26" x14ac:dyDescent="0.35">
      <c r="A47" s="221"/>
      <c r="B47" s="221" t="s">
        <v>178</v>
      </c>
      <c r="C47" s="222">
        <v>100001.0206454572</v>
      </c>
      <c r="D47" s="222">
        <v>110485.05095239524</v>
      </c>
      <c r="E47" s="222">
        <f>E17-E23-E29-E35-E41</f>
        <v>26006.40588289998</v>
      </c>
      <c r="F47" s="222">
        <f>F17-F23-F29-F35-F41</f>
        <v>26000.87589739999</v>
      </c>
      <c r="G47" s="222">
        <f>G17-G23-G29-G35-G41</f>
        <v>23426.50103639999</v>
      </c>
      <c r="H47" s="222">
        <f>H17-H23-H29-H35-H41</f>
        <v>21054.559113327214</v>
      </c>
      <c r="I47" s="222">
        <f>SUM(E47:H47)</f>
        <v>96488.341930027178</v>
      </c>
      <c r="J47" s="299">
        <v>21116</v>
      </c>
      <c r="K47" s="302">
        <v>21447</v>
      </c>
      <c r="L47" s="302">
        <v>19983</v>
      </c>
      <c r="M47" s="302">
        <f>+N47-SUM(J47,K47,L47)</f>
        <v>20536</v>
      </c>
      <c r="N47" s="302">
        <v>83082</v>
      </c>
      <c r="O47" s="223">
        <v>21700</v>
      </c>
      <c r="P47" s="223">
        <v>23088</v>
      </c>
      <c r="Q47" s="223">
        <v>21944</v>
      </c>
      <c r="R47" s="223">
        <f>+S47-SUM(O47:Q47)</f>
        <v>20377</v>
      </c>
      <c r="S47" s="223">
        <v>87109</v>
      </c>
      <c r="T47" s="223">
        <v>19856</v>
      </c>
      <c r="U47" s="223">
        <v>19423</v>
      </c>
      <c r="V47" s="223">
        <v>17455</v>
      </c>
      <c r="W47" s="327"/>
      <c r="X47" s="327"/>
      <c r="Y47" s="327"/>
      <c r="Z47" s="327"/>
    </row>
    <row r="48" spans="1:26" x14ac:dyDescent="0.35">
      <c r="A48" s="208"/>
      <c r="B48" s="216" t="s">
        <v>153</v>
      </c>
      <c r="C48" s="217"/>
      <c r="D48" s="217">
        <f>D47/C47-1</f>
        <v>0.10483923303251097</v>
      </c>
      <c r="E48" s="217">
        <v>-3.4849636675571727E-2</v>
      </c>
      <c r="F48" s="217">
        <v>-2.5165564204456148E-2</v>
      </c>
      <c r="G48" s="217">
        <v>-0.19710813792732296</v>
      </c>
      <c r="H48" s="217">
        <v>-0.23962920783055497</v>
      </c>
      <c r="I48" s="217">
        <f t="shared" ref="I48" si="74">I47/D47-1</f>
        <v>-0.12668418850979968</v>
      </c>
      <c r="J48" s="296">
        <f t="shared" ref="J48:V48" si="75">J47/E47-1</f>
        <v>-0.18804620311319431</v>
      </c>
      <c r="K48" s="296">
        <f t="shared" si="75"/>
        <v>-0.17514317269040014</v>
      </c>
      <c r="L48" s="296">
        <f t="shared" si="75"/>
        <v>-0.14699169248747368</v>
      </c>
      <c r="M48" s="296">
        <f t="shared" si="75"/>
        <v>-2.4629302876210457E-2</v>
      </c>
      <c r="N48" s="296">
        <f t="shared" si="75"/>
        <v>-0.13894260862881636</v>
      </c>
      <c r="O48" s="217">
        <f t="shared" si="75"/>
        <v>2.7656753172949466E-2</v>
      </c>
      <c r="P48" s="217">
        <f t="shared" si="75"/>
        <v>7.6514197789900651E-2</v>
      </c>
      <c r="Q48" s="217">
        <f t="shared" si="75"/>
        <v>9.8133413401391145E-2</v>
      </c>
      <c r="R48" s="217">
        <f t="shared" si="75"/>
        <v>-7.7425009738995021E-3</v>
      </c>
      <c r="S48" s="217">
        <f t="shared" si="75"/>
        <v>4.847018608122089E-2</v>
      </c>
      <c r="T48" s="217">
        <f t="shared" si="75"/>
        <v>-8.4976958525345592E-2</v>
      </c>
      <c r="U48" s="217">
        <f t="shared" si="75"/>
        <v>-0.15874047124047119</v>
      </c>
      <c r="V48" s="217">
        <f t="shared" si="75"/>
        <v>-0.20456616842872766</v>
      </c>
      <c r="W48" s="327"/>
      <c r="X48" s="327"/>
      <c r="Y48" s="327"/>
      <c r="Z48" s="327"/>
    </row>
    <row r="49" spans="1:26" x14ac:dyDescent="0.35">
      <c r="A49" s="208"/>
      <c r="B49" s="216" t="s">
        <v>168</v>
      </c>
      <c r="C49" s="217"/>
      <c r="D49" s="217">
        <v>0.1424</v>
      </c>
      <c r="E49" s="217">
        <v>1.01E-2</v>
      </c>
      <c r="F49" s="217">
        <v>1.03E-2</v>
      </c>
      <c r="G49" s="217">
        <v>-0.16869999999999999</v>
      </c>
      <c r="H49" s="217">
        <v>-0.21060000000000001</v>
      </c>
      <c r="I49" s="217">
        <v>-9.1600000000000001E-2</v>
      </c>
      <c r="J49" s="296">
        <v>-0.17873627364342526</v>
      </c>
      <c r="K49" s="301">
        <v>-0.18041377630015187</v>
      </c>
      <c r="L49" s="296">
        <v>-0.1599352906915209</v>
      </c>
      <c r="M49" s="296">
        <v>-5.2199751882280876E-2</v>
      </c>
      <c r="N49" s="296">
        <v>-0.14701258829889308</v>
      </c>
      <c r="O49" s="217">
        <v>-6.1027868993246415E-4</v>
      </c>
      <c r="P49" s="217">
        <v>8.6483353637906601E-2</v>
      </c>
      <c r="Q49" s="218">
        <v>0.1368210449347933</v>
      </c>
      <c r="R49" s="218">
        <v>3.7987330551400689E-2</v>
      </c>
      <c r="S49" s="217">
        <v>6.4468661522303128E-2</v>
      </c>
      <c r="T49" s="217">
        <v>-4.3999999999999997E-2</v>
      </c>
      <c r="U49" s="226">
        <v>-0.14399999999999999</v>
      </c>
      <c r="V49" s="226">
        <v>-0.19900000000000001</v>
      </c>
      <c r="W49" s="327"/>
      <c r="X49" s="327"/>
      <c r="Y49" s="327"/>
      <c r="Z49" s="327"/>
    </row>
    <row r="50" spans="1:26" x14ac:dyDescent="0.35">
      <c r="A50" s="208"/>
      <c r="B50" s="216" t="s">
        <v>58</v>
      </c>
      <c r="C50" s="219">
        <v>36847.669982573076</v>
      </c>
      <c r="D50" s="219">
        <v>42178.457561157244</v>
      </c>
      <c r="E50" s="219">
        <f>E20-E26-E32-E38-E44-1</f>
        <v>9117.8138538185267</v>
      </c>
      <c r="F50" s="219">
        <f>F20-F26-F32-F38-F44</f>
        <v>9707.7961645018768</v>
      </c>
      <c r="G50" s="219">
        <f>G20-G26-G32-G38-G44</f>
        <v>8770.7216236646254</v>
      </c>
      <c r="H50" s="219">
        <f>H20-H26-H32-H38-H44</f>
        <v>7840.7824061712872</v>
      </c>
      <c r="I50" s="219">
        <f>SUM(E50:H50)</f>
        <v>35437.11404815632</v>
      </c>
      <c r="J50" s="298">
        <f>ROUND(6703.27249362086,0)</f>
        <v>6703</v>
      </c>
      <c r="K50" s="298">
        <v>6801.5654992821783</v>
      </c>
      <c r="L50" s="298">
        <f>ROUND(6413.60301117024,0)-1</f>
        <v>6413</v>
      </c>
      <c r="M50" s="298">
        <f>ROUND(+N50-SUM(J50,K50,L50),0)</f>
        <v>6526</v>
      </c>
      <c r="N50" s="298">
        <f>ROUND(26442.9387487777,0)+1</f>
        <v>26444</v>
      </c>
      <c r="O50" s="219">
        <v>6515</v>
      </c>
      <c r="P50" s="219">
        <v>8009</v>
      </c>
      <c r="Q50" s="219">
        <v>7621</v>
      </c>
      <c r="R50" s="219">
        <f>+S50-SUM(O50:Q50)</f>
        <v>6623</v>
      </c>
      <c r="S50" s="219">
        <v>28768</v>
      </c>
      <c r="T50" s="219">
        <v>7279</v>
      </c>
      <c r="U50" s="219">
        <v>7162</v>
      </c>
      <c r="V50" s="219">
        <v>5072</v>
      </c>
      <c r="W50" s="327"/>
      <c r="X50" s="327"/>
      <c r="Y50" s="327"/>
      <c r="Z50" s="327"/>
    </row>
    <row r="51" spans="1:26" x14ac:dyDescent="0.35">
      <c r="A51" s="208"/>
      <c r="B51" s="216" t="s">
        <v>60</v>
      </c>
      <c r="C51" s="218">
        <f>C50/C47</f>
        <v>0.3684729390234176</v>
      </c>
      <c r="D51" s="218">
        <f t="shared" ref="D51" si="76">D50/D47</f>
        <v>0.38175714449668585</v>
      </c>
      <c r="E51" s="218">
        <f t="shared" ref="E51" si="77">E50/E47</f>
        <v>0.35059876766030834</v>
      </c>
      <c r="F51" s="218">
        <f t="shared" ref="F51" si="78">F50/F47</f>
        <v>0.37336419752969274</v>
      </c>
      <c r="G51" s="218">
        <f t="shared" ref="G51" si="79">G50/G47</f>
        <v>0.37439315457467243</v>
      </c>
      <c r="H51" s="218">
        <f t="shared" ref="H51" si="80">H50/H47</f>
        <v>0.3724030678566046</v>
      </c>
      <c r="I51" s="218">
        <f t="shared" ref="I51" si="81">I50/I47</f>
        <v>0.36726834910123257</v>
      </c>
      <c r="J51" s="297">
        <f t="shared" ref="J51:O51" si="82">J50/J47</f>
        <v>0.31743701458609586</v>
      </c>
      <c r="K51" s="297">
        <f t="shared" si="82"/>
        <v>0.31713365502318169</v>
      </c>
      <c r="L51" s="297">
        <f t="shared" si="82"/>
        <v>0.32092278436671168</v>
      </c>
      <c r="M51" s="297">
        <f t="shared" ref="M51" si="83">M50/M47</f>
        <v>0.31778340475262951</v>
      </c>
      <c r="N51" s="297">
        <f t="shared" ref="N51" si="84">N50/N47</f>
        <v>0.3182879564767338</v>
      </c>
      <c r="O51" s="218">
        <f t="shared" si="82"/>
        <v>0.30023041474654377</v>
      </c>
      <c r="P51" s="218">
        <f t="shared" ref="P51:Q51" si="85">P50/P47</f>
        <v>0.34689015939015938</v>
      </c>
      <c r="Q51" s="218">
        <f t="shared" si="85"/>
        <v>0.34729310973386801</v>
      </c>
      <c r="R51" s="218">
        <f t="shared" ref="R51:S51" si="86">R50/R47</f>
        <v>0.325023310595279</v>
      </c>
      <c r="S51" s="218">
        <f t="shared" si="86"/>
        <v>0.33025290153715459</v>
      </c>
      <c r="T51" s="218">
        <f t="shared" ref="T51:U51" si="87">T50/T47</f>
        <v>0.36658944399677679</v>
      </c>
      <c r="U51" s="218">
        <f t="shared" si="87"/>
        <v>0.36873809401225349</v>
      </c>
      <c r="V51" s="218">
        <f t="shared" ref="V51" si="88">V50/V47</f>
        <v>0.29057576625608705</v>
      </c>
      <c r="W51" s="327"/>
      <c r="X51" s="327"/>
      <c r="Y51" s="327"/>
      <c r="Z51" s="327"/>
    </row>
    <row r="52" spans="1:26" x14ac:dyDescent="0.35">
      <c r="A52" s="208"/>
      <c r="B52" s="216"/>
      <c r="C52" s="218"/>
      <c r="D52" s="219"/>
      <c r="E52" s="218"/>
      <c r="F52" s="218"/>
      <c r="G52" s="218"/>
      <c r="H52" s="218"/>
      <c r="I52" s="219"/>
      <c r="J52" s="297"/>
      <c r="K52" s="300"/>
      <c r="L52" s="300"/>
      <c r="M52" s="300"/>
      <c r="N52" s="300"/>
      <c r="R52" s="207"/>
      <c r="S52" s="207"/>
      <c r="T52" s="207"/>
      <c r="U52" s="207"/>
      <c r="V52" s="207"/>
      <c r="W52" s="327"/>
      <c r="X52" s="327"/>
      <c r="Y52" s="327"/>
      <c r="Z52" s="327"/>
    </row>
    <row r="53" spans="1:26" x14ac:dyDescent="0.35">
      <c r="A53" s="208"/>
      <c r="B53" s="209"/>
      <c r="C53" s="212"/>
      <c r="D53" s="212"/>
      <c r="E53" s="212"/>
      <c r="F53" s="212"/>
      <c r="G53" s="212"/>
      <c r="H53" s="212"/>
      <c r="I53" s="212"/>
      <c r="J53" s="294"/>
      <c r="K53" s="300"/>
      <c r="L53" s="300"/>
      <c r="M53" s="300"/>
      <c r="N53" s="300"/>
      <c r="O53" s="251"/>
      <c r="P53" s="251"/>
      <c r="Q53" s="251"/>
      <c r="R53" s="251"/>
      <c r="S53" s="251"/>
      <c r="T53" s="374"/>
      <c r="U53" s="374"/>
      <c r="V53" s="374"/>
      <c r="W53" s="327"/>
      <c r="X53" s="327"/>
      <c r="Y53" s="327"/>
      <c r="Z53" s="327"/>
    </row>
    <row r="54" spans="1:26" x14ac:dyDescent="0.35">
      <c r="A54" s="213"/>
      <c r="B54" s="214" t="s">
        <v>182</v>
      </c>
      <c r="C54" s="215">
        <v>65615</v>
      </c>
      <c r="D54" s="215">
        <v>122151.4030563128</v>
      </c>
      <c r="E54" s="215">
        <v>38966</v>
      </c>
      <c r="F54" s="215">
        <v>39609</v>
      </c>
      <c r="G54" s="215">
        <v>41637</v>
      </c>
      <c r="H54" s="215">
        <f>I54-E54-F54-G54</f>
        <v>45522</v>
      </c>
      <c r="I54" s="215">
        <v>165734</v>
      </c>
      <c r="J54" s="295">
        <v>49007</v>
      </c>
      <c r="K54" s="303">
        <v>51559</v>
      </c>
      <c r="L54" s="303">
        <v>53744</v>
      </c>
      <c r="M54" s="303">
        <f>+N54-SUM(J54,K54,L54)</f>
        <v>55633</v>
      </c>
      <c r="N54" s="303">
        <v>209943</v>
      </c>
      <c r="O54" s="250">
        <v>57102</v>
      </c>
      <c r="P54" s="250">
        <v>59618</v>
      </c>
      <c r="Q54" s="250">
        <v>82707</v>
      </c>
      <c r="R54" s="250">
        <f>+S54-SUM(O54:Q54)</f>
        <v>85863</v>
      </c>
      <c r="S54" s="250">
        <v>285290</v>
      </c>
      <c r="T54" s="250">
        <v>86961</v>
      </c>
      <c r="U54" s="250">
        <v>87871</v>
      </c>
      <c r="V54" s="250">
        <v>88753</v>
      </c>
      <c r="W54" s="327"/>
      <c r="X54" s="327"/>
      <c r="Y54" s="327"/>
      <c r="Z54" s="327"/>
    </row>
    <row r="55" spans="1:26" x14ac:dyDescent="0.35">
      <c r="A55" s="208"/>
      <c r="B55" s="216" t="s">
        <v>153</v>
      </c>
      <c r="C55" s="217">
        <v>0.44090000000000001</v>
      </c>
      <c r="D55" s="217">
        <f>D54/C54-1</f>
        <v>0.86163839147013332</v>
      </c>
      <c r="E55" s="217">
        <v>0.98229999999999995</v>
      </c>
      <c r="F55" s="217">
        <v>0.29549999999999998</v>
      </c>
      <c r="G55" s="217">
        <v>0.17419999999999999</v>
      </c>
      <c r="H55" s="217">
        <v>0.2485</v>
      </c>
      <c r="I55" s="217">
        <f t="shared" ref="I55" si="89">I54/D54-1</f>
        <v>0.35679161968852102</v>
      </c>
      <c r="J55" s="296">
        <f t="shared" ref="J55:V55" si="90">J54/E54-1</f>
        <v>0.25768618795873333</v>
      </c>
      <c r="K55" s="296">
        <f t="shared" si="90"/>
        <v>0.30169910878840667</v>
      </c>
      <c r="L55" s="296">
        <f t="shared" si="90"/>
        <v>0.29077503182265763</v>
      </c>
      <c r="M55" s="296">
        <f t="shared" si="90"/>
        <v>0.22211238522033305</v>
      </c>
      <c r="N55" s="296">
        <f t="shared" si="90"/>
        <v>0.26674671461498556</v>
      </c>
      <c r="O55" s="217">
        <f t="shared" si="90"/>
        <v>0.16518048442059308</v>
      </c>
      <c r="P55" s="217">
        <f t="shared" si="90"/>
        <v>0.15630636746251869</v>
      </c>
      <c r="Q55" s="217">
        <f t="shared" si="90"/>
        <v>0.53890666865138437</v>
      </c>
      <c r="R55" s="217">
        <f t="shared" si="90"/>
        <v>0.54338252476048399</v>
      </c>
      <c r="S55" s="217">
        <f t="shared" si="90"/>
        <v>0.35889265181501639</v>
      </c>
      <c r="T55" s="217">
        <f t="shared" si="90"/>
        <v>0.52290637806031315</v>
      </c>
      <c r="U55" s="217">
        <f t="shared" si="90"/>
        <v>0.47390049984903881</v>
      </c>
      <c r="V55" s="217">
        <f t="shared" si="90"/>
        <v>7.3101430350514418E-2</v>
      </c>
      <c r="W55" s="327"/>
      <c r="X55" s="327"/>
      <c r="Y55" s="327"/>
      <c r="Z55" s="327"/>
    </row>
    <row r="56" spans="1:26" x14ac:dyDescent="0.35">
      <c r="A56" s="208"/>
      <c r="B56" s="216" t="s">
        <v>168</v>
      </c>
      <c r="C56" s="218">
        <v>0.42799999999999999</v>
      </c>
      <c r="D56" s="218">
        <v>0.88100000000000001</v>
      </c>
      <c r="E56" s="218">
        <v>0.99670000000000003</v>
      </c>
      <c r="F56" s="218">
        <v>0.312</v>
      </c>
      <c r="G56" s="218">
        <v>0.19689999999999999</v>
      </c>
      <c r="H56" s="218">
        <v>0.27100000000000002</v>
      </c>
      <c r="I56" s="218">
        <v>0.376</v>
      </c>
      <c r="J56" s="297">
        <v>0.26449313786220241</v>
      </c>
      <c r="K56" s="301">
        <v>0.30672714056653971</v>
      </c>
      <c r="L56" s="296">
        <v>0.28622381929732188</v>
      </c>
      <c r="M56" s="296">
        <v>0.21556896689772653</v>
      </c>
      <c r="N56" s="296">
        <v>0.2666081850078057</v>
      </c>
      <c r="O56" s="217">
        <v>0.15791931376504653</v>
      </c>
      <c r="P56" s="217">
        <v>0.1540402023110381</v>
      </c>
      <c r="Q56" s="218">
        <v>0.5407405328511683</v>
      </c>
      <c r="R56" s="218">
        <v>0.54969054598859524</v>
      </c>
      <c r="S56" s="217">
        <v>0.35878167493354329</v>
      </c>
      <c r="T56" s="217">
        <v>0.53100000000000003</v>
      </c>
      <c r="U56" s="226">
        <v>0.47899999999999998</v>
      </c>
      <c r="V56" s="226">
        <v>7.8E-2</v>
      </c>
      <c r="W56" s="327"/>
      <c r="X56" s="327"/>
      <c r="Y56" s="327"/>
      <c r="Z56" s="327"/>
    </row>
    <row r="57" spans="1:26" x14ac:dyDescent="0.35">
      <c r="A57" s="208"/>
      <c r="B57" s="216" t="s">
        <v>58</v>
      </c>
      <c r="C57" s="219">
        <v>19572.54127862594</v>
      </c>
      <c r="D57" s="219">
        <v>43313.472940729494</v>
      </c>
      <c r="E57" s="219">
        <v>14194.544900827801</v>
      </c>
      <c r="F57" s="219">
        <v>14065</v>
      </c>
      <c r="G57" s="219">
        <v>15858</v>
      </c>
      <c r="H57" s="219">
        <f>I57-E57-F57-G57</f>
        <v>15275.455099172199</v>
      </c>
      <c r="I57" s="219">
        <v>59393</v>
      </c>
      <c r="J57" s="298">
        <f>ROUND(17250.6004479698,0)</f>
        <v>17251</v>
      </c>
      <c r="K57" s="298">
        <f>ROUND(17907.9207157307,0)</f>
        <v>17908</v>
      </c>
      <c r="L57" s="298">
        <f>ROUND(18114.961717834,0)-1</f>
        <v>18114</v>
      </c>
      <c r="M57" s="298">
        <f>ROUND(+N57-SUM(J57,K57,L57),0)</f>
        <v>19710</v>
      </c>
      <c r="N57" s="298">
        <f>ROUND(72983.3295386044,0)</f>
        <v>72983</v>
      </c>
      <c r="O57" s="219">
        <v>19027</v>
      </c>
      <c r="P57" s="219">
        <v>20962</v>
      </c>
      <c r="Q57" s="219">
        <v>29069</v>
      </c>
      <c r="R57" s="219">
        <f>+S57-SUM(O57:Q57)</f>
        <v>31628</v>
      </c>
      <c r="S57" s="219">
        <v>100686</v>
      </c>
      <c r="T57" s="219">
        <v>30059</v>
      </c>
      <c r="U57" s="219">
        <v>30440</v>
      </c>
      <c r="V57" s="219">
        <v>30920</v>
      </c>
      <c r="W57" s="327"/>
      <c r="X57" s="327"/>
      <c r="Y57" s="327"/>
      <c r="Z57" s="327"/>
    </row>
    <row r="58" spans="1:26" x14ac:dyDescent="0.35">
      <c r="A58" s="208"/>
      <c r="B58" s="216" t="s">
        <v>60</v>
      </c>
      <c r="C58" s="218">
        <v>0.29830000000000001</v>
      </c>
      <c r="D58" s="218">
        <v>0.35460000000000003</v>
      </c>
      <c r="E58" s="218">
        <v>0.36430000000000001</v>
      </c>
      <c r="F58" s="218">
        <v>0.35510000000000003</v>
      </c>
      <c r="G58" s="218">
        <v>0.38090000000000002</v>
      </c>
      <c r="H58" s="218">
        <v>0.33560000000000001</v>
      </c>
      <c r="I58" s="218">
        <v>0.3584</v>
      </c>
      <c r="J58" s="297">
        <f t="shared" ref="J58:O58" si="91">J57/J54</f>
        <v>0.35201093721305121</v>
      </c>
      <c r="K58" s="297">
        <f t="shared" si="91"/>
        <v>0.34733024302255666</v>
      </c>
      <c r="L58" s="297">
        <f t="shared" si="91"/>
        <v>0.3370422744864543</v>
      </c>
      <c r="M58" s="297">
        <f t="shared" ref="M58" si="92">M57/M54</f>
        <v>0.35428612514155267</v>
      </c>
      <c r="N58" s="297">
        <f t="shared" ref="N58" si="93">N57/N54</f>
        <v>0.34763245261809156</v>
      </c>
      <c r="O58" s="218">
        <f t="shared" si="91"/>
        <v>0.33321074568316345</v>
      </c>
      <c r="P58" s="218">
        <f t="shared" ref="P58:Q58" si="94">P57/P54</f>
        <v>0.35160521990003019</v>
      </c>
      <c r="Q58" s="218">
        <f t="shared" si="94"/>
        <v>0.35146964585827078</v>
      </c>
      <c r="R58" s="218">
        <f t="shared" ref="R58:S58" si="95">R57/R54</f>
        <v>0.36835423872913831</v>
      </c>
      <c r="S58" s="218">
        <f t="shared" si="95"/>
        <v>0.35292509376423992</v>
      </c>
      <c r="T58" s="218">
        <f t="shared" ref="T58:U58" si="96">T57/T54</f>
        <v>0.34566069847402858</v>
      </c>
      <c r="U58" s="218">
        <f t="shared" si="96"/>
        <v>0.34641690660172297</v>
      </c>
      <c r="V58" s="218">
        <f t="shared" ref="V58" si="97">V57/V54</f>
        <v>0.34838258988428561</v>
      </c>
      <c r="W58" s="327"/>
      <c r="X58" s="327"/>
      <c r="Y58" s="327"/>
      <c r="Z58" s="327"/>
    </row>
    <row r="59" spans="1:26" x14ac:dyDescent="0.35">
      <c r="A59" s="208"/>
      <c r="B59" s="216"/>
      <c r="C59" s="218"/>
      <c r="D59" s="218"/>
      <c r="E59" s="218"/>
      <c r="F59" s="218"/>
      <c r="G59" s="218"/>
      <c r="H59" s="218"/>
      <c r="I59" s="218"/>
      <c r="J59" s="297"/>
      <c r="K59" s="300"/>
      <c r="L59" s="300"/>
      <c r="M59" s="300"/>
      <c r="N59" s="300"/>
      <c r="R59" s="207"/>
      <c r="S59" s="207"/>
      <c r="T59" s="207"/>
      <c r="U59" s="207"/>
      <c r="V59" s="207"/>
      <c r="W59" s="327"/>
      <c r="X59" s="327"/>
      <c r="Y59" s="327"/>
      <c r="Z59" s="327"/>
    </row>
    <row r="60" spans="1:26" x14ac:dyDescent="0.35">
      <c r="A60" s="213"/>
      <c r="B60" s="214" t="s">
        <v>85</v>
      </c>
      <c r="C60" s="215">
        <v>499278</v>
      </c>
      <c r="D60" s="215">
        <v>628492</v>
      </c>
      <c r="E60" s="215">
        <v>167036</v>
      </c>
      <c r="F60" s="215">
        <f>F54+F17</f>
        <v>170478</v>
      </c>
      <c r="G60" s="215">
        <f>G54+G17</f>
        <v>171200</v>
      </c>
      <c r="H60" s="215">
        <f>H54+H17</f>
        <v>177274</v>
      </c>
      <c r="I60" s="215">
        <f>I54+I17</f>
        <v>685988</v>
      </c>
      <c r="J60" s="215">
        <f t="shared" ref="J60:O60" si="98">+J54+J17</f>
        <v>183033</v>
      </c>
      <c r="K60" s="215">
        <f t="shared" si="98"/>
        <v>189057</v>
      </c>
      <c r="L60" s="215">
        <f t="shared" si="98"/>
        <v>192345</v>
      </c>
      <c r="M60" s="215">
        <f t="shared" ref="M60" si="99">+M54+M17</f>
        <v>197875</v>
      </c>
      <c r="N60" s="215">
        <f t="shared" ref="N60" si="100">+N54+N17</f>
        <v>762310</v>
      </c>
      <c r="O60" s="215">
        <f t="shared" si="98"/>
        <v>206973</v>
      </c>
      <c r="P60" s="215">
        <f t="shared" ref="P60:Q60" si="101">+P54+P17</f>
        <v>210112</v>
      </c>
      <c r="Q60" s="215">
        <f t="shared" si="101"/>
        <v>231124</v>
      </c>
      <c r="R60" s="215">
        <f t="shared" ref="R60:S60" si="102">+R54+R17</f>
        <v>234903</v>
      </c>
      <c r="S60" s="215">
        <f t="shared" si="102"/>
        <v>883112</v>
      </c>
      <c r="T60" s="215">
        <f t="shared" ref="T60:U60" si="103">+T54+T17</f>
        <v>239573</v>
      </c>
      <c r="U60" s="215">
        <f t="shared" si="103"/>
        <v>243509</v>
      </c>
      <c r="V60" s="215">
        <f t="shared" ref="V60" si="104">+V54+V17</f>
        <v>251392</v>
      </c>
      <c r="W60" s="327"/>
      <c r="X60" s="327"/>
      <c r="Y60" s="327"/>
      <c r="Z60" s="327"/>
    </row>
    <row r="61" spans="1:26" x14ac:dyDescent="0.35">
      <c r="A61" s="208"/>
      <c r="B61" s="216"/>
      <c r="C61" s="212"/>
      <c r="D61" s="212"/>
      <c r="E61" s="218"/>
      <c r="F61" s="218"/>
      <c r="G61" s="218"/>
      <c r="H61" s="218"/>
      <c r="I61" s="212"/>
      <c r="J61" s="356"/>
      <c r="K61" s="356"/>
      <c r="L61" s="356"/>
      <c r="M61" s="356"/>
      <c r="N61" s="356"/>
      <c r="R61" s="207"/>
      <c r="S61" s="207"/>
      <c r="T61" s="207"/>
      <c r="U61" s="207"/>
      <c r="V61" s="207"/>
      <c r="W61" s="327"/>
      <c r="X61" s="327"/>
      <c r="Y61" s="327"/>
      <c r="Z61" s="327"/>
    </row>
    <row r="62" spans="1:26" ht="39.75" customHeight="1" x14ac:dyDescent="0.35">
      <c r="A62" s="208"/>
      <c r="B62" s="406" t="s">
        <v>184</v>
      </c>
      <c r="C62" s="406"/>
      <c r="D62" s="406"/>
      <c r="E62" s="406"/>
      <c r="F62" s="406"/>
      <c r="G62" s="406"/>
      <c r="H62" s="406"/>
      <c r="I62" s="406"/>
      <c r="J62" s="406"/>
      <c r="K62" s="406"/>
      <c r="L62" s="252"/>
      <c r="M62" s="321"/>
      <c r="N62" s="321"/>
      <c r="O62" s="320"/>
      <c r="P62" s="344"/>
      <c r="Q62" s="349"/>
      <c r="R62" s="350"/>
      <c r="S62" s="350"/>
      <c r="T62" s="365"/>
      <c r="U62" s="380"/>
      <c r="V62" s="389"/>
      <c r="W62" s="327"/>
      <c r="X62" s="327"/>
      <c r="Y62" s="327"/>
      <c r="Z62" s="327"/>
    </row>
    <row r="63" spans="1:26" x14ac:dyDescent="0.35">
      <c r="A63" s="208"/>
      <c r="B63" s="220" t="s">
        <v>185</v>
      </c>
      <c r="C63" s="212"/>
      <c r="D63" s="212"/>
      <c r="E63" s="218"/>
      <c r="F63" s="218"/>
      <c r="G63" s="218"/>
      <c r="H63" s="218"/>
      <c r="I63" s="212"/>
      <c r="J63" s="218"/>
      <c r="R63" s="207"/>
      <c r="S63" s="207"/>
      <c r="T63" s="207"/>
      <c r="U63" s="207"/>
      <c r="V63" s="207"/>
      <c r="W63" s="327"/>
      <c r="X63" s="327"/>
      <c r="Y63" s="327"/>
      <c r="Z63" s="327"/>
    </row>
    <row r="64" spans="1:26" x14ac:dyDescent="0.35">
      <c r="A64" s="208"/>
      <c r="B64" s="220" t="s">
        <v>186</v>
      </c>
      <c r="C64" s="212"/>
      <c r="D64" s="212"/>
      <c r="E64" s="218"/>
      <c r="F64" s="218"/>
      <c r="G64" s="218"/>
      <c r="H64" s="218"/>
      <c r="I64" s="212"/>
      <c r="J64" s="218"/>
      <c r="R64" s="207"/>
      <c r="S64" s="207"/>
      <c r="T64" s="375"/>
      <c r="U64" s="375"/>
      <c r="V64" s="375"/>
      <c r="W64" s="327"/>
      <c r="X64" s="327"/>
      <c r="Y64" s="327"/>
      <c r="Z64" s="327"/>
    </row>
    <row r="65" spans="1:26" x14ac:dyDescent="0.35">
      <c r="A65" s="208"/>
      <c r="C65" s="212"/>
      <c r="D65" s="212"/>
      <c r="E65" s="218"/>
      <c r="F65" s="218"/>
      <c r="G65" s="218"/>
      <c r="H65" s="218"/>
      <c r="I65" s="212"/>
      <c r="J65" s="218"/>
      <c r="R65" s="207"/>
      <c r="S65" s="207"/>
      <c r="T65" s="376"/>
      <c r="U65" s="376"/>
      <c r="V65" s="376"/>
      <c r="W65" s="327"/>
      <c r="X65" s="327"/>
      <c r="Y65" s="327"/>
      <c r="Z65" s="327"/>
    </row>
    <row r="66" spans="1:26" ht="42" customHeight="1" x14ac:dyDescent="0.35">
      <c r="A66" s="208"/>
      <c r="B66" s="406" t="s">
        <v>187</v>
      </c>
      <c r="C66" s="406"/>
      <c r="D66" s="406"/>
      <c r="E66" s="406"/>
      <c r="F66" s="406"/>
      <c r="G66" s="406"/>
      <c r="H66" s="406"/>
      <c r="I66" s="406"/>
      <c r="J66" s="406"/>
      <c r="K66" s="406"/>
      <c r="L66" s="252"/>
      <c r="M66" s="321"/>
      <c r="N66" s="321"/>
      <c r="O66" s="320"/>
      <c r="P66" s="344"/>
      <c r="Q66" s="349"/>
      <c r="R66" s="350"/>
      <c r="S66" s="350"/>
      <c r="T66" s="365"/>
      <c r="U66" s="380"/>
      <c r="V66" s="389"/>
      <c r="W66" s="327"/>
      <c r="X66" s="327"/>
      <c r="Y66" s="327"/>
      <c r="Z66" s="327"/>
    </row>
    <row r="67" spans="1:26" x14ac:dyDescent="0.35">
      <c r="A67" s="208"/>
      <c r="B67" s="220" t="s">
        <v>188</v>
      </c>
      <c r="C67" s="212"/>
      <c r="D67" s="212"/>
      <c r="E67" s="218"/>
      <c r="F67" s="218"/>
      <c r="G67" s="218"/>
      <c r="H67" s="218"/>
      <c r="I67" s="212"/>
      <c r="J67" s="218"/>
      <c r="R67" s="207"/>
      <c r="S67" s="207"/>
      <c r="T67" s="207"/>
      <c r="U67" s="207"/>
      <c r="V67" s="207"/>
      <c r="W67" s="327"/>
      <c r="X67" s="327"/>
      <c r="Y67" s="327"/>
      <c r="Z67" s="327"/>
    </row>
    <row r="68" spans="1:26" x14ac:dyDescent="0.35">
      <c r="A68" s="208"/>
      <c r="B68" s="220" t="s">
        <v>186</v>
      </c>
      <c r="C68" s="212"/>
      <c r="D68" s="212"/>
      <c r="E68" s="218"/>
      <c r="F68" s="218"/>
      <c r="G68" s="218"/>
      <c r="H68" s="218"/>
      <c r="I68" s="212"/>
      <c r="J68" s="218"/>
      <c r="R68" s="207"/>
      <c r="S68" s="207"/>
      <c r="T68" s="207"/>
      <c r="U68" s="207"/>
      <c r="V68" s="207"/>
      <c r="W68" s="327"/>
      <c r="X68" s="327"/>
      <c r="Y68" s="327"/>
      <c r="Z68" s="327"/>
    </row>
    <row r="69" spans="1:26" x14ac:dyDescent="0.35">
      <c r="A69" s="208"/>
      <c r="C69" s="212"/>
      <c r="D69" s="212"/>
      <c r="E69" s="218"/>
      <c r="F69" s="218"/>
      <c r="G69" s="218"/>
      <c r="H69" s="218"/>
      <c r="I69" s="212"/>
      <c r="J69" s="218"/>
      <c r="R69" s="207"/>
      <c r="S69" s="207"/>
      <c r="T69" s="207"/>
      <c r="U69" s="207"/>
      <c r="V69" s="207"/>
      <c r="W69" s="327"/>
      <c r="X69" s="327"/>
      <c r="Y69" s="327"/>
      <c r="Z69" s="327"/>
    </row>
    <row r="70" spans="1:26" x14ac:dyDescent="0.35">
      <c r="A70" s="208"/>
      <c r="B70" s="224" t="s">
        <v>183</v>
      </c>
      <c r="C70" s="212"/>
      <c r="D70" s="212"/>
      <c r="E70" s="218"/>
      <c r="F70" s="218"/>
      <c r="G70" s="218"/>
      <c r="H70" s="218"/>
      <c r="I70" s="212"/>
      <c r="J70" s="218"/>
      <c r="R70" s="207"/>
      <c r="S70" s="207"/>
      <c r="T70" s="207"/>
      <c r="U70" s="207"/>
      <c r="V70" s="207"/>
      <c r="W70" s="327"/>
      <c r="X70" s="327"/>
      <c r="Y70" s="327"/>
      <c r="Z70" s="327"/>
    </row>
    <row r="71" spans="1:26" x14ac:dyDescent="0.35">
      <c r="A71" s="208"/>
      <c r="B71" s="224"/>
      <c r="C71" s="212"/>
      <c r="D71" s="212"/>
      <c r="E71" s="218"/>
      <c r="F71" s="218"/>
      <c r="G71" s="218"/>
      <c r="H71" s="218"/>
      <c r="I71" s="212"/>
      <c r="J71" s="218"/>
      <c r="R71" s="207"/>
      <c r="S71" s="207"/>
      <c r="T71" s="207"/>
      <c r="U71" s="207"/>
      <c r="V71" s="207"/>
      <c r="W71" s="327"/>
      <c r="X71" s="327"/>
      <c r="Y71" s="327"/>
      <c r="Z71" s="327"/>
    </row>
    <row r="72" spans="1:26" x14ac:dyDescent="0.35">
      <c r="A72" s="208"/>
      <c r="B72" s="224" t="s">
        <v>207</v>
      </c>
      <c r="C72" s="212"/>
      <c r="D72" s="212"/>
      <c r="E72" s="218"/>
      <c r="F72" s="218"/>
      <c r="G72" s="218"/>
      <c r="H72" s="218"/>
      <c r="I72" s="212"/>
      <c r="J72" s="218"/>
      <c r="R72" s="207"/>
      <c r="S72" s="207"/>
      <c r="T72" s="207"/>
      <c r="U72" s="207"/>
      <c r="V72" s="207"/>
      <c r="W72" s="327"/>
      <c r="X72" s="327"/>
      <c r="Y72" s="327"/>
      <c r="Z72" s="327"/>
    </row>
    <row r="73" spans="1:26" x14ac:dyDescent="0.35">
      <c r="A73" s="208"/>
      <c r="B73" s="224" t="s">
        <v>208</v>
      </c>
      <c r="C73" s="212"/>
      <c r="D73" s="212"/>
      <c r="E73" s="218"/>
      <c r="F73" s="218"/>
      <c r="G73" s="218"/>
      <c r="H73" s="218"/>
      <c r="I73" s="212"/>
      <c r="J73" s="218"/>
      <c r="R73" s="207"/>
      <c r="S73" s="207"/>
      <c r="T73" s="207"/>
      <c r="U73" s="207"/>
      <c r="V73" s="207"/>
      <c r="W73" s="327"/>
      <c r="X73" s="327"/>
      <c r="Y73" s="327"/>
      <c r="Z73" s="327"/>
    </row>
    <row r="74" spans="1:26" x14ac:dyDescent="0.35">
      <c r="A74" s="208"/>
      <c r="B74" s="224"/>
      <c r="C74" s="212"/>
      <c r="D74" s="212"/>
      <c r="E74" s="218"/>
      <c r="F74" s="218"/>
      <c r="G74" s="218"/>
      <c r="H74" s="218"/>
      <c r="I74" s="212"/>
      <c r="J74" s="218"/>
      <c r="R74" s="207"/>
      <c r="S74" s="207"/>
      <c r="T74" s="207"/>
      <c r="U74" s="207"/>
      <c r="V74" s="207"/>
      <c r="W74" s="327"/>
      <c r="X74" s="327"/>
      <c r="Y74" s="327"/>
      <c r="Z74" s="327"/>
    </row>
    <row r="75" spans="1:26" x14ac:dyDescent="0.35">
      <c r="A75" s="208"/>
      <c r="B75" s="224" t="s">
        <v>219</v>
      </c>
      <c r="C75" s="212"/>
      <c r="D75" s="212"/>
      <c r="E75" s="218"/>
      <c r="F75" s="218"/>
      <c r="G75" s="218"/>
      <c r="H75" s="218"/>
      <c r="I75" s="212"/>
      <c r="J75" s="218"/>
      <c r="R75" s="207"/>
      <c r="S75" s="207"/>
      <c r="T75" s="207"/>
      <c r="U75" s="207"/>
      <c r="V75" s="207"/>
      <c r="W75" s="327"/>
      <c r="X75" s="327"/>
      <c r="Y75" s="327"/>
      <c r="Z75" s="327"/>
    </row>
    <row r="76" spans="1:26" x14ac:dyDescent="0.35">
      <c r="A76" s="208"/>
      <c r="B76" s="224" t="s">
        <v>220</v>
      </c>
      <c r="C76" s="212"/>
      <c r="D76" s="212"/>
      <c r="E76" s="218"/>
      <c r="F76" s="218"/>
      <c r="G76" s="218"/>
      <c r="H76" s="218"/>
      <c r="I76" s="212"/>
      <c r="J76" s="218"/>
      <c r="R76" s="207"/>
      <c r="S76" s="207"/>
      <c r="T76" s="207"/>
      <c r="U76" s="207"/>
      <c r="V76" s="207"/>
      <c r="W76" s="327"/>
      <c r="X76" s="327"/>
      <c r="Y76" s="327"/>
      <c r="Z76" s="327"/>
    </row>
    <row r="77" spans="1:26" x14ac:dyDescent="0.35">
      <c r="A77" s="208"/>
      <c r="B77" s="224" t="s">
        <v>221</v>
      </c>
      <c r="C77" s="212"/>
      <c r="D77" s="212"/>
      <c r="E77" s="218"/>
      <c r="F77" s="218"/>
      <c r="G77" s="218"/>
      <c r="H77" s="218"/>
      <c r="I77" s="212"/>
      <c r="J77" s="218"/>
      <c r="R77" s="207"/>
      <c r="S77" s="207"/>
      <c r="T77" s="207"/>
      <c r="U77" s="207"/>
      <c r="V77" s="207"/>
      <c r="X77" s="327"/>
      <c r="Z77" s="327"/>
    </row>
    <row r="78" spans="1:26" x14ac:dyDescent="0.35">
      <c r="A78" s="208"/>
      <c r="B78" s="216"/>
      <c r="C78" s="212"/>
      <c r="D78" s="212"/>
      <c r="E78" s="218"/>
      <c r="F78" s="218"/>
      <c r="G78" s="218"/>
      <c r="H78" s="218"/>
      <c r="I78" s="212"/>
      <c r="J78" s="218"/>
      <c r="R78" s="207"/>
      <c r="S78" s="207"/>
      <c r="T78" s="207"/>
      <c r="U78" s="207"/>
      <c r="V78" s="207"/>
      <c r="X78" s="327"/>
      <c r="Z78" s="327"/>
    </row>
    <row r="79" spans="1:26" x14ac:dyDescent="0.35">
      <c r="A79" s="208"/>
      <c r="B79" s="216"/>
      <c r="C79" s="212"/>
      <c r="D79" s="212"/>
      <c r="E79" s="218"/>
      <c r="F79" s="218"/>
      <c r="G79" s="218"/>
      <c r="H79" s="218"/>
      <c r="I79" s="212"/>
      <c r="J79" s="218"/>
      <c r="R79" s="207"/>
      <c r="S79" s="207"/>
      <c r="T79" s="207"/>
      <c r="U79" s="207"/>
      <c r="V79" s="207"/>
      <c r="X79" s="327"/>
      <c r="Z79" s="327"/>
    </row>
    <row r="80" spans="1:26" x14ac:dyDescent="0.35">
      <c r="A80" s="213"/>
      <c r="B80" s="214" t="s">
        <v>218</v>
      </c>
      <c r="C80" s="228"/>
      <c r="D80" s="228"/>
      <c r="E80" s="228"/>
      <c r="F80" s="228"/>
      <c r="G80" s="228"/>
      <c r="H80" s="228"/>
      <c r="I80" s="228"/>
      <c r="J80" s="228"/>
      <c r="K80" s="215"/>
      <c r="L80" s="215"/>
      <c r="M80" s="215"/>
      <c r="N80" s="215"/>
      <c r="O80" s="215"/>
      <c r="P80" s="215"/>
      <c r="Q80" s="215"/>
      <c r="R80" s="215"/>
      <c r="S80" s="215"/>
      <c r="T80" s="215"/>
      <c r="U80" s="215"/>
      <c r="V80" s="215"/>
      <c r="X80" s="327"/>
      <c r="Z80" s="327"/>
    </row>
    <row r="81" spans="1:26" x14ac:dyDescent="0.35">
      <c r="A81" s="208"/>
      <c r="B81" s="229" t="s">
        <v>157</v>
      </c>
      <c r="C81" s="230">
        <f t="shared" ref="C81:I81" si="105">C82*C60</f>
        <v>193869.64739999999</v>
      </c>
      <c r="D81" s="230">
        <f t="shared" si="105"/>
        <v>278044.86080000002</v>
      </c>
      <c r="E81" s="230">
        <f t="shared" si="105"/>
        <v>71658.444000000003</v>
      </c>
      <c r="F81" s="230">
        <f t="shared" si="105"/>
        <v>73203.253200000006</v>
      </c>
      <c r="G81" s="230">
        <f t="shared" si="105"/>
        <v>75071.199999999997</v>
      </c>
      <c r="H81" s="230">
        <f t="shared" si="105"/>
        <v>73480.072999999989</v>
      </c>
      <c r="I81" s="230">
        <f t="shared" si="105"/>
        <v>293602.864</v>
      </c>
      <c r="J81" s="307">
        <v>77240.412532799455</v>
      </c>
      <c r="K81" s="307">
        <v>79617.534971087662</v>
      </c>
      <c r="L81" s="307">
        <v>80949.247830402906</v>
      </c>
      <c r="M81" s="307">
        <v>83284.909143715704</v>
      </c>
      <c r="N81" s="307">
        <f>J81+K81+L81+M81</f>
        <v>321092.10447800573</v>
      </c>
      <c r="O81" s="230">
        <v>90659.480287046856</v>
      </c>
      <c r="P81" s="230">
        <v>93663.40367665753</v>
      </c>
      <c r="Q81" s="230">
        <v>96028.058361202435</v>
      </c>
      <c r="R81" s="230">
        <v>95227.546474638701</v>
      </c>
      <c r="S81" s="230">
        <f>O81+P81+Q81+R81</f>
        <v>375578.48879954551</v>
      </c>
      <c r="T81" s="230">
        <v>100958.7534962692</v>
      </c>
      <c r="U81" s="230">
        <v>103525.8957768306</v>
      </c>
      <c r="V81" s="230">
        <v>109286.83625354461</v>
      </c>
      <c r="W81" s="328"/>
      <c r="X81" s="327"/>
      <c r="Y81" s="328"/>
      <c r="Z81" s="327"/>
    </row>
    <row r="82" spans="1:26" x14ac:dyDescent="0.35">
      <c r="A82" s="231"/>
      <c r="B82" s="229"/>
      <c r="C82" s="232">
        <v>0.38829999999999998</v>
      </c>
      <c r="D82" s="232">
        <v>0.44240000000000002</v>
      </c>
      <c r="E82" s="232">
        <v>0.42899999999999999</v>
      </c>
      <c r="F82" s="232">
        <v>0.4294</v>
      </c>
      <c r="G82" s="232">
        <v>0.4385</v>
      </c>
      <c r="H82" s="232">
        <v>0.41449999999999998</v>
      </c>
      <c r="I82" s="232">
        <v>0.42799999999999999</v>
      </c>
      <c r="J82" s="308">
        <f>J81/$J$60</f>
        <v>0.42200265816983523</v>
      </c>
      <c r="K82" s="308">
        <f>K81/$K$60</f>
        <v>0.42112979139141987</v>
      </c>
      <c r="L82" s="308">
        <f>L81/$L$60</f>
        <v>0.42085444295616165</v>
      </c>
      <c r="M82" s="308">
        <f>M81/$M$60</f>
        <v>0.42089657179388856</v>
      </c>
      <c r="N82" s="308">
        <f>N81/$N$60</f>
        <v>0.42120935640094676</v>
      </c>
      <c r="O82" s="313">
        <f>+O81/$O$60</f>
        <v>0.43802563758097363</v>
      </c>
      <c r="P82" s="313">
        <f>+P81/$P$60</f>
        <v>0.44577845947236489</v>
      </c>
      <c r="Q82" s="313">
        <f>+Q81/$Q$60</f>
        <v>0.4154828505962273</v>
      </c>
      <c r="R82" s="313">
        <f>+R81/$R$60</f>
        <v>0.4053909335965854</v>
      </c>
      <c r="S82" s="313">
        <f>S81/$S$60</f>
        <v>0.42528975803697094</v>
      </c>
      <c r="T82" s="313">
        <f>T81/$T$60</f>
        <v>0.42141123372111716</v>
      </c>
      <c r="U82" s="313">
        <f>U81/$U$60</f>
        <v>0.42514196919551472</v>
      </c>
      <c r="V82" s="313">
        <f>V81/$V$60</f>
        <v>0.43472678626823691</v>
      </c>
      <c r="W82" s="328"/>
      <c r="X82" s="327"/>
      <c r="Y82" s="328"/>
      <c r="Z82" s="327"/>
    </row>
    <row r="83" spans="1:26" x14ac:dyDescent="0.35">
      <c r="A83" s="231"/>
      <c r="B83" s="229" t="s">
        <v>156</v>
      </c>
      <c r="C83" s="230">
        <f t="shared" ref="C83:I83" si="106">C84*C60</f>
        <v>60662.277000000002</v>
      </c>
      <c r="D83" s="230">
        <f t="shared" si="106"/>
        <v>82018.206000000006</v>
      </c>
      <c r="E83" s="230">
        <f t="shared" si="106"/>
        <v>23752.519199999999</v>
      </c>
      <c r="F83" s="230">
        <f t="shared" si="106"/>
        <v>26117.229599999999</v>
      </c>
      <c r="G83" s="230">
        <f t="shared" si="106"/>
        <v>23659.839999999997</v>
      </c>
      <c r="H83" s="230">
        <f t="shared" si="106"/>
        <v>30242.9444</v>
      </c>
      <c r="I83" s="230">
        <f t="shared" si="106"/>
        <v>103584.18799999999</v>
      </c>
      <c r="J83" s="307">
        <v>28565.750130000004</v>
      </c>
      <c r="K83" s="307">
        <v>28156.917699999998</v>
      </c>
      <c r="L83" s="307">
        <v>30230.509270000002</v>
      </c>
      <c r="M83" s="307">
        <v>33211.816870000002</v>
      </c>
      <c r="N83" s="307">
        <f>J83+K83+L83+M83</f>
        <v>120164.99397000001</v>
      </c>
      <c r="O83" s="230">
        <v>34104.735787288213</v>
      </c>
      <c r="P83" s="230">
        <v>31671.265590000003</v>
      </c>
      <c r="Q83" s="230">
        <v>52232.656980799991</v>
      </c>
      <c r="R83" s="230">
        <v>57047.38757359999</v>
      </c>
      <c r="S83" s="230">
        <f>O83+P83+Q83+R83</f>
        <v>175056.04593168822</v>
      </c>
      <c r="T83" s="230">
        <v>53248.401116638008</v>
      </c>
      <c r="U83" s="230">
        <v>53986.086069446013</v>
      </c>
      <c r="V83" s="230">
        <v>55980.109864710008</v>
      </c>
      <c r="W83" s="328"/>
      <c r="X83" s="327"/>
      <c r="Y83" s="328"/>
      <c r="Z83" s="327"/>
    </row>
    <row r="84" spans="1:26" x14ac:dyDescent="0.35">
      <c r="A84" s="231"/>
      <c r="B84" s="229"/>
      <c r="C84" s="232">
        <v>0.1215</v>
      </c>
      <c r="D84" s="232">
        <v>0.1305</v>
      </c>
      <c r="E84" s="232">
        <v>0.14219999999999999</v>
      </c>
      <c r="F84" s="232">
        <v>0.1532</v>
      </c>
      <c r="G84" s="232">
        <v>0.13819999999999999</v>
      </c>
      <c r="H84" s="232">
        <v>0.1706</v>
      </c>
      <c r="I84" s="232">
        <v>0.151</v>
      </c>
      <c r="J84" s="308">
        <f>J83/$J$60</f>
        <v>0.15606885168248349</v>
      </c>
      <c r="K84" s="308">
        <f>K83/$K$60</f>
        <v>0.14893348408152038</v>
      </c>
      <c r="L84" s="308">
        <f>L83/$L$60</f>
        <v>0.15716815758142921</v>
      </c>
      <c r="M84" s="308">
        <f>M83/$M$60</f>
        <v>0.16784240995578018</v>
      </c>
      <c r="N84" s="308">
        <f>+N83/$N$60</f>
        <v>0.15763271368603327</v>
      </c>
      <c r="O84" s="313">
        <f>+O83/$O$60</f>
        <v>0.16477867058644466</v>
      </c>
      <c r="P84" s="313">
        <f>+P83/$P$60</f>
        <v>0.15073515834412124</v>
      </c>
      <c r="Q84" s="313">
        <f>+Q83/$Q$60</f>
        <v>0.22599408534293275</v>
      </c>
      <c r="R84" s="313">
        <f>+R83/$R$60</f>
        <v>0.24285508304959916</v>
      </c>
      <c r="S84" s="313">
        <f>+S83/$S$60</f>
        <v>0.19822632455644157</v>
      </c>
      <c r="T84" s="313">
        <f>+T83/$T$60</f>
        <v>0.22226378229866475</v>
      </c>
      <c r="U84" s="313">
        <f>+U83/$U$60</f>
        <v>0.2217005780872412</v>
      </c>
      <c r="V84" s="313">
        <f>+V83/$V$60</f>
        <v>0.22268055413342511</v>
      </c>
      <c r="W84" s="328"/>
      <c r="X84" s="327"/>
      <c r="Y84" s="328"/>
      <c r="Z84" s="327"/>
    </row>
    <row r="85" spans="1:26" x14ac:dyDescent="0.35">
      <c r="A85" s="231"/>
      <c r="B85" s="216" t="s">
        <v>86</v>
      </c>
      <c r="C85" s="230">
        <f t="shared" ref="C85:I85" si="107">C86*C60</f>
        <v>58215.8148</v>
      </c>
      <c r="D85" s="230">
        <f t="shared" si="107"/>
        <v>60335.232000000004</v>
      </c>
      <c r="E85" s="230">
        <f t="shared" si="107"/>
        <v>13663.5448</v>
      </c>
      <c r="F85" s="230">
        <f t="shared" si="107"/>
        <v>13450.7142</v>
      </c>
      <c r="G85" s="230">
        <f t="shared" si="107"/>
        <v>12840</v>
      </c>
      <c r="H85" s="230">
        <f t="shared" si="107"/>
        <v>11717.811400000001</v>
      </c>
      <c r="I85" s="230">
        <f t="shared" si="107"/>
        <v>51723.495199999998</v>
      </c>
      <c r="J85" s="307">
        <v>11777.272072499996</v>
      </c>
      <c r="K85" s="307">
        <v>11915.431817500003</v>
      </c>
      <c r="L85" s="307">
        <v>10973.253296499999</v>
      </c>
      <c r="M85" s="307">
        <v>10686.693969299999</v>
      </c>
      <c r="N85" s="307">
        <f>J85+K85+L85+M85</f>
        <v>45352.651155799991</v>
      </c>
      <c r="O85" s="230">
        <v>11157.050967200001</v>
      </c>
      <c r="P85" s="230">
        <v>11094.3475992</v>
      </c>
      <c r="Q85" s="230">
        <v>11047.168775000002</v>
      </c>
      <c r="R85" s="230">
        <v>10730.098052000003</v>
      </c>
      <c r="S85" s="230">
        <f>O85+P85+Q85+R85</f>
        <v>44028.665393400006</v>
      </c>
      <c r="T85" s="230">
        <v>10655.176801822998</v>
      </c>
      <c r="U85" s="230">
        <v>11018.624987452999</v>
      </c>
      <c r="V85" s="230">
        <v>10498.847609164</v>
      </c>
      <c r="W85" s="328"/>
      <c r="X85" s="327"/>
      <c r="Y85" s="328"/>
      <c r="Z85" s="327"/>
    </row>
    <row r="86" spans="1:26" x14ac:dyDescent="0.35">
      <c r="A86" s="208"/>
      <c r="B86" s="216"/>
      <c r="C86" s="232">
        <v>0.1166</v>
      </c>
      <c r="D86" s="232">
        <v>9.6000000000000002E-2</v>
      </c>
      <c r="E86" s="232">
        <v>8.1799999999999998E-2</v>
      </c>
      <c r="F86" s="232">
        <v>7.8899999999999998E-2</v>
      </c>
      <c r="G86" s="232">
        <v>7.4999999999999997E-2</v>
      </c>
      <c r="H86" s="232">
        <v>6.6100000000000006E-2</v>
      </c>
      <c r="I86" s="232">
        <v>7.5399999999999995E-2</v>
      </c>
      <c r="J86" s="308">
        <f>J85/$J$60</f>
        <v>6.4345074781596748E-2</v>
      </c>
      <c r="K86" s="308">
        <f>K85/$K$60</f>
        <v>6.3025605068841681E-2</v>
      </c>
      <c r="L86" s="308">
        <f>L85/$L$60</f>
        <v>5.7049849471002619E-2</v>
      </c>
      <c r="M86" s="308">
        <f>M85/$M$60</f>
        <v>5.4007297381174976E-2</v>
      </c>
      <c r="N86" s="308">
        <f>+N85/$N$60</f>
        <v>5.949371142422373E-2</v>
      </c>
      <c r="O86" s="313">
        <f>+O85/$O$60</f>
        <v>5.3905828137969687E-2</v>
      </c>
      <c r="P86" s="313">
        <f>+P85/$P$60</f>
        <v>5.2802065561224493E-2</v>
      </c>
      <c r="Q86" s="313">
        <f>+Q85/$Q$60</f>
        <v>4.779758387272634E-2</v>
      </c>
      <c r="R86" s="313">
        <f>+R85/$R$60</f>
        <v>4.567884638340082E-2</v>
      </c>
      <c r="S86" s="313">
        <f>+S85/$S$60</f>
        <v>4.9856264430106267E-2</v>
      </c>
      <c r="T86" s="313">
        <f>+T85/$T$60</f>
        <v>4.4475699689960881E-2</v>
      </c>
      <c r="U86" s="313">
        <f>+U85/$U$60</f>
        <v>4.5249354181787937E-2</v>
      </c>
      <c r="V86" s="313">
        <f>+V85/$V$60</f>
        <v>4.1762854860791114E-2</v>
      </c>
      <c r="W86" s="328"/>
      <c r="X86" s="327"/>
      <c r="Y86" s="328"/>
      <c r="Z86" s="327"/>
    </row>
    <row r="87" spans="1:26" x14ac:dyDescent="0.35">
      <c r="A87" s="208"/>
      <c r="B87" s="216" t="s">
        <v>87</v>
      </c>
      <c r="C87" s="230">
        <f t="shared" ref="C87:I87" si="108">C88*C60</f>
        <v>51026.211600000002</v>
      </c>
      <c r="D87" s="230">
        <f t="shared" si="108"/>
        <v>69259.818400000004</v>
      </c>
      <c r="E87" s="230">
        <f t="shared" si="108"/>
        <v>21581.051200000002</v>
      </c>
      <c r="F87" s="230">
        <f t="shared" si="108"/>
        <v>21855.279600000002</v>
      </c>
      <c r="G87" s="230">
        <f t="shared" si="108"/>
        <v>23454.400000000001</v>
      </c>
      <c r="H87" s="230">
        <f t="shared" si="108"/>
        <v>23524.259800000003</v>
      </c>
      <c r="I87" s="230">
        <f t="shared" si="108"/>
        <v>90413.218399999998</v>
      </c>
      <c r="J87" s="307">
        <v>25764.426733570672</v>
      </c>
      <c r="K87" s="307">
        <v>29067.521734920243</v>
      </c>
      <c r="L87" s="307">
        <v>27949.59919703141</v>
      </c>
      <c r="M87" s="307">
        <v>29267.703627641393</v>
      </c>
      <c r="N87" s="307">
        <f>J87+K87+L87+M87</f>
        <v>112049.25129316372</v>
      </c>
      <c r="O87" s="230">
        <v>30705.141506376644</v>
      </c>
      <c r="P87" s="230">
        <v>31008.768678223187</v>
      </c>
      <c r="Q87" s="230">
        <v>28940.265280251941</v>
      </c>
      <c r="R87" s="230">
        <v>30278.087631000475</v>
      </c>
      <c r="S87" s="230">
        <f>O87+P87+Q87+R87</f>
        <v>120932.26309585225</v>
      </c>
      <c r="T87" s="230">
        <v>31923.459981583557</v>
      </c>
      <c r="U87" s="230">
        <v>32576.653344619222</v>
      </c>
      <c r="V87" s="230">
        <v>33869.986247853667</v>
      </c>
      <c r="W87" s="328"/>
      <c r="X87" s="327"/>
      <c r="Y87" s="328"/>
      <c r="Z87" s="327"/>
    </row>
    <row r="88" spans="1:26" x14ac:dyDescent="0.35">
      <c r="A88" s="208"/>
      <c r="B88" s="216"/>
      <c r="C88" s="232">
        <v>0.1022</v>
      </c>
      <c r="D88" s="232">
        <v>0.11020000000000001</v>
      </c>
      <c r="E88" s="232">
        <v>0.12920000000000001</v>
      </c>
      <c r="F88" s="232">
        <v>0.12820000000000001</v>
      </c>
      <c r="G88" s="232">
        <v>0.13700000000000001</v>
      </c>
      <c r="H88" s="232">
        <v>0.13270000000000001</v>
      </c>
      <c r="I88" s="232">
        <v>0.1318</v>
      </c>
      <c r="J88" s="308">
        <f>J87/$J$60</f>
        <v>0.14076383348123384</v>
      </c>
      <c r="K88" s="308">
        <f>K87/$K$60</f>
        <v>0.15375004223551755</v>
      </c>
      <c r="L88" s="308">
        <f>L87/$L$60</f>
        <v>0.14530972573777021</v>
      </c>
      <c r="M88" s="308">
        <f>M87/$M$60</f>
        <v>0.14791006255283079</v>
      </c>
      <c r="N88" s="308">
        <f>+N87/$N$60</f>
        <v>0.14698646389679226</v>
      </c>
      <c r="O88" s="313">
        <f>+O87/$O$60</f>
        <v>0.14835336737824084</v>
      </c>
      <c r="P88" s="313">
        <f>+P87/$P$60</f>
        <v>0.14758209278015147</v>
      </c>
      <c r="Q88" s="313">
        <f>+Q87/$Q$60</f>
        <v>0.1252153185314028</v>
      </c>
      <c r="R88" s="313">
        <f>+R87/$R$60</f>
        <v>0.12889613002388423</v>
      </c>
      <c r="S88" s="313">
        <f>+S87/$S$60</f>
        <v>0.13693876099051111</v>
      </c>
      <c r="T88" s="313">
        <f>+T87/$T$60</f>
        <v>0.13325149320492524</v>
      </c>
      <c r="U88" s="313">
        <f>+U87/$U$60</f>
        <v>0.13378007935895275</v>
      </c>
      <c r="V88" s="313">
        <f>+V87/$V$60</f>
        <v>0.13472976963409206</v>
      </c>
      <c r="W88" s="328"/>
      <c r="X88" s="327"/>
      <c r="Y88" s="328"/>
      <c r="Z88" s="327"/>
    </row>
    <row r="89" spans="1:26" x14ac:dyDescent="0.35">
      <c r="A89" s="208"/>
      <c r="B89" s="216" t="s">
        <v>154</v>
      </c>
      <c r="C89" s="230">
        <f t="shared" ref="C89:I89" si="109">C90*C60</f>
        <v>49428.522000000004</v>
      </c>
      <c r="D89" s="230">
        <f t="shared" si="109"/>
        <v>63666.239600000001</v>
      </c>
      <c r="E89" s="230">
        <f t="shared" si="109"/>
        <v>17839.444800000001</v>
      </c>
      <c r="F89" s="230">
        <f t="shared" si="109"/>
        <v>17866.094400000002</v>
      </c>
      <c r="G89" s="230">
        <f t="shared" si="109"/>
        <v>17804.8</v>
      </c>
      <c r="H89" s="230">
        <f t="shared" si="109"/>
        <v>17284.215</v>
      </c>
      <c r="I89" s="230">
        <f t="shared" si="109"/>
        <v>70793.961599999995</v>
      </c>
      <c r="J89" s="307">
        <v>17410.271742980407</v>
      </c>
      <c r="K89" s="307">
        <v>19372.484825376403</v>
      </c>
      <c r="L89" s="307">
        <v>20196.911081007562</v>
      </c>
      <c r="M89" s="307">
        <v>18979.045773073736</v>
      </c>
      <c r="N89" s="307">
        <f>J89+K89+L89+M89</f>
        <v>75958.713422438115</v>
      </c>
      <c r="O89" s="230">
        <v>18305.315812747518</v>
      </c>
      <c r="P89" s="230">
        <v>20129.601494531445</v>
      </c>
      <c r="Q89" s="230">
        <v>19119.021666580204</v>
      </c>
      <c r="R89" s="230">
        <v>18239.227283938799</v>
      </c>
      <c r="S89" s="230">
        <f>O89+P89+Q89+R89</f>
        <v>75793.166257797973</v>
      </c>
      <c r="T89" s="230">
        <v>18914.344019143853</v>
      </c>
      <c r="U89" s="230">
        <v>18910.595438868673</v>
      </c>
      <c r="V89" s="230">
        <v>17997.144426475701</v>
      </c>
      <c r="W89" s="328"/>
      <c r="X89" s="327"/>
      <c r="Y89" s="328"/>
      <c r="Z89" s="327"/>
    </row>
    <row r="90" spans="1:26" x14ac:dyDescent="0.35">
      <c r="A90" s="208"/>
      <c r="B90" s="216"/>
      <c r="C90" s="233">
        <v>9.9000000000000005E-2</v>
      </c>
      <c r="D90" s="233">
        <v>0.1013</v>
      </c>
      <c r="E90" s="233">
        <v>0.10680000000000001</v>
      </c>
      <c r="F90" s="233">
        <v>0.1048</v>
      </c>
      <c r="G90" s="233">
        <v>0.104</v>
      </c>
      <c r="H90" s="233">
        <v>9.7500000000000003E-2</v>
      </c>
      <c r="I90" s="233">
        <v>0.1032</v>
      </c>
      <c r="J90" s="308">
        <f>J89/$J$60</f>
        <v>9.5120943999062499E-2</v>
      </c>
      <c r="K90" s="308">
        <f>K89/$K$60</f>
        <v>0.1024690163568469</v>
      </c>
      <c r="L90" s="308">
        <f>L89/$L$60</f>
        <v>0.10500356692925504</v>
      </c>
      <c r="M90" s="308">
        <f>M89/$M$60</f>
        <v>9.5914318499425069E-2</v>
      </c>
      <c r="N90" s="308">
        <f>+N89/$N$60</f>
        <v>9.9642813845336034E-2</v>
      </c>
      <c r="O90" s="313">
        <f>+O89/$O$60</f>
        <v>8.8443013401494491E-2</v>
      </c>
      <c r="P90" s="313">
        <f>+P89/$P$60</f>
        <v>9.5804149665566204E-2</v>
      </c>
      <c r="Q90" s="313">
        <f>+Q89/$Q$60</f>
        <v>8.2721922719320384E-2</v>
      </c>
      <c r="R90" s="313">
        <f>+R89/$R$60</f>
        <v>7.7645782658964754E-2</v>
      </c>
      <c r="S90" s="313">
        <f>+S89/$S$60</f>
        <v>8.5825089295353221E-2</v>
      </c>
      <c r="T90" s="313">
        <f>+T89/$T$60</f>
        <v>7.8950232368187795E-2</v>
      </c>
      <c r="U90" s="313">
        <f>+U89/$U$60</f>
        <v>7.7658712568605973E-2</v>
      </c>
      <c r="V90" s="313">
        <f>+V89/$V$60</f>
        <v>7.158996478199664E-2</v>
      </c>
      <c r="W90" s="328"/>
      <c r="X90" s="327"/>
      <c r="Y90" s="328"/>
      <c r="Z90" s="327"/>
    </row>
    <row r="91" spans="1:26" x14ac:dyDescent="0.35">
      <c r="A91" s="208"/>
      <c r="B91" s="216" t="s">
        <v>88</v>
      </c>
      <c r="C91" s="230">
        <f t="shared" ref="C91:I91" si="110">C92*C60</f>
        <v>86075.527199999997</v>
      </c>
      <c r="D91" s="230">
        <f t="shared" si="110"/>
        <v>75167.643200000006</v>
      </c>
      <c r="E91" s="230">
        <f t="shared" si="110"/>
        <v>18540.995999999999</v>
      </c>
      <c r="F91" s="230">
        <f t="shared" si="110"/>
        <v>17985.429</v>
      </c>
      <c r="G91" s="230">
        <f t="shared" si="110"/>
        <v>18369.760000000002</v>
      </c>
      <c r="H91" s="230">
        <f t="shared" si="110"/>
        <v>21024.696400000001</v>
      </c>
      <c r="I91" s="230">
        <f t="shared" si="110"/>
        <v>75938.871599999999</v>
      </c>
      <c r="J91" s="307">
        <v>22274.810192991354</v>
      </c>
      <c r="K91" s="307">
        <v>20927.645273326867</v>
      </c>
      <c r="L91" s="307">
        <v>22045.096551340244</v>
      </c>
      <c r="M91" s="307">
        <v>22445.043933137891</v>
      </c>
      <c r="N91" s="307">
        <f>J91+K91+L91+M91</f>
        <v>87692.595950796356</v>
      </c>
      <c r="O91" s="230">
        <v>22041.640142077915</v>
      </c>
      <c r="P91" s="230">
        <v>22544.661708458822</v>
      </c>
      <c r="Q91" s="230">
        <v>23756.90679042659</v>
      </c>
      <c r="R91" s="230">
        <v>23380.70133182123</v>
      </c>
      <c r="S91" s="230">
        <f>O91+P91+Q91+R91</f>
        <v>91723.909972784561</v>
      </c>
      <c r="T91" s="230">
        <v>23872.89008237336</v>
      </c>
      <c r="U91" s="230">
        <v>23491.633729172969</v>
      </c>
      <c r="V91" s="230">
        <v>23757.629003696387</v>
      </c>
      <c r="W91" s="328"/>
      <c r="X91" s="327"/>
      <c r="Y91" s="328"/>
      <c r="Z91" s="327"/>
    </row>
    <row r="92" spans="1:26" x14ac:dyDescent="0.35">
      <c r="A92" s="208"/>
      <c r="B92" s="216"/>
      <c r="C92" s="232">
        <v>0.1724</v>
      </c>
      <c r="D92" s="232">
        <v>0.1196</v>
      </c>
      <c r="E92" s="232">
        <v>0.111</v>
      </c>
      <c r="F92" s="232">
        <v>0.1055</v>
      </c>
      <c r="G92" s="232">
        <v>0.10730000000000001</v>
      </c>
      <c r="H92" s="232">
        <v>0.1186</v>
      </c>
      <c r="I92" s="232">
        <v>0.11070000000000001</v>
      </c>
      <c r="J92" s="308">
        <f>J91/$J$60</f>
        <v>0.1216983286783878</v>
      </c>
      <c r="K92" s="308">
        <f>K91/$K$60</f>
        <v>0.11069489769395932</v>
      </c>
      <c r="L92" s="308">
        <f>L91/$L$60</f>
        <v>0.11461226728711557</v>
      </c>
      <c r="M92" s="308">
        <f>M91/$M$60</f>
        <v>0.11343041785540312</v>
      </c>
      <c r="N92" s="308">
        <f>+N91/$N$60</f>
        <v>0.11503534775983046</v>
      </c>
      <c r="O92" s="313">
        <f>+O91/$O$60</f>
        <v>0.10649524402737515</v>
      </c>
      <c r="P92" s="313">
        <f>+P91/$P$60</f>
        <v>0.10729830618174507</v>
      </c>
      <c r="Q92" s="313">
        <f>+Q91/$Q$60</f>
        <v>0.10278857578800379</v>
      </c>
      <c r="R92" s="313">
        <f>+R91/$R$60</f>
        <v>9.9533430104431317E-2</v>
      </c>
      <c r="S92" s="313">
        <f>+S91/$S$60</f>
        <v>0.10386441354299858</v>
      </c>
      <c r="T92" s="227">
        <f>+T91/$T$60</f>
        <v>9.9647665147463857E-2</v>
      </c>
      <c r="U92" s="227">
        <f>+U91/$U$60</f>
        <v>9.6471316169722557E-2</v>
      </c>
      <c r="V92" s="313">
        <f>+V91/$V$60</f>
        <v>9.4504315983390028E-2</v>
      </c>
      <c r="W92" s="328"/>
      <c r="X92" s="327"/>
      <c r="Y92" s="328"/>
      <c r="Z92" s="327"/>
    </row>
    <row r="93" spans="1:26" x14ac:dyDescent="0.35">
      <c r="A93" s="208"/>
      <c r="B93" s="216"/>
      <c r="C93" s="212"/>
      <c r="D93" s="212"/>
      <c r="E93" s="212"/>
      <c r="F93" s="212"/>
      <c r="G93" s="212"/>
      <c r="H93" s="212"/>
      <c r="I93" s="212"/>
      <c r="J93" s="294"/>
      <c r="K93" s="300"/>
      <c r="L93" s="300"/>
      <c r="M93" s="300"/>
      <c r="N93" s="300"/>
      <c r="R93" s="207"/>
      <c r="S93" s="207"/>
      <c r="T93" s="207"/>
      <c r="U93" s="207"/>
      <c r="V93" s="207"/>
      <c r="W93" s="328"/>
      <c r="X93" s="327"/>
      <c r="Y93" s="328"/>
      <c r="Z93" s="327"/>
    </row>
    <row r="94" spans="1:26" x14ac:dyDescent="0.35">
      <c r="A94" s="213"/>
      <c r="B94" s="214" t="s">
        <v>89</v>
      </c>
      <c r="C94" s="228"/>
      <c r="D94" s="228"/>
      <c r="E94" s="228"/>
      <c r="F94" s="228"/>
      <c r="G94" s="228"/>
      <c r="H94" s="228"/>
      <c r="I94" s="228"/>
      <c r="J94" s="311"/>
      <c r="K94" s="295"/>
      <c r="L94" s="295"/>
      <c r="M94" s="295"/>
      <c r="N94" s="295"/>
      <c r="O94" s="215"/>
      <c r="P94" s="215"/>
      <c r="Q94" s="215"/>
      <c r="R94" s="215"/>
      <c r="S94" s="215"/>
      <c r="T94" s="215"/>
      <c r="U94" s="215"/>
      <c r="V94" s="215"/>
      <c r="W94" s="328"/>
      <c r="X94" s="327"/>
      <c r="Y94" s="328"/>
      <c r="Z94" s="327"/>
    </row>
    <row r="95" spans="1:26" x14ac:dyDescent="0.35">
      <c r="A95" s="208"/>
      <c r="B95" s="216" t="s">
        <v>90</v>
      </c>
      <c r="C95" s="235">
        <v>0.73880000000000001</v>
      </c>
      <c r="D95" s="235">
        <v>0.79149999999999998</v>
      </c>
      <c r="E95" s="235">
        <v>0.80269999999999997</v>
      </c>
      <c r="F95" s="235">
        <v>0.79859999999999998</v>
      </c>
      <c r="G95" s="235">
        <v>0.80049999999999999</v>
      </c>
      <c r="H95" s="235">
        <v>0.83299999999999996</v>
      </c>
      <c r="I95" s="235">
        <v>0.80900000000000005</v>
      </c>
      <c r="J95" s="310">
        <v>0.82105973846635671</v>
      </c>
      <c r="K95" s="310">
        <v>0.81400847363493545</v>
      </c>
      <c r="L95" s="309">
        <v>0.82404533520497025</v>
      </c>
      <c r="M95" s="309">
        <v>0.82643961529096666</v>
      </c>
      <c r="N95" s="309">
        <v>0.82145591153024466</v>
      </c>
      <c r="O95" s="236">
        <v>0.82715136756968299</v>
      </c>
      <c r="P95" s="236">
        <v>0.82854382424611639</v>
      </c>
      <c r="Q95" s="236">
        <v>0.82929942368598675</v>
      </c>
      <c r="R95" s="358">
        <v>0.82836862801966649</v>
      </c>
      <c r="S95" s="236">
        <v>0.82955389576860017</v>
      </c>
      <c r="T95" s="236">
        <v>0.81855634816945144</v>
      </c>
      <c r="U95" s="236">
        <v>0.81270507455576591</v>
      </c>
      <c r="V95" s="236">
        <v>0.83038839740325865</v>
      </c>
      <c r="W95" s="328"/>
      <c r="X95" s="327"/>
      <c r="Y95" s="328"/>
      <c r="Z95" s="327"/>
    </row>
    <row r="96" spans="1:26" x14ac:dyDescent="0.35">
      <c r="A96" s="208"/>
      <c r="B96" s="216" t="s">
        <v>91</v>
      </c>
      <c r="C96" s="235">
        <v>0.2039</v>
      </c>
      <c r="D96" s="235">
        <v>0.17319999999999999</v>
      </c>
      <c r="E96" s="235">
        <v>0.16420000000000001</v>
      </c>
      <c r="F96" s="235">
        <v>0.16930000000000001</v>
      </c>
      <c r="G96" s="235">
        <v>0.16350000000000001</v>
      </c>
      <c r="H96" s="235">
        <v>0.14449999999999999</v>
      </c>
      <c r="I96" s="235">
        <v>0.16020000000000001</v>
      </c>
      <c r="J96" s="310">
        <v>0.14249703777966138</v>
      </c>
      <c r="K96" s="310">
        <v>0.15313371099721249</v>
      </c>
      <c r="L96" s="309">
        <v>0.1394577451974317</v>
      </c>
      <c r="M96" s="309">
        <v>0.135860522684847</v>
      </c>
      <c r="N96" s="309">
        <v>0.14265249070671021</v>
      </c>
      <c r="O96" s="236">
        <v>0.13536065090615684</v>
      </c>
      <c r="P96" s="236">
        <v>0.13078738958269875</v>
      </c>
      <c r="Q96" s="236">
        <v>0.12937211193991105</v>
      </c>
      <c r="R96" s="358">
        <v>0.13174300264266617</v>
      </c>
      <c r="S96" s="236">
        <v>0.12967211406933662</v>
      </c>
      <c r="T96" s="236">
        <v>0.12147028254436018</v>
      </c>
      <c r="U96" s="236">
        <v>0.12383525865573757</v>
      </c>
      <c r="V96" s="236">
        <v>0.11091840631364562</v>
      </c>
      <c r="W96" s="328"/>
      <c r="X96" s="327"/>
      <c r="Y96" s="328"/>
      <c r="Z96" s="327"/>
    </row>
    <row r="97" spans="1:26" x14ac:dyDescent="0.35">
      <c r="A97" s="208"/>
      <c r="B97" s="216" t="s">
        <v>144</v>
      </c>
      <c r="C97" s="235">
        <v>5.7299999999999997E-2</v>
      </c>
      <c r="D97" s="235">
        <v>3.5299999999999998E-2</v>
      </c>
      <c r="E97" s="234">
        <v>3.3099999999999997E-2</v>
      </c>
      <c r="F97" s="235">
        <v>3.2099999999999997E-2</v>
      </c>
      <c r="G97" s="235">
        <v>3.5999999999999997E-2</v>
      </c>
      <c r="H97" s="235">
        <v>2.24E-2</v>
      </c>
      <c r="I97" s="235">
        <v>3.0800000000000001E-2</v>
      </c>
      <c r="J97" s="312">
        <v>3.6443223753981881E-2</v>
      </c>
      <c r="K97" s="310">
        <v>3.2857815367852025E-2</v>
      </c>
      <c r="L97" s="309">
        <v>3.6496919597598043E-2</v>
      </c>
      <c r="M97" s="309">
        <v>3.7699862024186348E-2</v>
      </c>
      <c r="N97" s="309">
        <v>3.5891597763045076E-2</v>
      </c>
      <c r="O97" s="255">
        <v>3.7487981524160156E-2</v>
      </c>
      <c r="P97" s="255">
        <v>4.0668786171184891E-2</v>
      </c>
      <c r="Q97" s="255">
        <v>4.1328464374102217E-2</v>
      </c>
      <c r="R97" s="359">
        <v>3.9888369337667325E-2</v>
      </c>
      <c r="S97" s="255">
        <v>4.0773990162063248E-2</v>
      </c>
      <c r="T97" s="255">
        <v>5.9973369286188342E-2</v>
      </c>
      <c r="U97" s="255">
        <v>6.345966678849653E-2</v>
      </c>
      <c r="V97" s="255">
        <v>5.8693196283095724E-2</v>
      </c>
      <c r="W97" s="328"/>
      <c r="X97" s="327"/>
      <c r="Y97" s="328"/>
      <c r="Z97" s="327"/>
    </row>
    <row r="98" spans="1:26" x14ac:dyDescent="0.35">
      <c r="A98" s="208"/>
      <c r="B98" s="209"/>
      <c r="C98" s="212"/>
      <c r="D98" s="212"/>
      <c r="E98" s="212"/>
      <c r="F98" s="212"/>
      <c r="G98" s="212"/>
      <c r="H98" s="212"/>
      <c r="I98" s="212"/>
      <c r="J98" s="212"/>
      <c r="R98" s="207"/>
      <c r="S98" s="207"/>
      <c r="T98" s="207"/>
      <c r="U98" s="207"/>
      <c r="V98" s="207"/>
    </row>
    <row r="99" spans="1:26" x14ac:dyDescent="0.35">
      <c r="B99" s="237"/>
      <c r="C99" s="237"/>
      <c r="D99" s="237"/>
      <c r="E99" s="237"/>
      <c r="R99" s="207"/>
      <c r="S99" s="207"/>
      <c r="T99" s="207"/>
      <c r="U99" s="207"/>
      <c r="V99" s="207"/>
    </row>
    <row r="100" spans="1:26" x14ac:dyDescent="0.35">
      <c r="B100" s="220" t="s">
        <v>217</v>
      </c>
      <c r="R100" s="207"/>
      <c r="S100" s="207"/>
      <c r="T100" s="207"/>
      <c r="U100" s="207"/>
      <c r="V100" s="207"/>
    </row>
    <row r="101" spans="1:26" x14ac:dyDescent="0.35">
      <c r="B101" s="220" t="s">
        <v>189</v>
      </c>
      <c r="R101" s="207"/>
      <c r="S101" s="207"/>
      <c r="T101" s="207"/>
      <c r="U101" s="207"/>
      <c r="V101" s="207"/>
    </row>
    <row r="102" spans="1:26" x14ac:dyDescent="0.35">
      <c r="B102" s="220" t="s">
        <v>190</v>
      </c>
      <c r="R102" s="207"/>
      <c r="S102" s="207"/>
      <c r="T102" s="207"/>
      <c r="U102" s="207"/>
      <c r="V102" s="207"/>
    </row>
    <row r="103" spans="1:26" x14ac:dyDescent="0.35">
      <c r="R103" s="346"/>
      <c r="S103" s="207"/>
      <c r="T103" s="207"/>
      <c r="U103" s="207"/>
      <c r="V103" s="207"/>
    </row>
    <row r="104" spans="1:26" x14ac:dyDescent="0.35">
      <c r="R104" s="207"/>
      <c r="S104" s="207"/>
      <c r="T104" s="207"/>
      <c r="U104" s="207"/>
      <c r="V104" s="207"/>
    </row>
    <row r="105" spans="1:26" x14ac:dyDescent="0.35">
      <c r="J105" s="323">
        <f>J20+J57-'Income Statement'!S13</f>
        <v>0</v>
      </c>
      <c r="K105" s="323">
        <f>K20+K57-'Income Statement'!T13</f>
        <v>0</v>
      </c>
      <c r="L105" s="323">
        <f>L20+L57-'Income Statement'!U13</f>
        <v>0</v>
      </c>
      <c r="M105" s="323">
        <f>M20+M57-'Income Statement'!V13</f>
        <v>0</v>
      </c>
      <c r="N105" s="323">
        <f>N20+N57-'Income Statement'!W13</f>
        <v>0</v>
      </c>
      <c r="O105" s="323"/>
      <c r="P105" s="323">
        <f>P20+P57-'Income Statement'!Y13</f>
        <v>0</v>
      </c>
      <c r="Q105" s="323">
        <f>Q20+Q57-'Income Statement'!Z13</f>
        <v>0</v>
      </c>
      <c r="R105" s="357">
        <f>R20+R57-'Income Statement'!AA13</f>
        <v>0</v>
      </c>
      <c r="S105" s="357">
        <f>S20+S57-'Income Statement'!AB13</f>
        <v>0</v>
      </c>
      <c r="T105" s="357">
        <f>T20+T57-'Income Statement'!AC13</f>
        <v>0</v>
      </c>
      <c r="U105" s="357">
        <f>U20+U57-'Income Statement'!AD13</f>
        <v>0</v>
      </c>
      <c r="V105" s="357">
        <f>V20+V57-'Income Statement'!AE13</f>
        <v>0</v>
      </c>
    </row>
    <row r="107" spans="1:26" x14ac:dyDescent="0.35">
      <c r="U107" s="388"/>
      <c r="V107" s="388"/>
    </row>
  </sheetData>
  <mergeCells count="6">
    <mergeCell ref="T3:V3"/>
    <mergeCell ref="E3:I3"/>
    <mergeCell ref="B62:K62"/>
    <mergeCell ref="B66:K66"/>
    <mergeCell ref="J2:N2"/>
    <mergeCell ref="O3:S3"/>
  </mergeCells>
  <pageMargins left="0.7" right="0.7" top="0.35" bottom="0.35" header="0.3" footer="0.3"/>
  <pageSetup paperSize="5" scale="38" fitToHeight="2" orientation="landscape" r:id="rId1"/>
  <rowBreaks count="1" manualBreakCount="1">
    <brk id="77" max="21" man="1"/>
  </rowBreaks>
  <ignoredErrors>
    <ignoredError sqref="S90 S88 S86 S84 S8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HN45"/>
  <sheetViews>
    <sheetView showGridLines="0" zoomScale="85" zoomScaleNormal="85" zoomScaleSheetLayoutView="85" workbookViewId="0">
      <pane xSplit="2" ySplit="4" topLeftCell="G5" activePane="bottomRight" state="frozen"/>
      <selection activeCell="I106" sqref="I106"/>
      <selection pane="topRight" activeCell="I106" sqref="I106"/>
      <selection pane="bottomLeft" activeCell="I106" sqref="I106"/>
      <selection pane="bottomRight" activeCell="AD29" sqref="AD29"/>
    </sheetView>
  </sheetViews>
  <sheetFormatPr defaultColWidth="9.140625" defaultRowHeight="12.75" outlineLevelCol="1" x14ac:dyDescent="0.2"/>
  <cols>
    <col min="1" max="1" width="2.42578125" style="7" customWidth="1"/>
    <col min="2" max="2" width="46.28515625" style="2" customWidth="1"/>
    <col min="3" max="6" width="10" style="24" hidden="1" customWidth="1" outlineLevel="1"/>
    <col min="7" max="7" width="10.5703125" style="24" customWidth="1" collapsed="1"/>
    <col min="8" max="11" width="10" style="24" hidden="1" customWidth="1" outlineLevel="1"/>
    <col min="12" max="12" width="10.5703125" style="24" customWidth="1" collapsed="1"/>
    <col min="13" max="16" width="10" style="24" hidden="1" customWidth="1" outlineLevel="1"/>
    <col min="17" max="17" width="10.5703125" style="24" customWidth="1" collapsed="1"/>
    <col min="18" max="18" width="10" style="24" hidden="1" customWidth="1" outlineLevel="1"/>
    <col min="19" max="19" width="10.28515625" style="2" hidden="1" customWidth="1" outlineLevel="1"/>
    <col min="20" max="20" width="10.7109375" style="2" hidden="1" customWidth="1" outlineLevel="1"/>
    <col min="21" max="21" width="9.140625" style="2" hidden="1" customWidth="1" outlineLevel="1"/>
    <col min="22" max="22" width="9.140625" style="2" customWidth="1" collapsed="1"/>
    <col min="23" max="26" width="9.140625" style="2"/>
    <col min="27" max="30" width="9.140625" style="2" customWidth="1"/>
    <col min="31" max="16384" width="9.140625" style="2"/>
  </cols>
  <sheetData>
    <row r="2" spans="1:222" x14ac:dyDescent="0.2">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row>
    <row r="3" spans="1:222" ht="23.25" customHeight="1" x14ac:dyDescent="0.2">
      <c r="A3" s="58"/>
      <c r="B3" s="57"/>
      <c r="G3" s="186">
        <v>2014</v>
      </c>
      <c r="H3" s="188"/>
      <c r="I3" s="188"/>
      <c r="J3" s="188"/>
      <c r="K3" s="188"/>
      <c r="L3" s="188">
        <v>2015</v>
      </c>
      <c r="M3" s="188"/>
      <c r="N3" s="188"/>
      <c r="O3" s="188"/>
      <c r="P3" s="188"/>
      <c r="Q3" s="188">
        <v>2016</v>
      </c>
      <c r="S3" s="57"/>
      <c r="V3" s="188">
        <v>2017</v>
      </c>
      <c r="W3" s="188">
        <v>2018</v>
      </c>
      <c r="X3" s="188">
        <v>2018</v>
      </c>
      <c r="Y3" s="188">
        <v>2018</v>
      </c>
      <c r="Z3" s="188">
        <v>2018</v>
      </c>
      <c r="AA3" s="188">
        <v>2018</v>
      </c>
      <c r="AB3" s="188">
        <v>2019</v>
      </c>
      <c r="AC3" s="188">
        <v>2019</v>
      </c>
      <c r="AD3" s="188">
        <v>2019</v>
      </c>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row>
    <row r="4" spans="1:222" ht="15.75" customHeight="1" x14ac:dyDescent="0.2">
      <c r="A4" s="58"/>
      <c r="B4" s="57"/>
      <c r="C4" s="187" t="s">
        <v>9</v>
      </c>
      <c r="D4" s="187" t="s">
        <v>10</v>
      </c>
      <c r="E4" s="187" t="s">
        <v>11</v>
      </c>
      <c r="F4" s="187" t="s">
        <v>12</v>
      </c>
      <c r="G4" s="187" t="s">
        <v>13</v>
      </c>
      <c r="H4" s="187" t="s">
        <v>9</v>
      </c>
      <c r="I4" s="187" t="s">
        <v>10</v>
      </c>
      <c r="J4" s="187" t="s">
        <v>11</v>
      </c>
      <c r="K4" s="187" t="s">
        <v>12</v>
      </c>
      <c r="L4" s="187" t="s">
        <v>13</v>
      </c>
      <c r="M4" s="187" t="s">
        <v>9</v>
      </c>
      <c r="N4" s="187" t="s">
        <v>10</v>
      </c>
      <c r="O4" s="187" t="s">
        <v>11</v>
      </c>
      <c r="P4" s="187" t="s">
        <v>12</v>
      </c>
      <c r="Q4" s="187" t="s">
        <v>13</v>
      </c>
      <c r="R4" s="200" t="s">
        <v>9</v>
      </c>
      <c r="S4" s="200" t="s">
        <v>10</v>
      </c>
      <c r="T4" s="200" t="s">
        <v>11</v>
      </c>
      <c r="U4" s="200" t="s">
        <v>12</v>
      </c>
      <c r="V4" s="187" t="s">
        <v>13</v>
      </c>
      <c r="W4" s="187" t="s">
        <v>9</v>
      </c>
      <c r="X4" s="187" t="s">
        <v>10</v>
      </c>
      <c r="Y4" s="187" t="s">
        <v>11</v>
      </c>
      <c r="Z4" s="187" t="s">
        <v>12</v>
      </c>
      <c r="AA4" s="187" t="s">
        <v>13</v>
      </c>
      <c r="AB4" s="187" t="s">
        <v>9</v>
      </c>
      <c r="AC4" s="187" t="s">
        <v>10</v>
      </c>
      <c r="AD4" s="187" t="s">
        <v>11</v>
      </c>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row>
    <row r="5" spans="1:222" x14ac:dyDescent="0.2">
      <c r="A5" s="58"/>
      <c r="B5" s="57"/>
      <c r="C5" s="101"/>
      <c r="D5" s="101"/>
      <c r="E5" s="101"/>
      <c r="F5" s="101"/>
      <c r="G5" s="101"/>
      <c r="H5" s="101"/>
      <c r="I5" s="101"/>
      <c r="J5" s="101"/>
      <c r="K5" s="101"/>
      <c r="L5" s="101"/>
      <c r="M5" s="101"/>
      <c r="N5" s="101"/>
      <c r="O5" s="101"/>
      <c r="P5" s="101"/>
      <c r="Q5" s="101"/>
      <c r="R5" s="101"/>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row>
    <row r="6" spans="1:222" s="77" customFormat="1" x14ac:dyDescent="0.2">
      <c r="A6" s="88"/>
      <c r="B6" s="77" t="s">
        <v>0</v>
      </c>
      <c r="C6" s="84">
        <v>22803</v>
      </c>
      <c r="D6" s="84">
        <v>23071</v>
      </c>
      <c r="E6" s="84">
        <v>23050</v>
      </c>
      <c r="F6" s="84">
        <v>22822</v>
      </c>
      <c r="G6" s="84">
        <f>F6</f>
        <v>22822</v>
      </c>
      <c r="H6" s="84">
        <f>22553+65</f>
        <v>22618</v>
      </c>
      <c r="I6" s="84">
        <v>22684</v>
      </c>
      <c r="J6" s="84">
        <v>23715</v>
      </c>
      <c r="K6" s="84">
        <v>24061</v>
      </c>
      <c r="L6" s="84">
        <f>K6</f>
        <v>24061</v>
      </c>
      <c r="M6" s="84">
        <v>24375</v>
      </c>
      <c r="N6" s="84">
        <v>24983</v>
      </c>
      <c r="O6" s="183">
        <v>25470</v>
      </c>
      <c r="P6" s="183">
        <v>26131</v>
      </c>
      <c r="Q6" s="84">
        <f>P6</f>
        <v>26131</v>
      </c>
      <c r="R6" s="84">
        <v>26428</v>
      </c>
      <c r="S6" s="84">
        <v>26317</v>
      </c>
      <c r="T6" s="84">
        <v>27358</v>
      </c>
      <c r="U6" s="84">
        <v>27756</v>
      </c>
      <c r="V6" s="84">
        <v>27756</v>
      </c>
      <c r="W6" s="84">
        <v>27095</v>
      </c>
      <c r="X6" s="84">
        <v>27094</v>
      </c>
      <c r="Y6" s="84">
        <v>28812</v>
      </c>
      <c r="Z6" s="84">
        <v>29152</v>
      </c>
      <c r="AA6" s="84">
        <v>29152</v>
      </c>
      <c r="AB6" s="84">
        <v>29122</v>
      </c>
      <c r="AC6" s="84">
        <v>30019</v>
      </c>
      <c r="AD6" s="84">
        <v>31496</v>
      </c>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row>
    <row r="7" spans="1:222" s="8" customFormat="1" x14ac:dyDescent="0.2">
      <c r="A7" s="6"/>
      <c r="B7" s="1"/>
      <c r="C7" s="159"/>
      <c r="D7" s="159"/>
      <c r="E7" s="159"/>
      <c r="F7" s="159"/>
      <c r="G7" s="159"/>
      <c r="H7" s="159"/>
      <c r="I7" s="159"/>
      <c r="J7" s="159"/>
      <c r="K7" s="159"/>
      <c r="L7" s="159"/>
      <c r="M7" s="159"/>
      <c r="N7" s="159"/>
      <c r="O7" s="159"/>
      <c r="P7" s="159"/>
      <c r="Q7" s="159"/>
      <c r="R7" s="159"/>
      <c r="S7" s="159"/>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row>
    <row r="8" spans="1:222" s="78" customFormat="1" x14ac:dyDescent="0.2">
      <c r="A8" s="88"/>
      <c r="B8" s="77" t="s">
        <v>83</v>
      </c>
      <c r="C8" s="84">
        <v>19757</v>
      </c>
      <c r="D8" s="84">
        <v>20192</v>
      </c>
      <c r="E8" s="84">
        <f>19691+1300</f>
        <v>20991</v>
      </c>
      <c r="F8" s="84">
        <v>19749</v>
      </c>
      <c r="G8" s="84">
        <f>F8</f>
        <v>19749</v>
      </c>
      <c r="H8" s="84">
        <v>19846</v>
      </c>
      <c r="I8" s="84">
        <v>19528</v>
      </c>
      <c r="J8" s="84">
        <v>20242</v>
      </c>
      <c r="K8" s="84">
        <v>20550</v>
      </c>
      <c r="L8" s="84">
        <f>K8</f>
        <v>20550</v>
      </c>
      <c r="M8" s="84">
        <v>20732</v>
      </c>
      <c r="N8" s="84">
        <v>21248</v>
      </c>
      <c r="O8" s="84">
        <v>21572</v>
      </c>
      <c r="P8" s="84">
        <v>22028</v>
      </c>
      <c r="Q8" s="84">
        <f>P8</f>
        <v>22028</v>
      </c>
      <c r="R8" s="84">
        <v>22394</v>
      </c>
      <c r="S8" s="84">
        <v>23293</v>
      </c>
      <c r="T8" s="84">
        <v>22775</v>
      </c>
      <c r="U8" s="84">
        <v>24215</v>
      </c>
      <c r="V8" s="84">
        <f>U8</f>
        <v>24215</v>
      </c>
      <c r="W8" s="84">
        <v>24849</v>
      </c>
      <c r="X8" s="84">
        <v>24617</v>
      </c>
      <c r="Y8" s="84">
        <v>25488</v>
      </c>
      <c r="Z8" s="84">
        <v>25931</v>
      </c>
      <c r="AA8" s="84">
        <f>Z8</f>
        <v>25931</v>
      </c>
      <c r="AB8" s="84">
        <v>26024</v>
      </c>
      <c r="AC8" s="84">
        <v>27124</v>
      </c>
      <c r="AD8" s="84">
        <v>27469</v>
      </c>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row>
    <row r="9" spans="1:222" x14ac:dyDescent="0.2">
      <c r="A9" s="6"/>
      <c r="B9" s="57"/>
      <c r="C9" s="101"/>
      <c r="D9" s="101"/>
      <c r="E9" s="101"/>
      <c r="F9" s="101"/>
      <c r="G9" s="101"/>
      <c r="H9" s="101"/>
      <c r="I9" s="101"/>
      <c r="J9" s="101"/>
      <c r="K9" s="101"/>
      <c r="L9" s="101"/>
      <c r="M9" s="101"/>
      <c r="N9" s="101"/>
      <c r="O9" s="101"/>
      <c r="P9" s="101"/>
      <c r="Q9" s="101"/>
      <c r="R9" s="101"/>
      <c r="S9" s="101"/>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row>
    <row r="10" spans="1:222" s="78" customFormat="1" x14ac:dyDescent="0.2">
      <c r="A10" s="88"/>
      <c r="B10" s="77" t="s">
        <v>267</v>
      </c>
      <c r="C10" s="102">
        <f t="shared" ref="C10:G10" si="0">C6/C8</f>
        <v>1.1541732044338715</v>
      </c>
      <c r="D10" s="102">
        <f t="shared" si="0"/>
        <v>1.1425812202852614</v>
      </c>
      <c r="E10" s="102">
        <f t="shared" si="0"/>
        <v>1.0980896574722501</v>
      </c>
      <c r="F10" s="102">
        <f t="shared" si="0"/>
        <v>1.1556028153324218</v>
      </c>
      <c r="G10" s="102">
        <f t="shared" si="0"/>
        <v>1.1556028153324218</v>
      </c>
      <c r="H10" s="102">
        <f t="shared" ref="H10:I10" si="1">H6/H8</f>
        <v>1.1396755013604756</v>
      </c>
      <c r="I10" s="102">
        <f t="shared" si="1"/>
        <v>1.1616140925850063</v>
      </c>
      <c r="J10" s="102">
        <f t="shared" ref="J10:N10" si="2">J6/J8</f>
        <v>1.1715739551427724</v>
      </c>
      <c r="K10" s="102">
        <f t="shared" si="2"/>
        <v>1.1708515815085159</v>
      </c>
      <c r="L10" s="102">
        <f t="shared" si="2"/>
        <v>1.1708515815085159</v>
      </c>
      <c r="M10" s="102">
        <f t="shared" si="2"/>
        <v>1.1757186957360601</v>
      </c>
      <c r="N10" s="102">
        <f t="shared" si="2"/>
        <v>1.17578125</v>
      </c>
      <c r="O10" s="102">
        <f t="shared" ref="O10:Q10" si="3">O6/O8</f>
        <v>1.1806972000741702</v>
      </c>
      <c r="P10" s="102">
        <f t="shared" si="3"/>
        <v>1.1862629380788088</v>
      </c>
      <c r="Q10" s="102">
        <f t="shared" si="3"/>
        <v>1.1862629380788088</v>
      </c>
      <c r="R10" s="102">
        <v>1.1094043047244797</v>
      </c>
      <c r="S10" s="102">
        <v>1.0632378826256816</v>
      </c>
      <c r="T10" s="102">
        <v>1.1343578485181121</v>
      </c>
      <c r="U10" s="102">
        <v>1.0824282469543671</v>
      </c>
      <c r="V10" s="102">
        <v>1.0824282469543671</v>
      </c>
      <c r="W10" s="102">
        <v>1.0272043140569036</v>
      </c>
      <c r="X10" s="102">
        <v>1.032416622659138</v>
      </c>
      <c r="Y10" s="102">
        <v>1.0606167608286252</v>
      </c>
      <c r="Z10" s="102">
        <v>1.0550306582854498</v>
      </c>
      <c r="AA10" s="102">
        <v>1.0550306582854498</v>
      </c>
      <c r="AB10" s="102">
        <v>1.0547908930218257</v>
      </c>
      <c r="AC10" s="102">
        <v>1.0407279531042619</v>
      </c>
      <c r="AD10" s="102">
        <v>1.08</v>
      </c>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row>
    <row r="11" spans="1:222" x14ac:dyDescent="0.2">
      <c r="A11" s="6"/>
      <c r="B11" s="57"/>
      <c r="C11" s="101"/>
      <c r="D11" s="101"/>
      <c r="E11" s="101"/>
      <c r="F11" s="101"/>
      <c r="G11" s="101"/>
      <c r="H11" s="101"/>
      <c r="I11" s="101"/>
      <c r="J11" s="101"/>
      <c r="K11" s="101"/>
      <c r="L11" s="101"/>
      <c r="M11" s="101"/>
      <c r="N11" s="101"/>
      <c r="O11" s="101"/>
      <c r="P11" s="101"/>
      <c r="Q11" s="101"/>
      <c r="R11" s="101"/>
      <c r="S11" s="101"/>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row>
    <row r="12" spans="1:222" s="78" customFormat="1" x14ac:dyDescent="0.2">
      <c r="A12" s="88"/>
      <c r="B12" s="77" t="s">
        <v>268</v>
      </c>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row>
    <row r="13" spans="1:222" x14ac:dyDescent="0.2">
      <c r="A13" s="6"/>
      <c r="B13" s="85" t="s">
        <v>50</v>
      </c>
      <c r="C13" s="104">
        <v>7.9262713905952242E-2</v>
      </c>
      <c r="D13" s="104">
        <v>8.42861418769697E-2</v>
      </c>
      <c r="E13" s="104">
        <v>8.1916082236859575E-2</v>
      </c>
      <c r="F13" s="104">
        <v>7.5119245547637076E-2</v>
      </c>
      <c r="G13" s="104">
        <v>7.9995487448346364E-2</v>
      </c>
      <c r="H13" s="104">
        <v>6.1694832373522787E-2</v>
      </c>
      <c r="I13" s="104">
        <v>5.8131331437174312E-2</v>
      </c>
      <c r="J13" s="104">
        <v>6.0318483860245062E-2</v>
      </c>
      <c r="K13" s="104">
        <v>6.7747111348565245E-2</v>
      </c>
      <c r="L13" s="104">
        <v>6.0913742710242871E-2</v>
      </c>
      <c r="M13" s="104">
        <v>6.6286382467477575E-2</v>
      </c>
      <c r="N13" s="172">
        <v>6.3908282590178431E-2</v>
      </c>
      <c r="O13" s="172">
        <v>6.4689657886083884E-2</v>
      </c>
      <c r="P13" s="172">
        <v>7.3831734411264033E-2</v>
      </c>
      <c r="Q13" s="172">
        <v>6.7246781192195793E-2</v>
      </c>
      <c r="R13" s="10">
        <v>7.0543868104712068E-2</v>
      </c>
      <c r="S13" s="10">
        <v>6.8413258321300074E-2</v>
      </c>
      <c r="T13" s="10">
        <v>7.8682951663760131E-2</v>
      </c>
      <c r="U13" s="319">
        <v>9.0865388386000639E-2</v>
      </c>
      <c r="V13" s="319">
        <v>7.7344020427689564E-2</v>
      </c>
      <c r="W13" s="342">
        <v>8.0392074175461611E-2</v>
      </c>
      <c r="X13" s="342">
        <v>8.3199807659539757E-2</v>
      </c>
      <c r="Y13" s="342">
        <v>7.85834865138509E-2</v>
      </c>
      <c r="Z13" s="104">
        <v>8.6041315523410405E-2</v>
      </c>
      <c r="AA13" s="319">
        <v>8.2089428257938343E-2</v>
      </c>
      <c r="AB13" s="172">
        <v>7.9081549855751734E-2</v>
      </c>
      <c r="AC13" s="172">
        <v>8.4175051580166541E-2</v>
      </c>
      <c r="AD13" s="172">
        <v>7.5242799743906075E-2</v>
      </c>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row>
    <row r="14" spans="1:222" x14ac:dyDescent="0.2">
      <c r="A14" s="6"/>
      <c r="B14" s="85" t="s">
        <v>47</v>
      </c>
      <c r="C14" s="104">
        <v>0.2199163843795123</v>
      </c>
      <c r="D14" s="104">
        <v>0.22465499560211194</v>
      </c>
      <c r="E14" s="104">
        <v>0.20939517107985514</v>
      </c>
      <c r="F14" s="104">
        <v>0.20015353338308806</v>
      </c>
      <c r="G14" s="104">
        <v>0.20474673946050381</v>
      </c>
      <c r="H14" s="104">
        <v>0.18059735769219998</v>
      </c>
      <c r="I14" s="104">
        <v>0.1704802214165364</v>
      </c>
      <c r="J14" s="104">
        <v>0.16765901290890245</v>
      </c>
      <c r="K14" s="104">
        <v>0.17470592069799873</v>
      </c>
      <c r="L14" s="104">
        <v>0.17317186756551953</v>
      </c>
      <c r="M14" s="104">
        <v>0.16598879874893555</v>
      </c>
      <c r="N14" s="104">
        <v>0.16729753847751594</v>
      </c>
      <c r="O14" s="172">
        <v>0.17009274277075287</v>
      </c>
      <c r="P14" s="172">
        <v>0.17296242833636336</v>
      </c>
      <c r="Q14" s="172">
        <v>0.16834605625246457</v>
      </c>
      <c r="R14" s="10">
        <v>0.16718845169265559</v>
      </c>
      <c r="S14" s="10">
        <v>0.16609294905650634</v>
      </c>
      <c r="T14" s="10">
        <v>0.17151675219019799</v>
      </c>
      <c r="U14" s="319">
        <v>0.18004267933978224</v>
      </c>
      <c r="V14" s="319">
        <v>0.17074782349225345</v>
      </c>
      <c r="W14" s="342">
        <v>0.16875311796250148</v>
      </c>
      <c r="X14" s="342">
        <v>0.17246104394198541</v>
      </c>
      <c r="Y14" s="342">
        <v>0.15646660865059261</v>
      </c>
      <c r="Z14" s="104">
        <v>0.16347290863176006</v>
      </c>
      <c r="AA14" s="319">
        <v>0.16387840170410725</v>
      </c>
      <c r="AB14" s="172">
        <v>0.15658657950420171</v>
      </c>
      <c r="AC14" s="172">
        <v>0.15782506406378663</v>
      </c>
      <c r="AD14" s="172">
        <v>0.14878314416660995</v>
      </c>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row>
    <row r="15" spans="1:222" x14ac:dyDescent="0.2">
      <c r="A15" s="6"/>
      <c r="B15" s="85" t="s">
        <v>48</v>
      </c>
      <c r="C15" s="104">
        <v>0.34520144389300644</v>
      </c>
      <c r="D15" s="104">
        <v>0.33274969799218845</v>
      </c>
      <c r="E15" s="104">
        <v>0.31644460632809707</v>
      </c>
      <c r="F15" s="104">
        <v>0.29744632823549855</v>
      </c>
      <c r="G15" s="104">
        <v>0.2941117210730208</v>
      </c>
      <c r="H15" s="104">
        <v>0.28212669823647818</v>
      </c>
      <c r="I15" s="104">
        <v>0.25426105780809238</v>
      </c>
      <c r="J15" s="104">
        <v>0.24342176862812473</v>
      </c>
      <c r="K15" s="104">
        <v>0.25838339597527721</v>
      </c>
      <c r="L15" s="104">
        <v>0.24999935869887654</v>
      </c>
      <c r="M15" s="104">
        <v>0.25123666813989221</v>
      </c>
      <c r="N15" s="104">
        <v>0.25523440703967792</v>
      </c>
      <c r="O15" s="172">
        <v>0.25899095593561311</v>
      </c>
      <c r="P15" s="172">
        <v>0.2502702185572101</v>
      </c>
      <c r="Q15" s="172">
        <v>0.2539156276321578</v>
      </c>
      <c r="R15" s="10">
        <v>0.24154938838377771</v>
      </c>
      <c r="S15" s="10">
        <v>0.2470451552352449</v>
      </c>
      <c r="T15" s="10">
        <v>0.24654080328190808</v>
      </c>
      <c r="U15" s="319">
        <v>0.25623991335447316</v>
      </c>
      <c r="V15" s="319">
        <v>0.24560333276201043</v>
      </c>
      <c r="W15" s="342">
        <v>0.24735224929156971</v>
      </c>
      <c r="X15" s="342">
        <v>0.24907263736585927</v>
      </c>
      <c r="Y15" s="342">
        <v>0.22620406291789719</v>
      </c>
      <c r="Z15" s="104">
        <v>0.23435108111157243</v>
      </c>
      <c r="AA15" s="319">
        <v>0.23670661738731769</v>
      </c>
      <c r="AB15" s="172">
        <v>0.22627728301993461</v>
      </c>
      <c r="AC15" s="172">
        <v>0.22404913040086827</v>
      </c>
      <c r="AD15" s="172">
        <v>0.21674863331481722</v>
      </c>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row>
    <row r="16" spans="1:222" x14ac:dyDescent="0.2">
      <c r="A16" s="6"/>
      <c r="B16" s="85" t="s">
        <v>49</v>
      </c>
      <c r="C16" s="104">
        <v>0.54174845631480673</v>
      </c>
      <c r="D16" s="104">
        <v>0.52526131143221344</v>
      </c>
      <c r="E16" s="104">
        <v>0.50408032896530741</v>
      </c>
      <c r="F16" s="104">
        <v>0.47439724058877286</v>
      </c>
      <c r="G16" s="104">
        <v>0.47445908935697056</v>
      </c>
      <c r="H16" s="104">
        <v>0.43918866875820517</v>
      </c>
      <c r="I16" s="104">
        <v>0.42041474418493974</v>
      </c>
      <c r="J16" s="104">
        <v>0.39778303196165565</v>
      </c>
      <c r="K16" s="104">
        <v>0.40193185664416259</v>
      </c>
      <c r="L16" s="104">
        <v>0.40517808428559426</v>
      </c>
      <c r="M16" s="104">
        <v>0.40524929705241586</v>
      </c>
      <c r="N16" s="104">
        <v>0.40226099676237559</v>
      </c>
      <c r="O16" s="172">
        <v>0.4101688480388605</v>
      </c>
      <c r="P16" s="172">
        <v>0.38913139451858297</v>
      </c>
      <c r="Q16" s="172">
        <v>0.40093770108442889</v>
      </c>
      <c r="R16" s="343">
        <v>0.38800000000000001</v>
      </c>
      <c r="S16" s="104">
        <v>0.39117560568524334</v>
      </c>
      <c r="T16" s="10">
        <v>0.38341186844162889</v>
      </c>
      <c r="U16" s="319">
        <v>0.38267699470046296</v>
      </c>
      <c r="V16" s="319">
        <v>0.38605801267864925</v>
      </c>
      <c r="W16" s="319">
        <v>0.39566771616851942</v>
      </c>
      <c r="X16" s="319">
        <v>0.38953687892037764</v>
      </c>
      <c r="Y16" s="319">
        <v>0.36698213657314627</v>
      </c>
      <c r="Z16" s="172">
        <v>0.37112622445702192</v>
      </c>
      <c r="AA16" s="319">
        <v>0.372235222510376</v>
      </c>
      <c r="AB16" s="172">
        <v>0.36560196961153252</v>
      </c>
      <c r="AC16" s="172">
        <v>0.36501842011120145</v>
      </c>
      <c r="AD16" s="172">
        <v>0.35706193682575654</v>
      </c>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row>
    <row r="17" spans="1:222" x14ac:dyDescent="0.2">
      <c r="A17" s="6"/>
      <c r="B17" s="57"/>
      <c r="C17" s="101"/>
      <c r="D17" s="101"/>
      <c r="E17" s="101"/>
      <c r="F17" s="101"/>
      <c r="G17" s="101"/>
      <c r="H17" s="101"/>
      <c r="I17" s="101"/>
      <c r="J17" s="101"/>
      <c r="K17" s="101"/>
      <c r="L17" s="101"/>
      <c r="M17" s="101"/>
      <c r="N17" s="101"/>
      <c r="O17" s="101"/>
      <c r="P17" s="101"/>
      <c r="Q17" s="101"/>
      <c r="R17" s="101"/>
      <c r="S17" s="101"/>
      <c r="T17" s="57"/>
      <c r="U17" s="57"/>
      <c r="V17" s="57"/>
      <c r="W17" s="57"/>
      <c r="X17" s="57"/>
      <c r="Y17" s="57"/>
      <c r="Z17" s="351"/>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row>
    <row r="18" spans="1:222" s="78" customFormat="1" x14ac:dyDescent="0.2">
      <c r="A18" s="88"/>
      <c r="B18" s="89" t="s">
        <v>180</v>
      </c>
      <c r="C18" s="105">
        <v>0.28799999999999998</v>
      </c>
      <c r="D18" s="105">
        <v>0.34100000000000003</v>
      </c>
      <c r="E18" s="105">
        <v>0.38</v>
      </c>
      <c r="F18" s="105">
        <v>0.33500000000000002</v>
      </c>
      <c r="G18" s="105">
        <v>0.32300000000000001</v>
      </c>
      <c r="H18" s="105">
        <v>0.33600000000000002</v>
      </c>
      <c r="I18" s="105">
        <v>0.34899999999999998</v>
      </c>
      <c r="J18" s="105">
        <v>0.34499999999999997</v>
      </c>
      <c r="K18" s="105">
        <v>0.30599999999999999</v>
      </c>
      <c r="L18" s="105">
        <v>0.33300000000000002</v>
      </c>
      <c r="M18" s="105">
        <v>0.31045695166585507</v>
      </c>
      <c r="N18" s="105">
        <v>0.33100000000000002</v>
      </c>
      <c r="O18" s="105">
        <v>0.32200000000000001</v>
      </c>
      <c r="P18" s="105">
        <v>0.29499999999999998</v>
      </c>
      <c r="Q18" s="105">
        <v>0.315</v>
      </c>
      <c r="R18" s="105">
        <v>0.309</v>
      </c>
      <c r="S18" s="105">
        <v>0.35313642061404282</v>
      </c>
      <c r="T18" s="105">
        <v>0.315</v>
      </c>
      <c r="U18" s="105">
        <v>0.308</v>
      </c>
      <c r="V18" s="105">
        <v>0.32</v>
      </c>
      <c r="W18" s="105">
        <v>0.34771793917908539</v>
      </c>
      <c r="X18" s="105">
        <v>0.32887684750491686</v>
      </c>
      <c r="Y18" s="105">
        <v>0.32664985108232508</v>
      </c>
      <c r="Z18" s="105">
        <v>0.29138218163140767</v>
      </c>
      <c r="AA18" s="105">
        <v>0.3182750662449782</v>
      </c>
      <c r="AB18" s="105">
        <v>0.31946164643712327</v>
      </c>
      <c r="AC18" s="105">
        <v>0.37242299219705011</v>
      </c>
      <c r="AD18" s="105">
        <v>0.34489076991892847</v>
      </c>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row>
    <row r="19" spans="1:222" s="38" customFormat="1" x14ac:dyDescent="0.2">
      <c r="A19" s="86"/>
      <c r="B19" s="87"/>
      <c r="C19" s="106"/>
      <c r="D19" s="106"/>
      <c r="E19" s="106"/>
      <c r="F19" s="106"/>
      <c r="G19" s="106"/>
      <c r="H19" s="106"/>
      <c r="I19" s="106"/>
      <c r="J19" s="106"/>
      <c r="K19" s="106"/>
      <c r="L19" s="106"/>
      <c r="M19" s="106"/>
      <c r="N19" s="106"/>
      <c r="O19" s="106"/>
      <c r="P19" s="106"/>
      <c r="Q19" s="106"/>
      <c r="R19" s="106"/>
      <c r="S19" s="106"/>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row>
    <row r="20" spans="1:222" x14ac:dyDescent="0.2">
      <c r="B20" s="157" t="s">
        <v>148</v>
      </c>
      <c r="S20" s="24"/>
    </row>
    <row r="21" spans="1:222" x14ac:dyDescent="0.2">
      <c r="B21" s="155" t="s">
        <v>147</v>
      </c>
      <c r="C21" s="155">
        <v>61.463333333333338</v>
      </c>
      <c r="D21" s="155">
        <f>AVERAGE(60.17,59.11,60.32)</f>
        <v>59.866666666666667</v>
      </c>
      <c r="E21" s="158">
        <f>AVERAGE(60.55,60.51,61.75)</f>
        <v>60.936666666666667</v>
      </c>
      <c r="F21" s="158">
        <f>AVERAGE(61.36,62.2,63.3)</f>
        <v>62.286666666666669</v>
      </c>
      <c r="G21" s="155">
        <f>AVERAGE(C21:F21)</f>
        <v>61.138333333333335</v>
      </c>
      <c r="H21" s="158">
        <f>AVERAGE(61.86,62.5,61.83)</f>
        <v>62.063333333333333</v>
      </c>
      <c r="I21" s="158">
        <f>AVERAGE(63.42,63.73,63.64)</f>
        <v>63.596666666666671</v>
      </c>
      <c r="J21" s="158">
        <f>AVERAGE(64.13,66.48,65.57)</f>
        <v>65.393333333333331</v>
      </c>
      <c r="K21" s="158">
        <f>AVERAGE(65.41,66.67,66.15)</f>
        <v>66.076666666666668</v>
      </c>
      <c r="L21" s="155">
        <f>AVERAGE(H21:K21)</f>
        <v>64.282499999999999</v>
      </c>
      <c r="M21" s="158">
        <f>AVERAGE(67.87,68.41,66.25)</f>
        <v>67.510000000000005</v>
      </c>
      <c r="N21" s="158">
        <f>AVERAGE(66.41,67.26,67.52)</f>
        <v>67.063333333333333</v>
      </c>
      <c r="O21" s="158">
        <f>AVERAGE(66.63,66.96,66.61)</f>
        <v>66.733333333333334</v>
      </c>
      <c r="P21" s="158">
        <f>AVERAGE(66.79,68.38,67.94)</f>
        <v>67.703333333333333</v>
      </c>
      <c r="Q21" s="155">
        <f>AVERAGE(M21:P21)</f>
        <v>67.252499999999998</v>
      </c>
      <c r="R21" s="158">
        <f>(64.85+66.69+67.85)/3</f>
        <v>66.463333333333324</v>
      </c>
      <c r="S21" s="158">
        <v>64.45</v>
      </c>
      <c r="T21" s="158">
        <f>+(64.18+63.9+65.28)/3</f>
        <v>64.453333333333333</v>
      </c>
      <c r="U21" s="158">
        <f>+(64.74+64.46+63.87)/3</f>
        <v>64.356666666666669</v>
      </c>
      <c r="V21" s="377">
        <f>AVERAGE(R21:U21)</f>
        <v>64.930833333333339</v>
      </c>
      <c r="W21" s="377">
        <v>64.64</v>
      </c>
      <c r="X21" s="377">
        <v>67.510000000000005</v>
      </c>
      <c r="Y21" s="377">
        <v>70.67</v>
      </c>
      <c r="Z21" s="377">
        <v>71.099999999999994</v>
      </c>
      <c r="AA21" s="377">
        <f>AVERAGE(W21:Z21)</f>
        <v>68.47999999999999</v>
      </c>
      <c r="AB21" s="377">
        <v>70.316666666666677</v>
      </c>
      <c r="AC21" s="377">
        <v>69.416666666666671</v>
      </c>
      <c r="AD21" s="377">
        <v>70.353333333333339</v>
      </c>
    </row>
    <row r="22" spans="1:222" x14ac:dyDescent="0.2">
      <c r="B22" s="34" t="s">
        <v>149</v>
      </c>
      <c r="C22" s="109">
        <v>6.8939516346204766E-3</v>
      </c>
      <c r="D22" s="109">
        <v>2.5977547589348782E-2</v>
      </c>
      <c r="E22" s="109">
        <v>-1.7873051224944314E-2</v>
      </c>
      <c r="F22" s="109">
        <v>-2.21541491165691E-2</v>
      </c>
      <c r="G22" s="109"/>
      <c r="H22" s="109">
        <f>-(H21/F21-1)</f>
        <v>3.5855720860538121E-3</v>
      </c>
      <c r="I22" s="109">
        <f>-(I21/H21-1)</f>
        <v>-2.4705945539502672E-2</v>
      </c>
      <c r="J22" s="109">
        <f>-(J21/I21-1)</f>
        <v>-2.8250956549085382E-2</v>
      </c>
      <c r="K22" s="109">
        <f>-(K21/J21-1)</f>
        <v>-1.0449587113875003E-2</v>
      </c>
      <c r="L22" s="109"/>
      <c r="M22" s="109">
        <f>-(M21/K21-1)</f>
        <v>-2.1691973969631295E-2</v>
      </c>
      <c r="N22" s="109">
        <f>-(N21/M21-1)</f>
        <v>6.6163037574681338E-3</v>
      </c>
      <c r="O22" s="109">
        <f>-(O21/N21-1)</f>
        <v>4.9207217058501174E-3</v>
      </c>
      <c r="P22" s="109">
        <f>-(P21/O21-1)</f>
        <v>-1.4535464535464504E-2</v>
      </c>
      <c r="Q22" s="109"/>
      <c r="R22" s="109">
        <f>-(R21/Q21-1)</f>
        <v>1.1734384099723827E-2</v>
      </c>
      <c r="S22" s="109">
        <f>-(S21/R21-1)</f>
        <v>3.0292391794974449E-2</v>
      </c>
      <c r="T22" s="109">
        <f>-(T21/S21-1)</f>
        <v>-5.1719679337924873E-5</v>
      </c>
      <c r="U22" s="109">
        <f>-(U21/T21-1)</f>
        <v>1.4997931319817859E-3</v>
      </c>
      <c r="V22" s="316"/>
      <c r="W22" s="378">
        <f>-(W21/U21-1)</f>
        <v>-4.4025482985445841E-3</v>
      </c>
      <c r="X22" s="378">
        <f>-(X21/W21-1)</f>
        <v>-4.4399752475247523E-2</v>
      </c>
      <c r="Y22" s="378">
        <f>-(Y21/X21-1)</f>
        <v>-4.6807880314027495E-2</v>
      </c>
      <c r="Z22" s="379">
        <f>-(Z21/Y21-1)</f>
        <v>-6.0846186500636001E-3</v>
      </c>
      <c r="AA22" s="316"/>
      <c r="AB22" s="378">
        <f>-(AB21/Z21-1)</f>
        <v>1.1017346460384214E-2</v>
      </c>
      <c r="AC22" s="378">
        <f>-(AC21/AB21-1)</f>
        <v>1.2799241526428196E-2</v>
      </c>
      <c r="AD22" s="378">
        <f>-(AD21/AC21-1)</f>
        <v>-1.3493397358943504E-2</v>
      </c>
    </row>
    <row r="23" spans="1:222" x14ac:dyDescent="0.2">
      <c r="B23" s="34" t="s">
        <v>150</v>
      </c>
      <c r="C23" s="109">
        <v>-0.13926475131294414</v>
      </c>
      <c r="D23" s="109">
        <v>-5.8400612882314906E-2</v>
      </c>
      <c r="E23" s="109">
        <v>3.1162737207728441E-2</v>
      </c>
      <c r="F23" s="109">
        <v>-6.4092206603112434E-3</v>
      </c>
      <c r="G23" s="109">
        <v>-3.9325536290475194E-2</v>
      </c>
      <c r="H23" s="109">
        <f>-(H21/C21-1)</f>
        <v>-9.7619176744940805E-3</v>
      </c>
      <c r="I23" s="109">
        <f>-(I21/D21-1)</f>
        <v>-6.2305122494432208E-2</v>
      </c>
      <c r="J23" s="109">
        <f>-(J21/E21-1)</f>
        <v>-7.3136042886056574E-2</v>
      </c>
      <c r="K23" s="109">
        <f t="shared" ref="K23" si="4">-(K21/F21-1)</f>
        <v>-6.0847693460344576E-2</v>
      </c>
      <c r="L23" s="109">
        <f t="shared" ref="L23" si="5">-(L21/G21-1)</f>
        <v>-5.1427091568301275E-2</v>
      </c>
      <c r="M23" s="109">
        <f t="shared" ref="M23:W23" si="6">-(M21/H21-1)</f>
        <v>-8.7759815242494321E-2</v>
      </c>
      <c r="N23" s="109">
        <f t="shared" si="6"/>
        <v>-5.4510194454636007E-2</v>
      </c>
      <c r="O23" s="109">
        <f t="shared" si="6"/>
        <v>-2.0491385462330536E-2</v>
      </c>
      <c r="P23" s="109">
        <f t="shared" si="6"/>
        <v>-2.4617868132976728E-2</v>
      </c>
      <c r="Q23" s="109">
        <f t="shared" si="6"/>
        <v>-4.6202310115505796E-2</v>
      </c>
      <c r="R23" s="109">
        <f t="shared" si="6"/>
        <v>1.5503875968992498E-2</v>
      </c>
      <c r="S23" s="109">
        <f t="shared" si="6"/>
        <v>3.8968139569561022E-2</v>
      </c>
      <c r="T23" s="109">
        <f t="shared" si="6"/>
        <v>3.4165834165834186E-2</v>
      </c>
      <c r="U23" s="109">
        <f t="shared" si="6"/>
        <v>4.9431342622224372E-2</v>
      </c>
      <c r="V23" s="379">
        <f t="shared" si="6"/>
        <v>3.4521641079018006E-2</v>
      </c>
      <c r="W23" s="379">
        <f t="shared" si="6"/>
        <v>2.7433672701740131E-2</v>
      </c>
      <c r="X23" s="379">
        <f>-(X21/S21-1)</f>
        <v>-4.7478665632273209E-2</v>
      </c>
      <c r="Y23" s="379">
        <f>-(Y21/T21-1)</f>
        <v>-9.6452213487794758E-2</v>
      </c>
      <c r="Z23" s="379">
        <f>-(Z21/U21-1)</f>
        <v>-0.1047806495053607</v>
      </c>
      <c r="AA23" s="379">
        <f t="shared" ref="AA23:AD23" si="7">-(AA21/V21-1)</f>
        <v>-5.466072872415495E-2</v>
      </c>
      <c r="AB23" s="379">
        <f t="shared" si="7"/>
        <v>-8.7819719471947444E-2</v>
      </c>
      <c r="AC23" s="379">
        <f t="shared" si="7"/>
        <v>-2.8242729472176986E-2</v>
      </c>
      <c r="AD23" s="379">
        <f t="shared" si="7"/>
        <v>4.4809207112871396E-3</v>
      </c>
    </row>
    <row r="24" spans="1:222" x14ac:dyDescent="0.2">
      <c r="B24" s="34"/>
      <c r="C24" s="109"/>
      <c r="D24" s="109"/>
      <c r="E24" s="109"/>
      <c r="F24" s="109"/>
      <c r="G24" s="109"/>
      <c r="H24" s="109"/>
      <c r="I24" s="109"/>
      <c r="J24" s="109"/>
      <c r="K24" s="109"/>
      <c r="L24" s="109"/>
      <c r="M24" s="109"/>
      <c r="N24" s="109"/>
      <c r="O24" s="109"/>
      <c r="P24" s="109"/>
      <c r="Q24" s="109"/>
      <c r="R24" s="109"/>
      <c r="S24" s="109"/>
      <c r="V24" s="316"/>
      <c r="W24" s="316"/>
      <c r="X24" s="316"/>
      <c r="Y24" s="316"/>
      <c r="Z24" s="31"/>
      <c r="AA24" s="316"/>
      <c r="AB24" s="316"/>
      <c r="AC24" s="316"/>
      <c r="AD24" s="316"/>
    </row>
    <row r="25" spans="1:222" x14ac:dyDescent="0.2">
      <c r="B25" s="158" t="s">
        <v>145</v>
      </c>
      <c r="C25" s="158">
        <v>1.66</v>
      </c>
      <c r="D25" s="158">
        <f>AVERAGE(1.68,1.67,1.7)</f>
        <v>1.6833333333333333</v>
      </c>
      <c r="E25" s="158">
        <f>AVERAGE(1.69,1.66,1.62)</f>
        <v>1.6566666666666665</v>
      </c>
      <c r="F25" s="158">
        <f>AVERAGE(1.6,1.56,1.56)</f>
        <v>1.5733333333333335</v>
      </c>
      <c r="G25" s="158">
        <f>AVERAGE(C25:F25)</f>
        <v>1.6433333333333333</v>
      </c>
      <c r="H25" s="158">
        <f>AVERAGE(1.48,1.51,1.54)</f>
        <v>1.51</v>
      </c>
      <c r="I25" s="158">
        <f>AVERAGE(1.54,1.53,1.57)</f>
        <v>1.5466666666666669</v>
      </c>
      <c r="J25" s="158">
        <f>AVERAGE(1.56,1.54,1.52)</f>
        <v>1.54</v>
      </c>
      <c r="K25" s="158">
        <f>AVERAGE(1.5,1.54,1.48)</f>
        <v>1.5066666666666666</v>
      </c>
      <c r="L25" s="158">
        <f>AVERAGE(H25:K25)</f>
        <v>1.5258333333333334</v>
      </c>
      <c r="M25" s="158">
        <f>AVERAGE(1.42,1.39,1.44)</f>
        <v>1.4166666666666667</v>
      </c>
      <c r="N25" s="158">
        <f>AVERAGE(1.46,1.46,1.35)</f>
        <v>1.4233333333333331</v>
      </c>
      <c r="O25" s="158">
        <f>AVERAGE(1.32,1.31,1.3)</f>
        <v>1.3099999999999998</v>
      </c>
      <c r="P25" s="158">
        <f>AVERAGE(1.22,1.24,1.23)</f>
        <v>1.23</v>
      </c>
      <c r="Q25" s="158">
        <f>AVERAGE(M25:P25)</f>
        <v>1.3449999999999998</v>
      </c>
      <c r="R25" s="158">
        <f>+ROUND((1.24+1.25+1.24)/3,2)</f>
        <v>1.24</v>
      </c>
      <c r="S25" s="158">
        <v>1.29</v>
      </c>
      <c r="T25" s="158">
        <f>+(1.31+1.29+1.34)/3</f>
        <v>1.3133333333333335</v>
      </c>
      <c r="U25" s="158">
        <f>+(1.32+1.34+1.35)/3</f>
        <v>1.3366666666666667</v>
      </c>
      <c r="V25" s="377">
        <f>AVERAGE(R25:U25)</f>
        <v>1.2950000000000002</v>
      </c>
      <c r="W25" s="377">
        <v>1.4</v>
      </c>
      <c r="X25" s="377">
        <v>1.34</v>
      </c>
      <c r="Y25" s="377">
        <v>1.31</v>
      </c>
      <c r="Z25" s="377">
        <v>1.28</v>
      </c>
      <c r="AA25" s="377">
        <f>AVERAGE(W25:Z25)</f>
        <v>1.3325000000000002</v>
      </c>
      <c r="AB25" s="377">
        <v>1.3152666666666666</v>
      </c>
      <c r="AC25" s="377">
        <v>1.2756666666666667</v>
      </c>
      <c r="AD25" s="377">
        <v>1.2212333333333334</v>
      </c>
    </row>
    <row r="26" spans="1:222" x14ac:dyDescent="0.2">
      <c r="B26" s="34" t="s">
        <v>174</v>
      </c>
      <c r="C26" s="109">
        <v>-1.8404907975460238E-2</v>
      </c>
      <c r="D26" s="109">
        <v>-1.4056224899598346E-2</v>
      </c>
      <c r="E26" s="109">
        <v>1.5841584158415967E-2</v>
      </c>
      <c r="F26" s="109">
        <v>5.0301810865190921E-2</v>
      </c>
      <c r="G26" s="109"/>
      <c r="H26" s="109">
        <f>-(H25/F25-1)</f>
        <v>4.0254237288135708E-2</v>
      </c>
      <c r="I26" s="109">
        <f>-(I25/H25-1)</f>
        <v>-2.428256070640189E-2</v>
      </c>
      <c r="J26" s="109">
        <f>-(J25/I25-1)</f>
        <v>4.3103448275862988E-3</v>
      </c>
      <c r="K26" s="109">
        <f>-(K25/J25-1)</f>
        <v>2.1645021645021689E-2</v>
      </c>
      <c r="L26" s="109"/>
      <c r="M26" s="109">
        <f>-(M25/K25-1)</f>
        <v>5.9734513274336209E-2</v>
      </c>
      <c r="N26" s="109">
        <f>-(N25/M25-1)</f>
        <v>-4.7058823529408933E-3</v>
      </c>
      <c r="O26" s="109">
        <f>-(O25/N25-1)</f>
        <v>7.9625292740046816E-2</v>
      </c>
      <c r="P26" s="109">
        <f>-(P25/O25-1)</f>
        <v>6.1068702290076216E-2</v>
      </c>
      <c r="Q26" s="109"/>
      <c r="R26" s="109">
        <f>-(R25/Q25-1)</f>
        <v>7.8066914498141071E-2</v>
      </c>
      <c r="S26" s="109">
        <f>-(S25/R25-1)</f>
        <v>-4.0322580645161255E-2</v>
      </c>
      <c r="T26" s="109">
        <f>-(T25/S25-1)</f>
        <v>-1.8087855297157729E-2</v>
      </c>
      <c r="U26" s="109">
        <f>-(U25/T25-1)</f>
        <v>-1.7766497461928932E-2</v>
      </c>
      <c r="W26" s="322">
        <f>-(W25/U25-1)</f>
        <v>-4.7381546134663166E-2</v>
      </c>
      <c r="X26" s="322">
        <f>-(X25/W25-1)</f>
        <v>4.2857142857142705E-2</v>
      </c>
      <c r="Y26" s="322">
        <f>-(Y25/X25-1)</f>
        <v>2.2388059701492602E-2</v>
      </c>
      <c r="Z26" s="109">
        <f>-(Z25/Y25-1)</f>
        <v>2.2900763358778664E-2</v>
      </c>
      <c r="AB26" s="322">
        <f>-(AB25/Z25-1)</f>
        <v>-2.7552083333333144E-2</v>
      </c>
      <c r="AC26" s="378">
        <f>-(AC25/AB25-1)</f>
        <v>3.0107962897257701E-2</v>
      </c>
      <c r="AD26" s="378">
        <f>-(AD25/AC25-1)</f>
        <v>4.2670499085445512E-2</v>
      </c>
    </row>
    <row r="27" spans="1:222" x14ac:dyDescent="0.2">
      <c r="B27" s="34" t="s">
        <v>175</v>
      </c>
      <c r="C27" s="109">
        <v>-7.7922077922077948E-2</v>
      </c>
      <c r="D27" s="109">
        <v>-0.10021786492374729</v>
      </c>
      <c r="E27" s="109">
        <v>-6.1965811965811746E-2</v>
      </c>
      <c r="F27" s="109">
        <v>3.4764826175868957E-2</v>
      </c>
      <c r="G27" s="109">
        <v>-5.0053248136315176E-2</v>
      </c>
      <c r="H27" s="109">
        <f t="shared" ref="H27:J27" si="8">-(H25/C25-1)</f>
        <v>9.0361445783132432E-2</v>
      </c>
      <c r="I27" s="109">
        <f t="shared" si="8"/>
        <v>8.1188118811881038E-2</v>
      </c>
      <c r="J27" s="109">
        <f t="shared" si="8"/>
        <v>7.0422535211267512E-2</v>
      </c>
      <c r="K27" s="109">
        <f t="shared" ref="K27" si="9">-(K25/F25-1)</f>
        <v>4.2372881355932313E-2</v>
      </c>
      <c r="L27" s="109">
        <f t="shared" ref="L27:M27" si="10">-(L25/G25-1)</f>
        <v>7.1501014198782964E-2</v>
      </c>
      <c r="M27" s="109">
        <f t="shared" si="10"/>
        <v>6.1810154525386296E-2</v>
      </c>
      <c r="N27" s="109">
        <f t="shared" ref="N27:W27" si="11">-(N25/I25-1)</f>
        <v>7.9741379310345084E-2</v>
      </c>
      <c r="O27" s="109">
        <f t="shared" si="11"/>
        <v>0.14935064935064946</v>
      </c>
      <c r="P27" s="109">
        <f t="shared" si="11"/>
        <v>0.1836283185840708</v>
      </c>
      <c r="Q27" s="109">
        <f t="shared" si="11"/>
        <v>0.11851447296559281</v>
      </c>
      <c r="R27" s="109">
        <f t="shared" si="11"/>
        <v>0.12470588235294122</v>
      </c>
      <c r="S27" s="109">
        <f t="shared" si="11"/>
        <v>9.367681498829028E-2</v>
      </c>
      <c r="T27" s="109">
        <f t="shared" si="11"/>
        <v>-2.5445292620867033E-3</v>
      </c>
      <c r="U27" s="109">
        <f t="shared" si="11"/>
        <v>-8.6720867208672114E-2</v>
      </c>
      <c r="V27" s="109">
        <f t="shared" si="11"/>
        <v>3.7174721189590754E-2</v>
      </c>
      <c r="W27" s="109">
        <f t="shared" si="11"/>
        <v>-0.12903225806451601</v>
      </c>
      <c r="X27" s="109">
        <f>-(X25/S25-1)</f>
        <v>-3.8759689922480689E-2</v>
      </c>
      <c r="Y27" s="109">
        <f>-(Y25/T25-1)</f>
        <v>2.5380710659899108E-3</v>
      </c>
      <c r="Z27" s="109">
        <f>-(Z25/U25-1)</f>
        <v>4.239401496259354E-2</v>
      </c>
      <c r="AA27" s="109">
        <f t="shared" ref="AA27:AD27" si="12">-(AA25/V25-1)</f>
        <v>-2.8957528957529011E-2</v>
      </c>
      <c r="AB27" s="109">
        <f t="shared" si="12"/>
        <v>6.0523809523809535E-2</v>
      </c>
      <c r="AC27" s="109">
        <f t="shared" si="12"/>
        <v>4.8009950248756206E-2</v>
      </c>
      <c r="AD27" s="109">
        <f t="shared" si="12"/>
        <v>6.7760814249363865E-2</v>
      </c>
    </row>
    <row r="28" spans="1:222" x14ac:dyDescent="0.2">
      <c r="B28" s="156"/>
      <c r="S28" s="24"/>
      <c r="Z28" s="24"/>
    </row>
    <row r="29" spans="1:222" x14ac:dyDescent="0.2">
      <c r="B29" s="155" t="s">
        <v>146</v>
      </c>
      <c r="C29" s="155">
        <v>44.92166666666666</v>
      </c>
      <c r="D29" s="155">
        <v>44.00333333333333</v>
      </c>
      <c r="E29" s="155">
        <f>AVERAGE(43.46,43.59,44.875)</f>
        <v>43.975000000000001</v>
      </c>
      <c r="F29" s="155">
        <f>AVERAGE(44.88,44.89,44.72)</f>
        <v>44.830000000000005</v>
      </c>
      <c r="G29" s="158">
        <f>AVERAGE(C29:F29)</f>
        <v>44.432499999999997</v>
      </c>
      <c r="H29" s="158">
        <f>AVERAGE(44.7,44.09,44.08)</f>
        <v>44.29</v>
      </c>
      <c r="I29" s="158">
        <f>AVERAGE(44.52,44.59,45.09)</f>
        <v>44.733333333333341</v>
      </c>
      <c r="J29" s="158">
        <f>AVERAGE(45.62,46.735,46.74)</f>
        <v>46.365000000000002</v>
      </c>
      <c r="K29" s="155">
        <f>AVERAGE(46.82,47.15,47.06)</f>
        <v>47.01</v>
      </c>
      <c r="L29" s="158">
        <f>AVERAGE(H29:K29)</f>
        <v>45.599583333333335</v>
      </c>
      <c r="M29" s="158">
        <f>AVERAGE(47.65,47.55,46.07)</f>
        <v>47.089999999999996</v>
      </c>
      <c r="N29" s="158">
        <f>AVERAGE(46.89,46.755,47.06)</f>
        <v>46.901666666666671</v>
      </c>
      <c r="O29" s="158">
        <f>AVERAGE(47.11,46.58,48.5)</f>
        <v>47.396666666666668</v>
      </c>
      <c r="P29" s="158">
        <f>AVERAGE(48.41,49.73,49.72)</f>
        <v>49.286666666666662</v>
      </c>
      <c r="Q29" s="158">
        <f>AVERAGE(M29:P29)</f>
        <v>47.668750000000003</v>
      </c>
      <c r="R29" s="158">
        <f>+(50.21+50.16+49.77)/3</f>
        <v>50.046666666666674</v>
      </c>
      <c r="S29" s="158">
        <v>50.061999999999998</v>
      </c>
      <c r="T29" s="158">
        <f>+(50.46+51.17+50.815)/3</f>
        <v>50.814999999999998</v>
      </c>
      <c r="U29" s="158">
        <f>+(51.61+50.27+49.93)/3</f>
        <v>50.603333333333332</v>
      </c>
      <c r="V29" s="158">
        <f>AVERAGE(R29:U29)</f>
        <v>50.381749999999997</v>
      </c>
      <c r="W29" s="158">
        <v>51.85</v>
      </c>
      <c r="X29" s="158">
        <v>52.53</v>
      </c>
      <c r="Y29" s="158">
        <v>53.53</v>
      </c>
      <c r="Z29" s="158">
        <v>52.86</v>
      </c>
      <c r="AA29" s="158">
        <f>AVERAGE(W29:Z29)</f>
        <v>52.692499999999995</v>
      </c>
      <c r="AB29" s="158">
        <v>52.106666666666662</v>
      </c>
      <c r="AC29" s="158">
        <v>51.835000000000001</v>
      </c>
      <c r="AD29" s="158">
        <v>51.589999999999996</v>
      </c>
    </row>
    <row r="30" spans="1:222" x14ac:dyDescent="0.2">
      <c r="B30" s="34" t="s">
        <v>149</v>
      </c>
      <c r="C30" s="109">
        <v>-2.5843038745527736E-2</v>
      </c>
      <c r="D30" s="109">
        <v>2.0442993358809725E-2</v>
      </c>
      <c r="E30" s="109">
        <v>6.4389061434733108E-4</v>
      </c>
      <c r="F30" s="109">
        <v>-1.9442865264354792E-2</v>
      </c>
      <c r="G30" s="109"/>
      <c r="H30" s="109">
        <f>-(H29/F29-1)</f>
        <v>1.2045505242025523E-2</v>
      </c>
      <c r="I30" s="109">
        <f>-(I29/H29-1)</f>
        <v>-1.0009783999398003E-2</v>
      </c>
      <c r="J30" s="109">
        <f>-(J29/I29-1)</f>
        <v>-3.6475409836065342E-2</v>
      </c>
      <c r="K30" s="109">
        <f>-(K29/J29-1)</f>
        <v>-1.3911355548366089E-2</v>
      </c>
      <c r="L30" s="109"/>
      <c r="M30" s="109">
        <f>-(M29/K29-1)</f>
        <v>-1.701765581791026E-3</v>
      </c>
      <c r="N30" s="109">
        <f>-(N29/M29-1)</f>
        <v>3.9994337085013099E-3</v>
      </c>
      <c r="O30" s="109">
        <f>-(O29/N29-1)</f>
        <v>-1.0553995948971107E-2</v>
      </c>
      <c r="P30" s="109">
        <f>-(P29/O29-1)</f>
        <v>-3.987622195653695E-2</v>
      </c>
      <c r="Q30" s="109"/>
      <c r="R30" s="109">
        <f>-(R29/Q29-1)</f>
        <v>-4.9884183383593461E-2</v>
      </c>
      <c r="S30" s="109">
        <f>-(S29/R29-1)</f>
        <v>-3.0638071133592959E-4</v>
      </c>
      <c r="T30" s="109">
        <f>-(T29/S29-1)</f>
        <v>-1.5041348727577786E-2</v>
      </c>
      <c r="U30" s="109">
        <f>-(U29/T29-1)</f>
        <v>4.165436714880788E-3</v>
      </c>
      <c r="W30" s="322">
        <f>-(W29/U29-1)</f>
        <v>-2.4636058230683044E-2</v>
      </c>
      <c r="X30" s="322">
        <f>-(X29/W29-1)</f>
        <v>-1.3114754098360715E-2</v>
      </c>
      <c r="Y30" s="322">
        <f>-(Y29/X29-1)</f>
        <v>-1.9036740909956107E-2</v>
      </c>
      <c r="Z30" s="109">
        <f>-(Z29/Y29-1)</f>
        <v>1.2516345974220133E-2</v>
      </c>
      <c r="AB30" s="322">
        <f>-(AB29/Z29-1)</f>
        <v>1.4251481901879304E-2</v>
      </c>
      <c r="AC30" s="378">
        <f>-(AC29/AB29-1)</f>
        <v>5.2136642784031961E-3</v>
      </c>
      <c r="AD30" s="378">
        <f>-(AD29/AC29-1)</f>
        <v>4.7265361242404547E-3</v>
      </c>
    </row>
    <row r="31" spans="1:222" x14ac:dyDescent="0.2">
      <c r="B31" s="34" t="s">
        <v>150</v>
      </c>
      <c r="C31" s="109">
        <v>-0.1033198247983953</v>
      </c>
      <c r="D31" s="109">
        <v>-4.2568314642236649E-2</v>
      </c>
      <c r="E31" s="109">
        <v>-2.7362900467451379E-3</v>
      </c>
      <c r="F31" s="109">
        <v>-2.3749714546700273E-2</v>
      </c>
      <c r="G31" s="109">
        <v>-4.199726402188797E-2</v>
      </c>
      <c r="H31" s="109">
        <f t="shared" ref="H31:J31" si="13">-(H29/C29-1)</f>
        <v>1.4061514488183047E-2</v>
      </c>
      <c r="I31" s="109">
        <f t="shared" si="13"/>
        <v>-1.6589652299068502E-2</v>
      </c>
      <c r="J31" s="109">
        <f t="shared" si="13"/>
        <v>-5.4349061967026824E-2</v>
      </c>
      <c r="K31" s="109">
        <f>-(K29/F29-1)</f>
        <v>-4.8628150791880209E-2</v>
      </c>
      <c r="L31" s="109">
        <f t="shared" ref="L31:M31" si="14">-(L29/G29-1)</f>
        <v>-2.6266434104165626E-2</v>
      </c>
      <c r="M31" s="109">
        <f t="shared" si="14"/>
        <v>-6.3219688417249786E-2</v>
      </c>
      <c r="N31" s="109">
        <f t="shared" ref="N31:W31" si="15">-(N29/I29-1)</f>
        <v>-4.8472429210133949E-2</v>
      </c>
      <c r="O31" s="109">
        <f t="shared" si="15"/>
        <v>-2.2250979546353244E-2</v>
      </c>
      <c r="P31" s="109">
        <f t="shared" si="15"/>
        <v>-4.8429412181805187E-2</v>
      </c>
      <c r="Q31" s="109">
        <f t="shared" si="15"/>
        <v>-4.537687661619727E-2</v>
      </c>
      <c r="R31" s="109">
        <f t="shared" si="15"/>
        <v>-6.2787569901607165E-2</v>
      </c>
      <c r="S31" s="109">
        <f t="shared" si="15"/>
        <v>-6.7382111509896481E-2</v>
      </c>
      <c r="T31" s="109">
        <f t="shared" si="15"/>
        <v>-7.2121808847316782E-2</v>
      </c>
      <c r="U31" s="109">
        <f t="shared" si="15"/>
        <v>-2.6714459623968789E-2</v>
      </c>
      <c r="V31" s="109">
        <f t="shared" si="15"/>
        <v>-5.691359643372218E-2</v>
      </c>
      <c r="W31" s="109">
        <f t="shared" si="15"/>
        <v>-3.6033035833222149E-2</v>
      </c>
      <c r="X31" s="109">
        <f>-(X29/S29-1)</f>
        <v>-4.9298869401941614E-2</v>
      </c>
      <c r="Y31" s="109">
        <f>-(Y29/T29-1)</f>
        <v>-5.3429105579061442E-2</v>
      </c>
      <c r="Z31" s="109">
        <f>-(Z29/U29-1)</f>
        <v>-4.459521770634356E-2</v>
      </c>
      <c r="AA31" s="109">
        <f t="shared" ref="AA31:AD31" si="16">-(AA29/V29-1)</f>
        <v>-4.5864822083393264E-2</v>
      </c>
      <c r="AB31" s="109">
        <f t="shared" si="16"/>
        <v>-4.9501767920281381E-3</v>
      </c>
      <c r="AC31" s="109">
        <f t="shared" si="16"/>
        <v>1.3230534932419546E-2</v>
      </c>
      <c r="AD31" s="109">
        <f t="shared" si="16"/>
        <v>3.6241359985055177E-2</v>
      </c>
    </row>
    <row r="33" spans="1:18" x14ac:dyDescent="0.2">
      <c r="A33" s="154" t="s">
        <v>265</v>
      </c>
      <c r="C33" s="109"/>
      <c r="D33" s="109"/>
      <c r="E33" s="109"/>
      <c r="F33" s="109"/>
      <c r="H33" s="109"/>
      <c r="I33" s="109"/>
      <c r="J33" s="109"/>
      <c r="K33" s="109"/>
      <c r="M33" s="109"/>
      <c r="N33" s="109"/>
      <c r="O33" s="109"/>
      <c r="P33" s="109"/>
      <c r="R33" s="109"/>
    </row>
    <row r="34" spans="1:18" x14ac:dyDescent="0.2">
      <c r="A34" s="154" t="s">
        <v>266</v>
      </c>
    </row>
    <row r="35" spans="1:18" x14ac:dyDescent="0.2">
      <c r="C35" s="28"/>
      <c r="D35" s="28"/>
      <c r="E35" s="28"/>
      <c r="F35" s="28"/>
      <c r="G35" s="28"/>
      <c r="H35" s="28"/>
      <c r="I35" s="28"/>
      <c r="J35" s="28"/>
      <c r="K35" s="28"/>
      <c r="L35" s="28"/>
      <c r="M35" s="28"/>
      <c r="N35" s="28"/>
      <c r="O35" s="28"/>
      <c r="P35" s="28"/>
      <c r="Q35" s="28"/>
      <c r="R35" s="28"/>
    </row>
    <row r="36" spans="1:18" x14ac:dyDescent="0.2">
      <c r="C36" s="68"/>
      <c r="D36" s="68"/>
      <c r="E36" s="68"/>
      <c r="F36" s="68"/>
      <c r="H36" s="68"/>
      <c r="I36" s="68"/>
      <c r="J36" s="68"/>
      <c r="K36" s="68"/>
      <c r="M36" s="68"/>
      <c r="N36" s="68"/>
      <c r="O36" s="68"/>
      <c r="P36" s="68"/>
      <c r="R36" s="68"/>
    </row>
    <row r="38" spans="1:18" x14ac:dyDescent="0.2">
      <c r="C38" s="68"/>
      <c r="D38" s="68"/>
      <c r="E38" s="68"/>
      <c r="F38" s="68"/>
      <c r="H38" s="68"/>
      <c r="I38" s="68"/>
      <c r="J38" s="68"/>
      <c r="K38" s="68"/>
      <c r="M38" s="68"/>
      <c r="N38" s="68"/>
      <c r="O38" s="68"/>
      <c r="P38" s="68"/>
      <c r="R38" s="68"/>
    </row>
    <row r="42" spans="1:18" x14ac:dyDescent="0.2">
      <c r="C42" s="68"/>
      <c r="D42" s="68"/>
      <c r="E42" s="68"/>
      <c r="F42" s="68"/>
      <c r="H42" s="68"/>
      <c r="I42" s="68"/>
      <c r="J42" s="68"/>
      <c r="K42" s="68"/>
      <c r="M42" s="68"/>
      <c r="N42" s="68"/>
      <c r="O42" s="68"/>
      <c r="P42" s="68"/>
      <c r="R42" s="68"/>
    </row>
    <row r="44" spans="1:18" x14ac:dyDescent="0.2">
      <c r="C44" s="68"/>
      <c r="D44" s="68"/>
      <c r="E44" s="68"/>
      <c r="F44" s="68"/>
      <c r="H44" s="68"/>
      <c r="I44" s="68"/>
      <c r="J44" s="68"/>
      <c r="K44" s="68"/>
      <c r="M44" s="68"/>
      <c r="N44" s="68"/>
      <c r="O44" s="68"/>
      <c r="P44" s="68"/>
      <c r="R44" s="68"/>
    </row>
    <row r="45" spans="1:18" x14ac:dyDescent="0.2">
      <c r="C45" s="109"/>
      <c r="D45" s="109"/>
      <c r="E45" s="109"/>
      <c r="F45" s="109"/>
      <c r="H45" s="109"/>
      <c r="I45" s="109"/>
      <c r="J45" s="109"/>
      <c r="K45" s="109"/>
      <c r="M45" s="109"/>
      <c r="N45" s="109"/>
      <c r="O45" s="109"/>
      <c r="P45" s="109"/>
      <c r="R45" s="109"/>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5" scale="8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Income Statement</vt:lpstr>
      <vt:lpstr>Balance Sheet</vt:lpstr>
      <vt:lpstr>Cashflow</vt:lpstr>
      <vt:lpstr>Revenues and Margins</vt:lpstr>
      <vt:lpstr>Other Metrics</vt:lpstr>
      <vt:lpstr>'Balance Sheet'!Print_Area</vt:lpstr>
      <vt:lpstr>Cashflow!Print_Area</vt:lpstr>
      <vt:lpstr>'Income Statement'!Print_Area</vt:lpstr>
      <vt:lpstr>'Other Metrics'!Print_Area</vt:lpstr>
      <vt:lpstr>'Revenues and Margins'!Print_Area</vt:lpstr>
      <vt:lpstr>'Income Statement'!Print_Titles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Steven Barlow</cp:lastModifiedBy>
  <cp:lastPrinted>2019-07-23T06:07:39Z</cp:lastPrinted>
  <dcterms:created xsi:type="dcterms:W3CDTF">2009-03-23T17:27:54Z</dcterms:created>
  <dcterms:modified xsi:type="dcterms:W3CDTF">2019-10-25T11:55:25Z</dcterms:modified>
</cp:coreProperties>
</file>