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Financial Planning &amp; Budgeting\2020\Q3 2020\Fact Sheet\"/>
    </mc:Choice>
  </mc:AlternateContent>
  <bookViews>
    <workbookView xWindow="0" yWindow="0" windowWidth="20490" windowHeight="7620" tabRatio="889" activeTab="5"/>
  </bookViews>
  <sheets>
    <sheet name="Contents" sheetId="9" r:id="rId1"/>
    <sheet name="Income Statement" sheetId="2" r:id="rId2"/>
    <sheet name="Balance Sheet" sheetId="6" r:id="rId3"/>
    <sheet name="Cashflow" sheetId="7" r:id="rId4"/>
    <sheet name="Revenues and Margins" sheetId="8" r:id="rId5"/>
    <sheet name="Other Metrics" sheetId="5" r:id="rId6"/>
  </sheets>
  <definedNames>
    <definedName name="_xlnm._FilterDatabase" localSheetId="1" hidden="1">'Income Statement'!#REF!</definedName>
    <definedName name="_xlnm.Print_Area" localSheetId="2">'Balance Sheet'!$A$1:$M$60</definedName>
    <definedName name="_xlnm.Print_Area" localSheetId="3">Cashflow!$A$1:$N$88</definedName>
    <definedName name="_xlnm.Print_Area" localSheetId="1">'Income Statement'!$A$1:$N$122</definedName>
    <definedName name="_xlnm.Print_Area" localSheetId="5">'Other Metrics'!$A$1:$O$33</definedName>
    <definedName name="_xlnm.Print_Area" localSheetId="4">'Revenues and Margins'!$A$1:$O$99</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Metrics'!$A$1:$B$19</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62913"/>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7" l="1"/>
  <c r="AD65" i="8" l="1"/>
  <c r="AD40" i="8"/>
  <c r="AD34" i="8"/>
  <c r="AD27" i="8"/>
  <c r="AD20" i="8"/>
  <c r="AD17" i="8"/>
  <c r="AD21" i="8" l="1"/>
  <c r="AD67" i="8"/>
  <c r="AD80" i="8" l="1"/>
  <c r="AD78" i="8"/>
  <c r="AD82" i="8"/>
  <c r="T88" i="7" l="1"/>
  <c r="S88" i="7"/>
  <c r="P56" i="6"/>
  <c r="P58" i="6" s="1"/>
  <c r="P36" i="6"/>
  <c r="P45" i="6" s="1"/>
  <c r="P60" i="6" s="1"/>
  <c r="P15" i="6"/>
  <c r="P25" i="6" s="1"/>
  <c r="P66" i="6" l="1"/>
  <c r="R84" i="2"/>
  <c r="R83" i="2"/>
  <c r="R82" i="2"/>
  <c r="R81" i="2"/>
  <c r="R57" i="2"/>
  <c r="R53" i="2"/>
  <c r="R73" i="2"/>
  <c r="R85" i="2" s="1"/>
  <c r="R98" i="2" s="1"/>
  <c r="R107" i="2" s="1"/>
  <c r="R18" i="2" l="1"/>
  <c r="R21" i="2"/>
  <c r="R92" i="2"/>
  <c r="R64" i="2"/>
  <c r="R66" i="2" s="1"/>
  <c r="R24" i="2"/>
  <c r="R27" i="2"/>
  <c r="R80" i="2"/>
  <c r="R93" i="2"/>
  <c r="R29" i="2"/>
  <c r="R13" i="2"/>
  <c r="R14" i="2" l="1"/>
  <c r="R31" i="2"/>
  <c r="R33" i="2" l="1"/>
  <c r="R39" i="2"/>
  <c r="R43" i="2" s="1"/>
  <c r="R68" i="2"/>
  <c r="R52" i="2" l="1"/>
  <c r="R54" i="2" s="1"/>
  <c r="R46" i="2"/>
  <c r="R56" i="2"/>
  <c r="R58" i="2" s="1"/>
  <c r="R79" i="2"/>
  <c r="R86" i="2" s="1"/>
  <c r="R74" i="2"/>
  <c r="R87" i="2" l="1"/>
  <c r="R91" i="2"/>
  <c r="R109" i="2" s="1"/>
  <c r="R47" i="2"/>
  <c r="R75" i="2"/>
  <c r="R110" i="2" l="1"/>
  <c r="R112" i="2"/>
  <c r="S9" i="2" l="1"/>
  <c r="AC27" i="8" l="1"/>
  <c r="AC62" i="8"/>
  <c r="AC34" i="8"/>
  <c r="AC20" i="8"/>
  <c r="AC102" i="8" s="1"/>
  <c r="AC65" i="8"/>
  <c r="AC40" i="8"/>
  <c r="AC17" i="8"/>
  <c r="AC21" i="8" l="1"/>
  <c r="AC67" i="8"/>
  <c r="AC82" i="8" l="1"/>
  <c r="AC78" i="8"/>
  <c r="AC80" i="8"/>
  <c r="S23" i="5" l="1"/>
  <c r="T22" i="5"/>
  <c r="S27" i="5"/>
  <c r="T26" i="5"/>
  <c r="S31" i="5"/>
  <c r="T30" i="5"/>
  <c r="S84" i="2" l="1"/>
  <c r="S83" i="2"/>
  <c r="Q36" i="6" l="1"/>
  <c r="Q45" i="6" l="1"/>
  <c r="Q15" i="6" l="1"/>
  <c r="Q25" i="6" s="1"/>
  <c r="F84" i="7" l="1"/>
  <c r="E84" i="7"/>
  <c r="D84" i="7"/>
  <c r="C84" i="7"/>
  <c r="B84" i="7"/>
  <c r="F72" i="7"/>
  <c r="F75" i="7" s="1"/>
  <c r="E72" i="7"/>
  <c r="E75" i="7" s="1"/>
  <c r="D72" i="7"/>
  <c r="D75" i="7" s="1"/>
  <c r="C72" i="7"/>
  <c r="C75" i="7" s="1"/>
  <c r="B72" i="7"/>
  <c r="B75" i="7" s="1"/>
  <c r="F51" i="7"/>
  <c r="F54" i="7" s="1"/>
  <c r="E51" i="7"/>
  <c r="E54" i="7" s="1"/>
  <c r="D51" i="7"/>
  <c r="D54" i="7" s="1"/>
  <c r="C51" i="7"/>
  <c r="C54" i="7" s="1"/>
  <c r="B51" i="7"/>
  <c r="B54" i="7" s="1"/>
  <c r="F39" i="7"/>
  <c r="F41" i="7" s="1"/>
  <c r="E39" i="7"/>
  <c r="E41" i="7" s="1"/>
  <c r="D39" i="7"/>
  <c r="D41" i="7" s="1"/>
  <c r="C39" i="7"/>
  <c r="C41" i="7" s="1"/>
  <c r="B39" i="7"/>
  <c r="B41" i="7" s="1"/>
  <c r="D79" i="7" l="1"/>
  <c r="E79" i="7"/>
  <c r="F79" i="7"/>
  <c r="B79" i="7"/>
  <c r="C79" i="7"/>
  <c r="U82" i="8"/>
  <c r="T82" i="8"/>
  <c r="S82" i="8"/>
  <c r="R82" i="8"/>
  <c r="V81" i="8"/>
  <c r="U80" i="8"/>
  <c r="T80" i="8"/>
  <c r="S80" i="8"/>
  <c r="R80" i="8"/>
  <c r="V79" i="8"/>
  <c r="U78" i="8"/>
  <c r="T78" i="8"/>
  <c r="S78" i="8"/>
  <c r="R78" i="8"/>
  <c r="V77" i="8"/>
  <c r="V78" i="8" s="1"/>
  <c r="V80" i="8" l="1"/>
  <c r="V82" i="8"/>
  <c r="AA63" i="8" l="1"/>
  <c r="Z63" i="8"/>
  <c r="Y63" i="8"/>
  <c r="X63" i="8"/>
  <c r="W63" i="8"/>
  <c r="V63" i="8"/>
  <c r="U63" i="8"/>
  <c r="T63" i="8"/>
  <c r="S63" i="8"/>
  <c r="R63" i="8"/>
  <c r="V64" i="8"/>
  <c r="T64" i="8"/>
  <c r="S64" i="8"/>
  <c r="R64" i="8"/>
  <c r="V61" i="8"/>
  <c r="T61" i="8"/>
  <c r="S61" i="8"/>
  <c r="R61" i="8"/>
  <c r="AD37" i="8"/>
  <c r="AC37" i="8"/>
  <c r="AD31" i="8"/>
  <c r="AC31" i="8"/>
  <c r="AD24" i="8"/>
  <c r="AC24" i="8"/>
  <c r="V19" i="8"/>
  <c r="U19" i="8"/>
  <c r="T19" i="8"/>
  <c r="S19" i="8"/>
  <c r="R19" i="8"/>
  <c r="R94" i="8"/>
  <c r="S94" i="8"/>
  <c r="T94" i="8"/>
  <c r="U94" i="8"/>
  <c r="V94" i="8"/>
  <c r="R95" i="8"/>
  <c r="S95" i="8"/>
  <c r="T95" i="8"/>
  <c r="U95" i="8"/>
  <c r="V95" i="8"/>
  <c r="V93" i="8"/>
  <c r="U93" i="8"/>
  <c r="T93" i="8"/>
  <c r="S93" i="8"/>
  <c r="R93" i="8"/>
  <c r="U34" i="8" l="1"/>
  <c r="U27" i="8"/>
  <c r="R27" i="8"/>
  <c r="V27" i="8"/>
  <c r="R34" i="8"/>
  <c r="T27" i="8"/>
  <c r="S27" i="8"/>
  <c r="T34" i="8"/>
  <c r="S34" i="8" l="1"/>
  <c r="S20" i="8"/>
  <c r="V34" i="8" l="1"/>
  <c r="U20" i="8"/>
  <c r="U40" i="8"/>
  <c r="T20" i="8"/>
  <c r="T40" i="8"/>
  <c r="S40" i="8"/>
  <c r="R20" i="8"/>
  <c r="R40" i="8"/>
  <c r="V40" i="8"/>
  <c r="V20" i="8" l="1"/>
  <c r="S17" i="8"/>
  <c r="R17" i="8"/>
  <c r="R21" i="8" s="1"/>
  <c r="V17" i="8"/>
  <c r="U17" i="8"/>
  <c r="T17" i="8"/>
  <c r="T21" i="8" s="1"/>
  <c r="S21" i="8" l="1"/>
  <c r="S67" i="8"/>
  <c r="T67" i="8"/>
  <c r="R67" i="8"/>
  <c r="V67" i="8"/>
  <c r="V21" i="8"/>
  <c r="U21" i="8"/>
  <c r="AA19" i="8" l="1"/>
  <c r="Z19" i="8"/>
  <c r="Y19" i="8"/>
  <c r="X19" i="8"/>
  <c r="W19" i="8"/>
  <c r="X95" i="8" l="1"/>
  <c r="W95" i="8"/>
  <c r="X94" i="8"/>
  <c r="W94" i="8"/>
  <c r="X93" i="8"/>
  <c r="W93" i="8"/>
  <c r="X64" i="8" l="1"/>
  <c r="W64" i="8"/>
  <c r="X61" i="8"/>
  <c r="W61" i="8"/>
  <c r="N20" i="8" l="1"/>
  <c r="M20" i="8"/>
  <c r="N17" i="8"/>
  <c r="M17" i="8"/>
  <c r="Y17" i="8" l="1"/>
  <c r="AD18" i="8" s="1"/>
  <c r="Z17" i="8" l="1"/>
  <c r="W17" i="8"/>
  <c r="X17" i="8"/>
  <c r="AC18" i="8" s="1"/>
  <c r="W27" i="8"/>
  <c r="Y27" i="8"/>
  <c r="Z27" i="8"/>
  <c r="X27" i="8"/>
  <c r="W20" i="8" l="1"/>
  <c r="W67" i="8"/>
  <c r="Z20" i="8"/>
  <c r="X20" i="8"/>
  <c r="Y20" i="8"/>
  <c r="AA17" i="8"/>
  <c r="AA27" i="8"/>
  <c r="W82" i="8" l="1"/>
  <c r="W78" i="8"/>
  <c r="W80" i="8"/>
  <c r="AA20" i="8"/>
  <c r="X67" i="8"/>
  <c r="AA34" i="8"/>
  <c r="Z34" i="8"/>
  <c r="Y34" i="8"/>
  <c r="X34" i="8"/>
  <c r="AA40" i="8"/>
  <c r="Z40" i="8"/>
  <c r="Y40" i="8"/>
  <c r="X40" i="8"/>
  <c r="X82" i="8" l="1"/>
  <c r="X78" i="8"/>
  <c r="X80" i="8"/>
  <c r="AB20" i="8"/>
  <c r="AB17" i="8"/>
  <c r="AB67" i="8" s="1"/>
  <c r="Z21" i="8"/>
  <c r="AB40" i="8"/>
  <c r="AB31" i="8"/>
  <c r="AA21" i="8"/>
  <c r="Y21" i="8"/>
  <c r="W40" i="8"/>
  <c r="X21" i="8"/>
  <c r="W34" i="8"/>
  <c r="AB24" i="8"/>
  <c r="AB37" i="8"/>
  <c r="AB34" i="8"/>
  <c r="AB27" i="8"/>
  <c r="AB65" i="8"/>
  <c r="AB62" i="8"/>
  <c r="AB80" i="8" l="1"/>
  <c r="AB78" i="8"/>
  <c r="AB82" i="8"/>
  <c r="W21" i="8"/>
  <c r="AB18" i="8" l="1"/>
  <c r="AB21" i="8"/>
  <c r="R23" i="5" l="1"/>
  <c r="S22" i="5"/>
  <c r="R27" i="5"/>
  <c r="S26" i="5"/>
  <c r="R31" i="5"/>
  <c r="S30" i="5"/>
  <c r="Q84" i="2" l="1"/>
  <c r="Q83" i="2"/>
  <c r="Q93" i="2" l="1"/>
  <c r="Q81" i="2"/>
  <c r="R9" i="2" l="1"/>
  <c r="Q21" i="2" l="1"/>
  <c r="Q64" i="2"/>
  <c r="Q66" i="2" s="1"/>
  <c r="Q13" i="2"/>
  <c r="AB102" i="8" s="1"/>
  <c r="Q73" i="2"/>
  <c r="Q27" i="2"/>
  <c r="Q85" i="2" l="1"/>
  <c r="Q98" i="2" s="1"/>
  <c r="Q107" i="2" s="1"/>
  <c r="Q14" i="2"/>
  <c r="Q80" i="2"/>
  <c r="Q24" i="2"/>
  <c r="Q29" i="2"/>
  <c r="Q31" i="2" s="1"/>
  <c r="R32" i="2" s="1"/>
  <c r="Q18" i="2"/>
  <c r="Q33" i="2" l="1"/>
  <c r="Q68" i="2"/>
  <c r="Q39" i="2"/>
  <c r="Q43" i="2" s="1"/>
  <c r="R88" i="7"/>
  <c r="Q79" i="2" l="1"/>
  <c r="Q46" i="2"/>
  <c r="R48" i="2" s="1"/>
  <c r="Q91" i="2" l="1"/>
  <c r="Q47" i="2"/>
  <c r="Q92" i="2" l="1"/>
  <c r="Q82" i="2"/>
  <c r="Q86" i="2" s="1"/>
  <c r="R88" i="2" s="1"/>
  <c r="Q74" i="2"/>
  <c r="R76" i="2" s="1"/>
  <c r="Q75" i="2" l="1"/>
  <c r="Q87" i="2"/>
  <c r="O36" i="6" l="1"/>
  <c r="O45" i="6" l="1"/>
  <c r="O15" i="6" l="1"/>
  <c r="O25" i="6" s="1"/>
  <c r="Q10" i="5" l="1"/>
  <c r="Q27" i="7" l="1"/>
  <c r="Q24" i="7"/>
  <c r="Q22" i="7"/>
  <c r="Q18" i="7"/>
  <c r="Q16" i="7"/>
  <c r="Q6" i="5" l="1"/>
  <c r="AA64" i="8" l="1"/>
  <c r="AA61" i="8"/>
  <c r="AA67" i="8" s="1"/>
  <c r="AA78" i="8" l="1"/>
  <c r="AA82" i="8"/>
  <c r="AA80" i="8"/>
  <c r="Q17" i="8"/>
  <c r="Q20" i="8"/>
  <c r="Q65" i="8"/>
  <c r="AA65" i="8" s="1"/>
  <c r="Q46" i="8"/>
  <c r="Q27" i="8"/>
  <c r="Q58" i="8"/>
  <c r="O95" i="2" l="1"/>
  <c r="O72" i="2"/>
  <c r="O70" i="7"/>
  <c r="Q70" i="7" s="1"/>
  <c r="O69" i="7"/>
  <c r="Q69" i="7" s="1"/>
  <c r="O68" i="7"/>
  <c r="Q68" i="7" s="1"/>
  <c r="O67" i="7"/>
  <c r="Q67" i="7" s="1"/>
  <c r="O65" i="7"/>
  <c r="Q65" i="7" s="1"/>
  <c r="O64" i="7"/>
  <c r="Q64" i="7" s="1"/>
  <c r="O63" i="7"/>
  <c r="Q63" i="7" s="1"/>
  <c r="O60" i="7"/>
  <c r="Q60" i="7" s="1"/>
  <c r="O57" i="7"/>
  <c r="Q57" i="7" s="1"/>
  <c r="O46" i="7"/>
  <c r="Q46" i="7" s="1"/>
  <c r="O30" i="7"/>
  <c r="P103" i="2" l="1"/>
  <c r="P94" i="2"/>
  <c r="P84" i="2"/>
  <c r="P71" i="2"/>
  <c r="O84" i="2"/>
  <c r="O83" i="2"/>
  <c r="Q62" i="8"/>
  <c r="AA62" i="8" s="1"/>
  <c r="Q43" i="8"/>
  <c r="Q55" i="8"/>
  <c r="Q52" i="8"/>
  <c r="Q49" i="8"/>
  <c r="Q34" i="8"/>
  <c r="Q31" i="8"/>
  <c r="Q24" i="8"/>
  <c r="R30" i="5"/>
  <c r="R26" i="5"/>
  <c r="R22" i="5"/>
  <c r="Q8" i="5"/>
  <c r="P83" i="2" l="1"/>
  <c r="Q67" i="8"/>
  <c r="Q21" i="8"/>
  <c r="Q90" i="8" l="1"/>
  <c r="Q78" i="8"/>
  <c r="Q88" i="8"/>
  <c r="Q86" i="8"/>
  <c r="Q84" i="8"/>
  <c r="Q80" i="8"/>
  <c r="P31" i="5" l="1"/>
  <c r="P27" i="5"/>
  <c r="P23" i="5"/>
  <c r="O96" i="2" l="1"/>
  <c r="O104" i="2" l="1"/>
  <c r="P22" i="5" l="1"/>
  <c r="T23" i="5"/>
  <c r="P26" i="5"/>
  <c r="T27" i="5"/>
  <c r="P30" i="5"/>
  <c r="T31" i="5"/>
  <c r="Y94" i="8" l="1"/>
  <c r="Y95" i="8"/>
  <c r="Y93" i="8"/>
  <c r="P57" i="8"/>
  <c r="P54" i="8"/>
  <c r="P51" i="8"/>
  <c r="P48" i="8"/>
  <c r="P45" i="8"/>
  <c r="P42" i="8"/>
  <c r="P33" i="8"/>
  <c r="P30" i="8"/>
  <c r="P61" i="8" l="1"/>
  <c r="Z61" i="8" s="1"/>
  <c r="Z67" i="8" s="1"/>
  <c r="Y61" i="8"/>
  <c r="P64" i="8"/>
  <c r="Z64" i="8" s="1"/>
  <c r="Y64" i="8"/>
  <c r="P23" i="8"/>
  <c r="P17" i="8" s="1"/>
  <c r="P67" i="8" s="1"/>
  <c r="P90" i="8" s="1"/>
  <c r="O17" i="8"/>
  <c r="P26" i="8"/>
  <c r="P20" i="8" s="1"/>
  <c r="O20" i="8"/>
  <c r="P46" i="8"/>
  <c r="P58" i="8"/>
  <c r="P52" i="8"/>
  <c r="P34" i="8"/>
  <c r="R10" i="2"/>
  <c r="N84" i="2"/>
  <c r="N83" i="2"/>
  <c r="Y67" i="8" l="1"/>
  <c r="Y82" i="8" s="1"/>
  <c r="AD62" i="8"/>
  <c r="Y80" i="8"/>
  <c r="Z82" i="8"/>
  <c r="Z80" i="8"/>
  <c r="Z78" i="8"/>
  <c r="P65" i="8"/>
  <c r="Z65" i="8" s="1"/>
  <c r="P27" i="8"/>
  <c r="P21" i="8"/>
  <c r="O26" i="7"/>
  <c r="Q26" i="7" s="1"/>
  <c r="M84" i="2"/>
  <c r="M83" i="2"/>
  <c r="M73" i="2"/>
  <c r="M57" i="2"/>
  <c r="M53" i="2"/>
  <c r="M27" i="2"/>
  <c r="M21" i="2"/>
  <c r="M18" i="2"/>
  <c r="M64" i="2"/>
  <c r="M66" i="2" s="1"/>
  <c r="Y78" i="8" l="1"/>
  <c r="M93" i="2"/>
  <c r="M82" i="2"/>
  <c r="M85" i="2"/>
  <c r="P88" i="8"/>
  <c r="P80" i="8"/>
  <c r="P86" i="8"/>
  <c r="P84" i="8"/>
  <c r="P78" i="8"/>
  <c r="M80" i="2"/>
  <c r="M81" i="2"/>
  <c r="M88" i="7"/>
  <c r="M72" i="7"/>
  <c r="L15" i="6"/>
  <c r="L25" i="6" s="1"/>
  <c r="M51" i="7"/>
  <c r="M54" i="7" s="1"/>
  <c r="M39" i="7"/>
  <c r="M41" i="7" s="1"/>
  <c r="L56" i="6"/>
  <c r="L58" i="6" s="1"/>
  <c r="L36" i="6"/>
  <c r="L45" i="6" s="1"/>
  <c r="M24" i="2"/>
  <c r="M92" i="2"/>
  <c r="M10" i="2"/>
  <c r="M13" i="2"/>
  <c r="X102" i="8" s="1"/>
  <c r="M29" i="2"/>
  <c r="M75" i="7" l="1"/>
  <c r="M79" i="7" s="1"/>
  <c r="L60" i="6"/>
  <c r="L66" i="6" s="1"/>
  <c r="M31" i="2"/>
  <c r="M14" i="2"/>
  <c r="M68" i="2" l="1"/>
  <c r="M39" i="2"/>
  <c r="M33" i="2"/>
  <c r="M43" i="2" l="1"/>
  <c r="M56" i="2" s="1"/>
  <c r="M58" i="2" s="1"/>
  <c r="M79" i="2"/>
  <c r="M86" i="2" s="1"/>
  <c r="R89" i="2" s="1"/>
  <c r="M74" i="2"/>
  <c r="R77" i="2" s="1"/>
  <c r="M46" i="2" l="1"/>
  <c r="R49" i="2" s="1"/>
  <c r="M52" i="2"/>
  <c r="M54" i="2" s="1"/>
  <c r="M75" i="2"/>
  <c r="M87" i="2"/>
  <c r="M47" i="2" l="1"/>
  <c r="M91" i="2"/>
  <c r="M109" i="2" s="1"/>
  <c r="M112" i="2" s="1"/>
  <c r="R114" i="2" s="1"/>
  <c r="M110" i="2" l="1"/>
  <c r="O58" i="8" l="1"/>
  <c r="O55" i="8"/>
  <c r="O52" i="8"/>
  <c r="O43" i="8"/>
  <c r="O34" i="8"/>
  <c r="O31" i="8"/>
  <c r="O27" i="8"/>
  <c r="O24" i="8"/>
  <c r="O46" i="8" l="1"/>
  <c r="O49" i="8"/>
  <c r="O62" i="8"/>
  <c r="Y62" i="8" s="1"/>
  <c r="O65" i="8"/>
  <c r="Y65" i="8" s="1"/>
  <c r="O22" i="5"/>
  <c r="O31" i="5"/>
  <c r="O26" i="5"/>
  <c r="O67" i="8" l="1"/>
  <c r="O21" i="8"/>
  <c r="O27" i="5"/>
  <c r="O30" i="5"/>
  <c r="O23" i="5"/>
  <c r="O84" i="8" l="1"/>
  <c r="O80" i="8"/>
  <c r="O78" i="8"/>
  <c r="O90" i="8"/>
  <c r="O88" i="8"/>
  <c r="O86" i="8"/>
  <c r="L39" i="7"/>
  <c r="K39" i="7"/>
  <c r="I39" i="7"/>
  <c r="H17" i="2" l="1"/>
  <c r="N62" i="8"/>
  <c r="X62" i="8" s="1"/>
  <c r="N55" i="8"/>
  <c r="N49" i="8"/>
  <c r="N43" i="8"/>
  <c r="N31" i="8"/>
  <c r="N30" i="5"/>
  <c r="N26" i="5"/>
  <c r="N22" i="5"/>
  <c r="N34" i="8"/>
  <c r="N31" i="5"/>
  <c r="N27" i="5"/>
  <c r="N23" i="5"/>
  <c r="L83" i="2"/>
  <c r="L84" i="2"/>
  <c r="K36" i="6"/>
  <c r="K45" i="6" s="1"/>
  <c r="K60" i="6" s="1"/>
  <c r="K66" i="6" s="1"/>
  <c r="L93" i="2"/>
  <c r="L92" i="2"/>
  <c r="M31" i="5"/>
  <c r="M27" i="5"/>
  <c r="M23" i="5"/>
  <c r="M58" i="8"/>
  <c r="M55" i="8"/>
  <c r="M46" i="8"/>
  <c r="M34" i="8"/>
  <c r="M27" i="8"/>
  <c r="M24" i="8"/>
  <c r="L72" i="7"/>
  <c r="L75" i="7" s="1"/>
  <c r="L51" i="7"/>
  <c r="L54" i="7" s="1"/>
  <c r="L88" i="7"/>
  <c r="K15" i="6"/>
  <c r="K25" i="6"/>
  <c r="M67" i="8"/>
  <c r="M43" i="8"/>
  <c r="L41" i="7"/>
  <c r="M52" i="8"/>
  <c r="M49" i="8"/>
  <c r="M62" i="8"/>
  <c r="W62" i="8" s="1"/>
  <c r="M31" i="8"/>
  <c r="M65" i="8"/>
  <c r="W65" i="8" s="1"/>
  <c r="E36" i="2"/>
  <c r="E35" i="2"/>
  <c r="C36" i="6"/>
  <c r="D36" i="6"/>
  <c r="E36" i="6"/>
  <c r="F36" i="6"/>
  <c r="G36" i="6"/>
  <c r="H36" i="6"/>
  <c r="I36" i="6"/>
  <c r="I45" i="6" s="1"/>
  <c r="J95" i="2"/>
  <c r="J108" i="2"/>
  <c r="J99" i="2"/>
  <c r="J13" i="7"/>
  <c r="J22" i="7"/>
  <c r="I29" i="2"/>
  <c r="H29" i="2"/>
  <c r="G29" i="2"/>
  <c r="F29" i="2"/>
  <c r="D29" i="2"/>
  <c r="C29" i="2"/>
  <c r="B29" i="2"/>
  <c r="J106" i="2"/>
  <c r="J43" i="8"/>
  <c r="K71" i="2"/>
  <c r="K83" i="2" s="1"/>
  <c r="M30" i="5"/>
  <c r="M26" i="5"/>
  <c r="M22" i="5"/>
  <c r="E17" i="2"/>
  <c r="J57" i="2"/>
  <c r="J53" i="2"/>
  <c r="J70" i="7"/>
  <c r="J69" i="7"/>
  <c r="J68" i="7"/>
  <c r="J67" i="7"/>
  <c r="J65" i="7"/>
  <c r="J64" i="7"/>
  <c r="J63" i="7"/>
  <c r="J30" i="7"/>
  <c r="J27" i="7"/>
  <c r="J24" i="7"/>
  <c r="J18" i="7"/>
  <c r="J16" i="7"/>
  <c r="J83" i="2"/>
  <c r="L89" i="8"/>
  <c r="L87" i="8"/>
  <c r="L85" i="8"/>
  <c r="L83" i="8"/>
  <c r="L79" i="8"/>
  <c r="L77" i="8"/>
  <c r="L29" i="5"/>
  <c r="Q31" i="5" s="1"/>
  <c r="L25" i="5"/>
  <c r="Q27" i="5" s="1"/>
  <c r="K22" i="5"/>
  <c r="L8" i="5"/>
  <c r="L21" i="5"/>
  <c r="Q23" i="5" s="1"/>
  <c r="K26" i="5"/>
  <c r="K30" i="5"/>
  <c r="H88" i="7"/>
  <c r="G88" i="7"/>
  <c r="H26" i="7"/>
  <c r="G26" i="7"/>
  <c r="J26" i="7" s="1"/>
  <c r="H19" i="7"/>
  <c r="G19" i="7"/>
  <c r="H17" i="7"/>
  <c r="G17" i="7"/>
  <c r="H12" i="7"/>
  <c r="G12" i="7"/>
  <c r="J30" i="5"/>
  <c r="J26" i="5"/>
  <c r="J22" i="5"/>
  <c r="I83" i="2"/>
  <c r="I31" i="5"/>
  <c r="I27" i="5"/>
  <c r="I23" i="5"/>
  <c r="I30" i="5"/>
  <c r="I26" i="5"/>
  <c r="I22" i="5"/>
  <c r="C25" i="5"/>
  <c r="E23" i="6"/>
  <c r="D23" i="6"/>
  <c r="D25" i="6" s="1"/>
  <c r="D66" i="6" s="1"/>
  <c r="C23" i="6"/>
  <c r="F23" i="6"/>
  <c r="H96" i="2"/>
  <c r="H84" i="2"/>
  <c r="H83" i="2"/>
  <c r="E96" i="2"/>
  <c r="E104" i="2" s="1"/>
  <c r="E84" i="2"/>
  <c r="F96" i="2"/>
  <c r="F104" i="2" s="1"/>
  <c r="F84" i="2"/>
  <c r="G83" i="2"/>
  <c r="G94" i="2" s="1"/>
  <c r="G103" i="2" s="1"/>
  <c r="K103" i="2" s="1"/>
  <c r="D84" i="2"/>
  <c r="D96" i="2" s="1"/>
  <c r="D104" i="2" s="1"/>
  <c r="G53" i="2"/>
  <c r="G57" i="2"/>
  <c r="G93" i="2"/>
  <c r="G92" i="2"/>
  <c r="G64" i="2"/>
  <c r="G66" i="2" s="1"/>
  <c r="G80" i="2"/>
  <c r="C96" i="2"/>
  <c r="C104" i="2" s="1"/>
  <c r="C84" i="2"/>
  <c r="G96" i="2"/>
  <c r="G84" i="2"/>
  <c r="G21" i="2"/>
  <c r="G18" i="2"/>
  <c r="G24" i="2"/>
  <c r="G13" i="2"/>
  <c r="G82" i="2"/>
  <c r="G81" i="2"/>
  <c r="G57" i="8"/>
  <c r="E64" i="8"/>
  <c r="E65" i="8" s="1"/>
  <c r="E57" i="8"/>
  <c r="E58" i="8" s="1"/>
  <c r="E33" i="8"/>
  <c r="E34" i="8" s="1"/>
  <c r="G26" i="8"/>
  <c r="G33" i="8"/>
  <c r="G34" i="8" s="1"/>
  <c r="G45" i="8"/>
  <c r="G51" i="8"/>
  <c r="G52" i="8" s="1"/>
  <c r="E26" i="8"/>
  <c r="E45" i="8"/>
  <c r="E46" i="8" s="1"/>
  <c r="E51" i="8"/>
  <c r="E52" i="8" s="1"/>
  <c r="C57" i="8"/>
  <c r="C58" i="8" s="1"/>
  <c r="C51" i="8"/>
  <c r="C52" i="8" s="1"/>
  <c r="C45" i="8"/>
  <c r="C46" i="8" s="1"/>
  <c r="C33" i="8"/>
  <c r="C34" i="8" s="1"/>
  <c r="C26" i="8"/>
  <c r="C27" i="8" s="1"/>
  <c r="G64" i="8"/>
  <c r="G65" i="8" s="1"/>
  <c r="D64" i="8"/>
  <c r="D65" i="8" s="1"/>
  <c r="C64" i="8"/>
  <c r="C65" i="8" s="1"/>
  <c r="D20" i="8"/>
  <c r="G89" i="8"/>
  <c r="G87" i="8"/>
  <c r="G85" i="8"/>
  <c r="G83" i="8"/>
  <c r="G79" i="8"/>
  <c r="G77" i="8"/>
  <c r="F61" i="8"/>
  <c r="F54" i="8"/>
  <c r="F48" i="8"/>
  <c r="F42" i="8"/>
  <c r="F30" i="8"/>
  <c r="F23" i="8"/>
  <c r="E101" i="2"/>
  <c r="E100" i="2"/>
  <c r="E102" i="2"/>
  <c r="E95" i="2"/>
  <c r="E94" i="2"/>
  <c r="E70" i="2"/>
  <c r="E92" i="2" s="1"/>
  <c r="E69" i="2"/>
  <c r="E81" i="2" s="1"/>
  <c r="E44" i="2"/>
  <c r="E57" i="2" s="1"/>
  <c r="E42" i="2"/>
  <c r="G17" i="8"/>
  <c r="G67" i="8" s="1"/>
  <c r="E41" i="2"/>
  <c r="G10" i="2"/>
  <c r="E23" i="2"/>
  <c r="E8" i="2"/>
  <c r="E64" i="2" s="1"/>
  <c r="E66" i="2" s="1"/>
  <c r="E20" i="2"/>
  <c r="F93" i="2"/>
  <c r="F92" i="2"/>
  <c r="F82" i="2"/>
  <c r="F81" i="2"/>
  <c r="F80" i="2"/>
  <c r="F64" i="2"/>
  <c r="F66" i="2" s="1"/>
  <c r="F57" i="2"/>
  <c r="F53" i="2"/>
  <c r="F24" i="2"/>
  <c r="F21" i="2"/>
  <c r="F18" i="2"/>
  <c r="F13" i="2"/>
  <c r="H43" i="8"/>
  <c r="H49" i="8"/>
  <c r="H24" i="8"/>
  <c r="H55" i="8"/>
  <c r="H31" i="8"/>
  <c r="H62" i="8"/>
  <c r="R62" i="8" s="1"/>
  <c r="H20" i="8"/>
  <c r="H27" i="8"/>
  <c r="H58" i="8"/>
  <c r="H34" i="8"/>
  <c r="H65" i="8"/>
  <c r="R65" i="8" s="1"/>
  <c r="H46" i="8"/>
  <c r="H52" i="8"/>
  <c r="H17" i="8"/>
  <c r="G8" i="5"/>
  <c r="E17" i="8"/>
  <c r="D58" i="8"/>
  <c r="D52" i="8"/>
  <c r="D46" i="8"/>
  <c r="D34" i="8"/>
  <c r="D27" i="8"/>
  <c r="D17" i="8"/>
  <c r="D67" i="8" s="1"/>
  <c r="C17" i="8"/>
  <c r="E67" i="8"/>
  <c r="E90" i="8" s="1"/>
  <c r="D93" i="2"/>
  <c r="D92" i="2"/>
  <c r="D82" i="2"/>
  <c r="D81" i="2"/>
  <c r="D57" i="2"/>
  <c r="D53" i="2"/>
  <c r="C93" i="2"/>
  <c r="C92" i="2"/>
  <c r="C82" i="2"/>
  <c r="C81" i="2"/>
  <c r="C57" i="2"/>
  <c r="C53" i="2"/>
  <c r="B93" i="2"/>
  <c r="B92" i="2"/>
  <c r="B82" i="2"/>
  <c r="B81" i="2"/>
  <c r="B57" i="2"/>
  <c r="B53" i="2"/>
  <c r="D24" i="2"/>
  <c r="B80" i="2"/>
  <c r="C24" i="2"/>
  <c r="C18" i="2"/>
  <c r="C64" i="2"/>
  <c r="C66" i="2" s="1"/>
  <c r="D18" i="2"/>
  <c r="C80" i="2"/>
  <c r="D21" i="2"/>
  <c r="D13" i="2"/>
  <c r="D64" i="2"/>
  <c r="D66" i="2" s="1"/>
  <c r="D80" i="2"/>
  <c r="B18" i="2"/>
  <c r="B24" i="2"/>
  <c r="B64" i="2"/>
  <c r="B66" i="2" s="1"/>
  <c r="B21" i="2"/>
  <c r="C21" i="2"/>
  <c r="C13" i="2"/>
  <c r="B13" i="2"/>
  <c r="F29" i="5"/>
  <c r="K31" i="5" s="1"/>
  <c r="F25" i="5"/>
  <c r="K27" i="5" s="1"/>
  <c r="F21" i="5"/>
  <c r="H22" i="5"/>
  <c r="K23" i="5"/>
  <c r="E29" i="5"/>
  <c r="J31" i="5" s="1"/>
  <c r="E25" i="5"/>
  <c r="J27" i="5"/>
  <c r="E21" i="5"/>
  <c r="J23" i="5" s="1"/>
  <c r="D15" i="6"/>
  <c r="D45" i="6"/>
  <c r="D56" i="6"/>
  <c r="D58" i="6"/>
  <c r="C29" i="5"/>
  <c r="C21" i="5"/>
  <c r="C45" i="6"/>
  <c r="C56" i="6"/>
  <c r="C58" i="6"/>
  <c r="C60" i="6" s="1"/>
  <c r="C15" i="6"/>
  <c r="C25" i="6" s="1"/>
  <c r="C66" i="6" s="1"/>
  <c r="H31" i="5"/>
  <c r="H23" i="5"/>
  <c r="G21" i="5"/>
  <c r="L23" i="5" s="1"/>
  <c r="H27" i="5"/>
  <c r="D60" i="6"/>
  <c r="E45" i="6"/>
  <c r="E60" i="6" s="1"/>
  <c r="E15" i="6"/>
  <c r="E25" i="6"/>
  <c r="E56" i="6"/>
  <c r="E58" i="6"/>
  <c r="F45" i="6"/>
  <c r="F15" i="6"/>
  <c r="F25" i="6"/>
  <c r="F56" i="6"/>
  <c r="F58" i="6" s="1"/>
  <c r="F60" i="6" s="1"/>
  <c r="G15" i="6"/>
  <c r="G25" i="6" s="1"/>
  <c r="G45" i="6"/>
  <c r="G56" i="6"/>
  <c r="G58" i="6"/>
  <c r="G60" i="6" s="1"/>
  <c r="I55" i="8"/>
  <c r="I49" i="8"/>
  <c r="I43" i="8"/>
  <c r="I31" i="8"/>
  <c r="I62" i="8"/>
  <c r="S62" i="8" s="1"/>
  <c r="I24" i="8"/>
  <c r="I17" i="8"/>
  <c r="I52" i="8"/>
  <c r="I65" i="8"/>
  <c r="S65" i="8" s="1"/>
  <c r="I58" i="8"/>
  <c r="I27" i="8"/>
  <c r="I34" i="8"/>
  <c r="I46" i="8"/>
  <c r="I20" i="8"/>
  <c r="H15" i="6"/>
  <c r="H25" i="6"/>
  <c r="H45" i="6"/>
  <c r="H56" i="6"/>
  <c r="H58" i="6" s="1"/>
  <c r="H60" i="6" s="1"/>
  <c r="H66" i="6" s="1"/>
  <c r="G72" i="7"/>
  <c r="G75" i="7" s="1"/>
  <c r="G51" i="7"/>
  <c r="G54" i="7" s="1"/>
  <c r="H72" i="7"/>
  <c r="H75" i="7" s="1"/>
  <c r="H57" i="2"/>
  <c r="H53" i="2"/>
  <c r="H93" i="2"/>
  <c r="H81" i="2"/>
  <c r="H82" i="2"/>
  <c r="H92" i="2"/>
  <c r="H18" i="2"/>
  <c r="H80" i="2"/>
  <c r="H24" i="2"/>
  <c r="H21" i="2"/>
  <c r="H64" i="2"/>
  <c r="H66" i="2" s="1"/>
  <c r="H9" i="2"/>
  <c r="H13" i="2"/>
  <c r="S102" i="8" s="1"/>
  <c r="H10" i="2"/>
  <c r="H51" i="7"/>
  <c r="H54" i="7" s="1"/>
  <c r="J49" i="8"/>
  <c r="J55" i="8"/>
  <c r="J31" i="8"/>
  <c r="J62" i="8"/>
  <c r="T62" i="8" s="1"/>
  <c r="J24" i="8"/>
  <c r="J17" i="8"/>
  <c r="J65" i="8"/>
  <c r="T65" i="8" s="1"/>
  <c r="J52" i="8"/>
  <c r="J27" i="8"/>
  <c r="J34" i="8"/>
  <c r="J58" i="8"/>
  <c r="J20" i="8"/>
  <c r="J46" i="8"/>
  <c r="I53" i="2"/>
  <c r="I57" i="2"/>
  <c r="I15" i="6"/>
  <c r="I25" i="6" s="1"/>
  <c r="I72" i="7"/>
  <c r="I75" i="7" s="1"/>
  <c r="I21" i="2"/>
  <c r="I24" i="2"/>
  <c r="I10" i="2"/>
  <c r="I64" i="2"/>
  <c r="I66" i="2" s="1"/>
  <c r="I9" i="2"/>
  <c r="I13" i="2"/>
  <c r="I18" i="2"/>
  <c r="I88" i="7"/>
  <c r="I93" i="2"/>
  <c r="I81" i="2"/>
  <c r="I80" i="2"/>
  <c r="I92" i="2"/>
  <c r="I82" i="2"/>
  <c r="I51" i="7"/>
  <c r="I54" i="7" s="1"/>
  <c r="I56" i="6"/>
  <c r="I58" i="6"/>
  <c r="I41" i="7"/>
  <c r="J57" i="7"/>
  <c r="J12" i="7"/>
  <c r="L31" i="8"/>
  <c r="K30" i="8"/>
  <c r="L55" i="8"/>
  <c r="K54" i="8"/>
  <c r="P55" i="8" s="1"/>
  <c r="L24" i="8"/>
  <c r="K23" i="8"/>
  <c r="L17" i="8"/>
  <c r="L67" i="8" s="1"/>
  <c r="L80" i="8" s="1"/>
  <c r="K48" i="8"/>
  <c r="P49" i="8" s="1"/>
  <c r="L49" i="8"/>
  <c r="L43" i="8"/>
  <c r="K42" i="8"/>
  <c r="P43" i="8" s="1"/>
  <c r="K61" i="8"/>
  <c r="U61" i="8" s="1"/>
  <c r="U67" i="8" s="1"/>
  <c r="L62" i="8"/>
  <c r="V62" i="8" s="1"/>
  <c r="K64" i="8"/>
  <c r="U64" i="8" s="1"/>
  <c r="L65" i="8"/>
  <c r="V65" i="8" s="1"/>
  <c r="L58" i="8"/>
  <c r="K57" i="8"/>
  <c r="K51" i="8"/>
  <c r="L52" i="8"/>
  <c r="L46" i="8"/>
  <c r="K45" i="8"/>
  <c r="K33" i="8"/>
  <c r="K34" i="8" s="1"/>
  <c r="L34" i="8"/>
  <c r="L20" i="8"/>
  <c r="K26" i="8"/>
  <c r="L27" i="8"/>
  <c r="J107" i="2"/>
  <c r="J41" i="2"/>
  <c r="J35" i="2"/>
  <c r="J56" i="6"/>
  <c r="J58" i="6"/>
  <c r="J60" i="6" s="1"/>
  <c r="J66" i="6" s="1"/>
  <c r="J20" i="2"/>
  <c r="K21" i="2"/>
  <c r="K18" i="2"/>
  <c r="J17" i="2"/>
  <c r="K64" i="2"/>
  <c r="K66" i="2" s="1"/>
  <c r="K10" i="2"/>
  <c r="J8" i="2"/>
  <c r="J9" i="2" s="1"/>
  <c r="J12" i="2"/>
  <c r="K13" i="2"/>
  <c r="V102" i="8" s="1"/>
  <c r="K88" i="7"/>
  <c r="J88" i="7"/>
  <c r="J70" i="2"/>
  <c r="J92" i="2" s="1"/>
  <c r="K92" i="2"/>
  <c r="K82" i="2"/>
  <c r="J36" i="6"/>
  <c r="J45" i="6"/>
  <c r="J15" i="6"/>
  <c r="J25" i="6"/>
  <c r="J26" i="2"/>
  <c r="K27" i="2"/>
  <c r="K93" i="2"/>
  <c r="J69" i="2"/>
  <c r="J93" i="2" s="1"/>
  <c r="K81" i="2"/>
  <c r="J42" i="2"/>
  <c r="J36" i="2"/>
  <c r="J23" i="2"/>
  <c r="K24" i="2"/>
  <c r="K80" i="2"/>
  <c r="K29" i="2"/>
  <c r="J8" i="7"/>
  <c r="J77" i="7"/>
  <c r="J71" i="7"/>
  <c r="J61" i="7"/>
  <c r="J60" i="7"/>
  <c r="J62" i="7"/>
  <c r="J50" i="7"/>
  <c r="J49" i="7"/>
  <c r="J46" i="7"/>
  <c r="J15" i="7"/>
  <c r="J25" i="7"/>
  <c r="J21" i="7"/>
  <c r="J20" i="7"/>
  <c r="J14" i="7"/>
  <c r="J11" i="7"/>
  <c r="K53" i="2"/>
  <c r="K57" i="2"/>
  <c r="J19" i="7"/>
  <c r="J23" i="7"/>
  <c r="J58" i="7"/>
  <c r="J59" i="7"/>
  <c r="J33" i="7"/>
  <c r="J44" i="7"/>
  <c r="J66" i="7"/>
  <c r="K72" i="7"/>
  <c r="K75" i="7" s="1"/>
  <c r="J37" i="7"/>
  <c r="J35" i="7"/>
  <c r="J36" i="7"/>
  <c r="J34" i="7"/>
  <c r="J32" i="7"/>
  <c r="J31" i="7"/>
  <c r="K41" i="7"/>
  <c r="J47" i="7"/>
  <c r="K51" i="7"/>
  <c r="K54" i="7" s="1"/>
  <c r="J105" i="2"/>
  <c r="K85" i="2"/>
  <c r="K98" i="2" s="1"/>
  <c r="J97" i="2"/>
  <c r="K56" i="6"/>
  <c r="K58" i="6"/>
  <c r="J17" i="7" l="1"/>
  <c r="J39" i="7" s="1"/>
  <c r="J41" i="7" s="1"/>
  <c r="J72" i="7"/>
  <c r="J75" i="7" s="1"/>
  <c r="J51" i="7"/>
  <c r="J54" i="7" s="1"/>
  <c r="G39" i="7"/>
  <c r="G41" i="7" s="1"/>
  <c r="G79" i="7" s="1"/>
  <c r="H39" i="7"/>
  <c r="H41" i="7" s="1"/>
  <c r="H79" i="7" s="1"/>
  <c r="G25" i="5"/>
  <c r="L27" i="5" s="1"/>
  <c r="H26" i="5"/>
  <c r="H30" i="5"/>
  <c r="G29" i="5"/>
  <c r="L31" i="5" s="1"/>
  <c r="K79" i="7"/>
  <c r="F66" i="6"/>
  <c r="E66" i="6"/>
  <c r="I60" i="6"/>
  <c r="I66" i="6" s="1"/>
  <c r="G66" i="6"/>
  <c r="J101" i="2"/>
  <c r="E53" i="2"/>
  <c r="J24" i="2"/>
  <c r="J13" i="2"/>
  <c r="U102" i="8" s="1"/>
  <c r="E80" i="2"/>
  <c r="J18" i="2"/>
  <c r="E93" i="2"/>
  <c r="J27" i="2"/>
  <c r="J21" i="2"/>
  <c r="E24" i="2"/>
  <c r="G31" i="2"/>
  <c r="G39" i="2" s="1"/>
  <c r="G43" i="2" s="1"/>
  <c r="G14" i="2"/>
  <c r="R102" i="8"/>
  <c r="I14" i="2"/>
  <c r="T102" i="8"/>
  <c r="H21" i="8"/>
  <c r="L21" i="8"/>
  <c r="K62" i="8"/>
  <c r="U62" i="8" s="1"/>
  <c r="F45" i="8"/>
  <c r="F46" i="8" s="1"/>
  <c r="D21" i="8"/>
  <c r="G46" i="8"/>
  <c r="E84" i="8"/>
  <c r="K52" i="8"/>
  <c r="K58" i="8"/>
  <c r="E78" i="8"/>
  <c r="I21" i="8"/>
  <c r="F57" i="8"/>
  <c r="F58" i="8" s="1"/>
  <c r="F51" i="8"/>
  <c r="F52" i="8" s="1"/>
  <c r="K55" i="8"/>
  <c r="E20" i="8"/>
  <c r="E21" i="8" s="1"/>
  <c r="F26" i="8"/>
  <c r="F27" i="8" s="1"/>
  <c r="K20" i="8"/>
  <c r="G58" i="8"/>
  <c r="G20" i="8"/>
  <c r="G102" i="8" s="1"/>
  <c r="K46" i="8"/>
  <c r="P24" i="8"/>
  <c r="K65" i="8"/>
  <c r="U65" i="8" s="1"/>
  <c r="K43" i="8"/>
  <c r="J21" i="8"/>
  <c r="I102" i="8"/>
  <c r="E86" i="8"/>
  <c r="G27" i="8"/>
  <c r="F64" i="8"/>
  <c r="F65" i="8" s="1"/>
  <c r="D90" i="8"/>
  <c r="D78" i="8"/>
  <c r="D88" i="8"/>
  <c r="P62" i="8"/>
  <c r="Z62" i="8" s="1"/>
  <c r="Q18" i="8"/>
  <c r="F17" i="8"/>
  <c r="F33" i="8"/>
  <c r="F34" i="8" s="1"/>
  <c r="O18" i="8"/>
  <c r="I18" i="8"/>
  <c r="C20" i="8"/>
  <c r="C21" i="8" s="1"/>
  <c r="K27" i="8"/>
  <c r="L18" i="8"/>
  <c r="K49" i="8"/>
  <c r="J67" i="8"/>
  <c r="E88" i="8"/>
  <c r="L90" i="8"/>
  <c r="P31" i="8"/>
  <c r="J18" i="8"/>
  <c r="E80" i="8"/>
  <c r="H18" i="8"/>
  <c r="E27" i="8"/>
  <c r="H67" i="8"/>
  <c r="H78" i="8" s="1"/>
  <c r="G84" i="8"/>
  <c r="G90" i="8"/>
  <c r="G88" i="8"/>
  <c r="G78" i="8"/>
  <c r="G80" i="8"/>
  <c r="G86" i="8"/>
  <c r="D84" i="8"/>
  <c r="L84" i="8"/>
  <c r="D86" i="8"/>
  <c r="C67" i="8"/>
  <c r="K17" i="8"/>
  <c r="L86" i="8"/>
  <c r="L78" i="8"/>
  <c r="I67" i="8"/>
  <c r="L102" i="8"/>
  <c r="K24" i="8"/>
  <c r="L88" i="8"/>
  <c r="K31" i="8"/>
  <c r="D80" i="8"/>
  <c r="L9" i="2"/>
  <c r="Q10" i="2"/>
  <c r="J100" i="2"/>
  <c r="J10" i="2"/>
  <c r="H14" i="2"/>
  <c r="J81" i="2"/>
  <c r="J102" i="8"/>
  <c r="C31" i="2"/>
  <c r="C68" i="2" s="1"/>
  <c r="G9" i="2"/>
  <c r="J73" i="2"/>
  <c r="J85" i="2" s="1"/>
  <c r="J98" i="2" s="1"/>
  <c r="J64" i="2"/>
  <c r="J66" i="2" s="1"/>
  <c r="J29" i="2"/>
  <c r="I31" i="2"/>
  <c r="I33" i="2" s="1"/>
  <c r="J104" i="2"/>
  <c r="H31" i="2"/>
  <c r="E82" i="2"/>
  <c r="E21" i="2"/>
  <c r="E13" i="2"/>
  <c r="E29" i="2"/>
  <c r="J80" i="2"/>
  <c r="J82" i="2"/>
  <c r="E18" i="2"/>
  <c r="C14" i="2"/>
  <c r="D102" i="8"/>
  <c r="D14" i="2"/>
  <c r="D31" i="2"/>
  <c r="B31" i="2"/>
  <c r="F14" i="2"/>
  <c r="F31" i="2"/>
  <c r="B14" i="2"/>
  <c r="K94" i="2"/>
  <c r="L73" i="2"/>
  <c r="L85" i="2" s="1"/>
  <c r="L98" i="2" s="1"/>
  <c r="L107" i="2" s="1"/>
  <c r="J72" i="2"/>
  <c r="J84" i="2" s="1"/>
  <c r="K84" i="2"/>
  <c r="I84" i="2"/>
  <c r="I96" i="2"/>
  <c r="K31" i="2"/>
  <c r="K14" i="2"/>
  <c r="L18" i="2"/>
  <c r="L21" i="2"/>
  <c r="L24" i="2"/>
  <c r="L13" i="2"/>
  <c r="W102" i="8" s="1"/>
  <c r="M9" i="2"/>
  <c r="I79" i="7"/>
  <c r="L27" i="2"/>
  <c r="L79" i="7"/>
  <c r="L64" i="2"/>
  <c r="L66" i="2" s="1"/>
  <c r="L80" i="2"/>
  <c r="L29" i="2"/>
  <c r="L82" i="2"/>
  <c r="L10" i="2"/>
  <c r="L81" i="2"/>
  <c r="N58" i="8"/>
  <c r="N65" i="8"/>
  <c r="X65" i="8" s="1"/>
  <c r="M84" i="8"/>
  <c r="M86" i="8"/>
  <c r="N52" i="8"/>
  <c r="N27" i="8"/>
  <c r="M18" i="8"/>
  <c r="M21" i="8"/>
  <c r="N46" i="8"/>
  <c r="N18" i="8"/>
  <c r="N67" i="8"/>
  <c r="M88" i="8"/>
  <c r="M78" i="8"/>
  <c r="N24" i="8"/>
  <c r="M90" i="8"/>
  <c r="M80" i="8"/>
  <c r="J79" i="7" l="1"/>
  <c r="G68" i="2"/>
  <c r="J31" i="2"/>
  <c r="J33" i="2" s="1"/>
  <c r="C39" i="2"/>
  <c r="C43" i="2" s="1"/>
  <c r="J14" i="2"/>
  <c r="K102" i="8"/>
  <c r="G21" i="8"/>
  <c r="H90" i="8"/>
  <c r="H80" i="8"/>
  <c r="E102" i="8"/>
  <c r="C102" i="8"/>
  <c r="J88" i="8"/>
  <c r="J90" i="8"/>
  <c r="J84" i="8"/>
  <c r="J78" i="8"/>
  <c r="J80" i="8"/>
  <c r="J86" i="8"/>
  <c r="H84" i="8"/>
  <c r="F20" i="8"/>
  <c r="F21" i="8" s="1"/>
  <c r="H88" i="8"/>
  <c r="H86" i="8"/>
  <c r="F67" i="8"/>
  <c r="I80" i="8"/>
  <c r="I88" i="8"/>
  <c r="I90" i="8"/>
  <c r="I84" i="8"/>
  <c r="I78" i="8"/>
  <c r="I86" i="8"/>
  <c r="C90" i="8"/>
  <c r="C80" i="8"/>
  <c r="C88" i="8"/>
  <c r="C78" i="8"/>
  <c r="C86" i="8"/>
  <c r="C84" i="8"/>
  <c r="P18" i="8"/>
  <c r="K18" i="8"/>
  <c r="K67" i="8"/>
  <c r="K21" i="8"/>
  <c r="I39" i="2"/>
  <c r="I43" i="2" s="1"/>
  <c r="I46" i="2" s="1"/>
  <c r="I68" i="2"/>
  <c r="I79" i="2" s="1"/>
  <c r="I86" i="2" s="1"/>
  <c r="H33" i="2"/>
  <c r="H39" i="2"/>
  <c r="H43" i="2" s="1"/>
  <c r="H68" i="2"/>
  <c r="H32" i="2"/>
  <c r="E31" i="2"/>
  <c r="E14" i="2"/>
  <c r="I32" i="2"/>
  <c r="J32" i="2"/>
  <c r="J39" i="2"/>
  <c r="J43" i="2" s="1"/>
  <c r="J68" i="2"/>
  <c r="J79" i="2" s="1"/>
  <c r="J86" i="2" s="1"/>
  <c r="C74" i="2"/>
  <c r="C79" i="2"/>
  <c r="C86" i="2" s="1"/>
  <c r="B68" i="2"/>
  <c r="B39" i="2"/>
  <c r="B43" i="2" s="1"/>
  <c r="G56" i="2"/>
  <c r="G58" i="2" s="1"/>
  <c r="G46" i="2"/>
  <c r="G52" i="2"/>
  <c r="G54" i="2" s="1"/>
  <c r="C52" i="2"/>
  <c r="C54" i="2" s="1"/>
  <c r="C56" i="2"/>
  <c r="C58" i="2" s="1"/>
  <c r="C46" i="2"/>
  <c r="D68" i="2"/>
  <c r="D39" i="2"/>
  <c r="D43" i="2" s="1"/>
  <c r="F68" i="2"/>
  <c r="F39" i="2"/>
  <c r="F43" i="2" s="1"/>
  <c r="G79" i="2"/>
  <c r="G86" i="2" s="1"/>
  <c r="G74" i="2"/>
  <c r="J96" i="2"/>
  <c r="L14" i="2"/>
  <c r="L31" i="2"/>
  <c r="M102" i="8"/>
  <c r="K33" i="2"/>
  <c r="K68" i="2"/>
  <c r="K32" i="2"/>
  <c r="K39" i="2"/>
  <c r="K43" i="2" s="1"/>
  <c r="N86" i="8"/>
  <c r="N84" i="8"/>
  <c r="N90" i="8"/>
  <c r="N80" i="8"/>
  <c r="N88" i="8"/>
  <c r="N78" i="8"/>
  <c r="N21" i="8"/>
  <c r="I74" i="2" l="1"/>
  <c r="I52" i="2"/>
  <c r="I54" i="2" s="1"/>
  <c r="J74" i="2"/>
  <c r="I56" i="2"/>
  <c r="I58" i="2" s="1"/>
  <c r="F102" i="8"/>
  <c r="F88" i="8"/>
  <c r="F90" i="8"/>
  <c r="F78" i="8"/>
  <c r="F80" i="8"/>
  <c r="F86" i="8"/>
  <c r="F84" i="8"/>
  <c r="K78" i="8"/>
  <c r="K88" i="8"/>
  <c r="K90" i="8"/>
  <c r="K80" i="8"/>
  <c r="K84" i="8"/>
  <c r="K86" i="8"/>
  <c r="E39" i="2"/>
  <c r="G32" i="2"/>
  <c r="E68" i="2"/>
  <c r="H56" i="2"/>
  <c r="H58" i="2" s="1"/>
  <c r="H46" i="2"/>
  <c r="I48" i="2" s="1"/>
  <c r="H52" i="2"/>
  <c r="H54" i="2" s="1"/>
  <c r="H74" i="2"/>
  <c r="H76" i="2" s="1"/>
  <c r="H79" i="2"/>
  <c r="H86" i="2" s="1"/>
  <c r="H89" i="2" s="1"/>
  <c r="J88" i="2"/>
  <c r="J87" i="2"/>
  <c r="D74" i="2"/>
  <c r="I77" i="2" s="1"/>
  <c r="D79" i="2"/>
  <c r="D86" i="2" s="1"/>
  <c r="G75" i="2"/>
  <c r="F74" i="2"/>
  <c r="F79" i="2"/>
  <c r="F86" i="2" s="1"/>
  <c r="I91" i="2"/>
  <c r="I109" i="2" s="1"/>
  <c r="I47" i="2"/>
  <c r="J76" i="2"/>
  <c r="G87" i="2"/>
  <c r="D46" i="2"/>
  <c r="I49" i="2" s="1"/>
  <c r="D52" i="2"/>
  <c r="D54" i="2" s="1"/>
  <c r="D56" i="2"/>
  <c r="D58" i="2" s="1"/>
  <c r="C47" i="2"/>
  <c r="C91" i="2"/>
  <c r="C109" i="2" s="1"/>
  <c r="B79" i="2"/>
  <c r="B86" i="2" s="1"/>
  <c r="B74" i="2"/>
  <c r="G77" i="2" s="1"/>
  <c r="J46" i="2"/>
  <c r="J52" i="2"/>
  <c r="J54" i="2" s="1"/>
  <c r="J56" i="2"/>
  <c r="J58" i="2" s="1"/>
  <c r="J75" i="2"/>
  <c r="G47" i="2"/>
  <c r="G91" i="2"/>
  <c r="G109" i="2" s="1"/>
  <c r="B56" i="2"/>
  <c r="B58" i="2" s="1"/>
  <c r="B52" i="2"/>
  <c r="B54" i="2" s="1"/>
  <c r="B46" i="2"/>
  <c r="I87" i="2"/>
  <c r="H48" i="2"/>
  <c r="I75" i="2"/>
  <c r="F56" i="2"/>
  <c r="F58" i="2" s="1"/>
  <c r="E43" i="2"/>
  <c r="F46" i="2"/>
  <c r="F52" i="2"/>
  <c r="F54" i="2" s="1"/>
  <c r="M32" i="2"/>
  <c r="L39" i="2"/>
  <c r="L68" i="2"/>
  <c r="L79" i="2" s="1"/>
  <c r="L86" i="2" s="1"/>
  <c r="L33" i="2"/>
  <c r="L32" i="2"/>
  <c r="K52" i="2"/>
  <c r="K54" i="2" s="1"/>
  <c r="K56" i="2"/>
  <c r="K58" i="2" s="1"/>
  <c r="K46" i="2"/>
  <c r="K74" i="2"/>
  <c r="K79" i="2"/>
  <c r="K86" i="2" s="1"/>
  <c r="K80" i="7"/>
  <c r="K82" i="7" s="1"/>
  <c r="K84" i="7" s="1"/>
  <c r="K89" i="7" s="1"/>
  <c r="G80" i="7"/>
  <c r="G82" i="7" s="1"/>
  <c r="G84" i="7" s="1"/>
  <c r="H77" i="2" l="1"/>
  <c r="M88" i="2"/>
  <c r="Q89" i="2"/>
  <c r="E74" i="2"/>
  <c r="E79" i="2"/>
  <c r="E86" i="2" s="1"/>
  <c r="M89" i="2"/>
  <c r="H88" i="2"/>
  <c r="H87" i="2"/>
  <c r="G49" i="2"/>
  <c r="H75" i="2"/>
  <c r="M77" i="2"/>
  <c r="M49" i="2"/>
  <c r="H49" i="2"/>
  <c r="H91" i="2"/>
  <c r="H109" i="2" s="1"/>
  <c r="H47" i="2"/>
  <c r="I76" i="2"/>
  <c r="I88" i="2"/>
  <c r="I112" i="2"/>
  <c r="I110" i="2"/>
  <c r="E46" i="2"/>
  <c r="J49" i="2" s="1"/>
  <c r="E52" i="2"/>
  <c r="E54" i="2" s="1"/>
  <c r="E56" i="2"/>
  <c r="E58" i="2" s="1"/>
  <c r="F91" i="2"/>
  <c r="F109" i="2" s="1"/>
  <c r="F47" i="2"/>
  <c r="D91" i="2"/>
  <c r="D109" i="2" s="1"/>
  <c r="D47" i="2"/>
  <c r="B91" i="2"/>
  <c r="B109" i="2" s="1"/>
  <c r="B47" i="2"/>
  <c r="G112" i="2"/>
  <c r="G110" i="2"/>
  <c r="J47" i="2"/>
  <c r="J48" i="2"/>
  <c r="J91" i="2"/>
  <c r="J109" i="2" s="1"/>
  <c r="C112" i="2"/>
  <c r="G89" i="2"/>
  <c r="I89" i="2"/>
  <c r="L43" i="2"/>
  <c r="L46" i="2" s="1"/>
  <c r="L74" i="2"/>
  <c r="K75" i="2"/>
  <c r="K77" i="2"/>
  <c r="K91" i="2"/>
  <c r="K109" i="2" s="1"/>
  <c r="K49" i="2"/>
  <c r="K47" i="2"/>
  <c r="K87" i="2"/>
  <c r="K89" i="2"/>
  <c r="L87" i="2"/>
  <c r="L88" i="2"/>
  <c r="L89" i="2"/>
  <c r="H80" i="7"/>
  <c r="H82" i="7" s="1"/>
  <c r="H84" i="7" s="1"/>
  <c r="G89" i="7"/>
  <c r="Q49" i="2" l="1"/>
  <c r="M76" i="2"/>
  <c r="Q77" i="2"/>
  <c r="L77" i="2"/>
  <c r="L76" i="2"/>
  <c r="G88" i="2"/>
  <c r="J89" i="2"/>
  <c r="H112" i="2"/>
  <c r="I113" i="2" s="1"/>
  <c r="H110" i="2"/>
  <c r="J77" i="2"/>
  <c r="G76" i="2"/>
  <c r="B112" i="2"/>
  <c r="D112" i="2"/>
  <c r="F112" i="2"/>
  <c r="J112" i="2"/>
  <c r="J110" i="2"/>
  <c r="E91" i="2"/>
  <c r="E109" i="2" s="1"/>
  <c r="E47" i="2"/>
  <c r="G48" i="2"/>
  <c r="L75" i="2"/>
  <c r="M48" i="2"/>
  <c r="L48" i="2"/>
  <c r="L49" i="2"/>
  <c r="L91" i="2"/>
  <c r="L109" i="2" s="1"/>
  <c r="L47" i="2"/>
  <c r="K112" i="2"/>
  <c r="K110" i="2"/>
  <c r="H89" i="7"/>
  <c r="I80" i="7"/>
  <c r="I82" i="7" s="1"/>
  <c r="I84" i="7" s="1"/>
  <c r="M114" i="2" l="1"/>
  <c r="H113" i="2"/>
  <c r="K114" i="2"/>
  <c r="H114" i="2"/>
  <c r="G114" i="2"/>
  <c r="E112" i="2"/>
  <c r="J113" i="2"/>
  <c r="I114" i="2"/>
  <c r="L110" i="2"/>
  <c r="I89" i="7"/>
  <c r="J80" i="7"/>
  <c r="J82" i="7" s="1"/>
  <c r="P80" i="7" s="1"/>
  <c r="G113" i="2" l="1"/>
  <c r="J114" i="2"/>
  <c r="J84" i="7"/>
  <c r="J89" i="7" s="1"/>
  <c r="L80" i="7"/>
  <c r="L82" i="7" s="1"/>
  <c r="M80" i="7" s="1"/>
  <c r="M82" i="7" s="1"/>
  <c r="M84" i="7" l="1"/>
  <c r="M89" i="7" s="1"/>
  <c r="N80" i="7"/>
  <c r="L84" i="7"/>
  <c r="L89" i="7" s="1"/>
  <c r="N102" i="8" l="1"/>
  <c r="N88" i="7" l="1"/>
  <c r="M36" i="6" l="1"/>
  <c r="M45" i="6" l="1"/>
  <c r="M15" i="6" l="1"/>
  <c r="M25" i="6" s="1"/>
  <c r="N93" i="2" l="1"/>
  <c r="N81" i="2"/>
  <c r="S10" i="2" l="1"/>
  <c r="N21" i="2" l="1"/>
  <c r="N18" i="2"/>
  <c r="N29" i="2"/>
  <c r="N73" i="2"/>
  <c r="N27" i="2"/>
  <c r="N80" i="2"/>
  <c r="N24" i="2"/>
  <c r="N10" i="2"/>
  <c r="N13" i="2"/>
  <c r="Y102" i="8" s="1"/>
  <c r="N9" i="2"/>
  <c r="N64" i="2"/>
  <c r="N66" i="2" s="1"/>
  <c r="N85" i="2" l="1"/>
  <c r="N98" i="2" s="1"/>
  <c r="O102" i="8"/>
  <c r="N31" i="2"/>
  <c r="N14" i="2"/>
  <c r="N68" i="2" l="1"/>
  <c r="N79" i="2" s="1"/>
  <c r="N33" i="2"/>
  <c r="N39" i="2"/>
  <c r="N32" i="2"/>
  <c r="N43" i="2" l="1"/>
  <c r="N46" i="2" l="1"/>
  <c r="N48" i="2" l="1"/>
  <c r="N49" i="2"/>
  <c r="N47" i="2"/>
  <c r="N91" i="2"/>
  <c r="N57" i="2"/>
  <c r="N56" i="2"/>
  <c r="N53" i="2"/>
  <c r="N52" i="2"/>
  <c r="N58" i="2" l="1"/>
  <c r="N54" i="2"/>
  <c r="M56" i="6" l="1"/>
  <c r="M58" i="6" s="1"/>
  <c r="M60" i="6" s="1"/>
  <c r="M66" i="6" s="1"/>
  <c r="N72" i="7" l="1"/>
  <c r="N75" i="7" l="1"/>
  <c r="N92" i="2" l="1"/>
  <c r="N109" i="2" s="1"/>
  <c r="N74" i="2"/>
  <c r="N82" i="2"/>
  <c r="N86" i="2" s="1"/>
  <c r="N89" i="2" l="1"/>
  <c r="N88" i="2"/>
  <c r="N87" i="2"/>
  <c r="N77" i="2"/>
  <c r="N75" i="2"/>
  <c r="N76" i="2"/>
  <c r="N110" i="2"/>
  <c r="N112" i="2"/>
  <c r="N114" i="2" l="1"/>
  <c r="N113" i="2"/>
  <c r="N39" i="7" l="1"/>
  <c r="N41" i="7" s="1"/>
  <c r="N51" i="7"/>
  <c r="N54" i="7" s="1"/>
  <c r="N79" i="7" l="1"/>
  <c r="N82" i="7" s="1"/>
  <c r="O80" i="7" s="1"/>
  <c r="N84" i="7" l="1"/>
  <c r="N89" i="7" s="1"/>
  <c r="O12" i="7" l="1"/>
  <c r="Q12" i="7" s="1"/>
  <c r="O13" i="7"/>
  <c r="Q13" i="7" s="1"/>
  <c r="O17" i="7"/>
  <c r="Q17" i="7" s="1"/>
  <c r="O106" i="2" l="1"/>
  <c r="O107" i="2" l="1"/>
  <c r="O101" i="2" l="1"/>
  <c r="O97" i="2" l="1"/>
  <c r="O100" i="2" l="1"/>
  <c r="O105" i="2" l="1"/>
  <c r="O53" i="2" l="1"/>
  <c r="P53" i="2"/>
  <c r="P57" i="2" l="1"/>
  <c r="O57" i="2"/>
  <c r="L57" i="2" l="1"/>
  <c r="L56" i="2"/>
  <c r="L112" i="2"/>
  <c r="L53" i="2"/>
  <c r="L52" i="2"/>
  <c r="L54" i="2" l="1"/>
  <c r="M113" i="2"/>
  <c r="L114" i="2"/>
  <c r="L113" i="2"/>
  <c r="L58" i="2"/>
  <c r="O42" i="2" l="1"/>
  <c r="O36" i="2" l="1"/>
  <c r="O12" i="2"/>
  <c r="O41" i="2"/>
  <c r="O35" i="2"/>
  <c r="P81" i="2"/>
  <c r="P93" i="2"/>
  <c r="O69" i="2"/>
  <c r="O81" i="2" l="1"/>
  <c r="O93" i="2"/>
  <c r="P73" i="2"/>
  <c r="P27" i="2"/>
  <c r="O26" i="2"/>
  <c r="O17" i="2"/>
  <c r="P18" i="2"/>
  <c r="P29" i="2"/>
  <c r="P64" i="2"/>
  <c r="P66" i="2" s="1"/>
  <c r="O8" i="2"/>
  <c r="P13" i="2"/>
  <c r="AA102" i="8" s="1"/>
  <c r="P10" i="2"/>
  <c r="P80" i="2"/>
  <c r="P24" i="2"/>
  <c r="O23" i="2"/>
  <c r="P21" i="2"/>
  <c r="O20" i="2"/>
  <c r="O21" i="2" l="1"/>
  <c r="O29" i="2"/>
  <c r="O18" i="2"/>
  <c r="O80" i="2"/>
  <c r="O24" i="2"/>
  <c r="P31" i="2"/>
  <c r="P14" i="2"/>
  <c r="Q102" i="8"/>
  <c r="O27" i="2"/>
  <c r="Q9" i="2"/>
  <c r="O9" i="2"/>
  <c r="O13" i="2"/>
  <c r="Z102" i="8" s="1"/>
  <c r="O10" i="2"/>
  <c r="O64" i="2"/>
  <c r="O66" i="2" s="1"/>
  <c r="O73" i="2"/>
  <c r="P85" i="2"/>
  <c r="P98" i="2" s="1"/>
  <c r="N36" i="6" l="1"/>
  <c r="O85" i="2"/>
  <c r="O14" i="2"/>
  <c r="P102" i="8"/>
  <c r="O31" i="2"/>
  <c r="P39" i="2"/>
  <c r="P43" i="2" s="1"/>
  <c r="P33" i="2"/>
  <c r="P32" i="2"/>
  <c r="P68" i="2"/>
  <c r="O88" i="7"/>
  <c r="P88" i="7"/>
  <c r="O98" i="2" l="1"/>
  <c r="P46" i="2"/>
  <c r="P52" i="2"/>
  <c r="P54" i="2" s="1"/>
  <c r="P56" i="2"/>
  <c r="P58" i="2" s="1"/>
  <c r="Q32" i="2"/>
  <c r="O39" i="2"/>
  <c r="O43" i="2" s="1"/>
  <c r="O32" i="2"/>
  <c r="O68" i="2"/>
  <c r="O33" i="2"/>
  <c r="P79" i="2"/>
  <c r="O46" i="2" l="1"/>
  <c r="O52" i="2"/>
  <c r="O54" i="2" s="1"/>
  <c r="O56" i="2"/>
  <c r="O58" i="2" s="1"/>
  <c r="P49" i="2"/>
  <c r="P47" i="2"/>
  <c r="P91" i="2"/>
  <c r="O79" i="2"/>
  <c r="Q48" i="2" l="1"/>
  <c r="O48" i="2"/>
  <c r="O49" i="2"/>
  <c r="O91" i="2"/>
  <c r="O47" i="2"/>
  <c r="O8" i="7" l="1"/>
  <c r="Q8" i="7" s="1"/>
  <c r="P82" i="2" l="1"/>
  <c r="P86" i="2" s="1"/>
  <c r="O70" i="2"/>
  <c r="P92" i="2"/>
  <c r="P109" i="2" s="1"/>
  <c r="P74" i="2"/>
  <c r="P75" i="2" l="1"/>
  <c r="P77" i="2"/>
  <c r="O92" i="2"/>
  <c r="O82" i="2"/>
  <c r="O74" i="2"/>
  <c r="P110" i="2"/>
  <c r="P112" i="2"/>
  <c r="P89" i="2"/>
  <c r="P87" i="2"/>
  <c r="P114" i="2" l="1"/>
  <c r="Q76" i="2"/>
  <c r="O75" i="2"/>
  <c r="O77" i="2"/>
  <c r="O76" i="2"/>
  <c r="O86" i="2"/>
  <c r="O109" i="2"/>
  <c r="Q88" i="2" l="1"/>
  <c r="O87" i="2"/>
  <c r="O89" i="2"/>
  <c r="O88" i="2"/>
  <c r="O110" i="2"/>
  <c r="O112" i="2"/>
  <c r="O113" i="2" l="1"/>
  <c r="O114" i="2"/>
  <c r="N45" i="6" l="1"/>
  <c r="N15" i="6" l="1"/>
  <c r="N25" i="6" s="1"/>
  <c r="N56" i="6" l="1"/>
  <c r="N58" i="6" s="1"/>
  <c r="N60" i="6" s="1"/>
  <c r="N66" i="6" s="1"/>
  <c r="Q109" i="2" l="1"/>
  <c r="Q110" i="2" l="1"/>
  <c r="Q57" i="2" l="1"/>
  <c r="Q56" i="2"/>
  <c r="Q112" i="2"/>
  <c r="R113" i="2" s="1"/>
  <c r="Q53" i="2"/>
  <c r="Q52" i="2"/>
  <c r="Q58" i="2" l="1"/>
  <c r="Q114" i="2"/>
  <c r="Q113" i="2"/>
  <c r="Q54" i="2"/>
  <c r="O56" i="6" l="1"/>
  <c r="O58" i="6" s="1"/>
  <c r="O60" i="6" s="1"/>
  <c r="O66" i="6" s="1"/>
  <c r="O21" i="7" l="1"/>
  <c r="Q21" i="7" s="1"/>
  <c r="O66" i="7" l="1"/>
  <c r="Q66" i="7" s="1"/>
  <c r="O15" i="7" l="1"/>
  <c r="Q15" i="7" s="1"/>
  <c r="O14" i="7" l="1"/>
  <c r="Q14" i="7" s="1"/>
  <c r="O31" i="7" l="1"/>
  <c r="Q31" i="7" s="1"/>
  <c r="O33" i="7"/>
  <c r="Q33" i="7" s="1"/>
  <c r="O49" i="7"/>
  <c r="Q49" i="7" s="1"/>
  <c r="O59" i="7"/>
  <c r="Q59" i="7" s="1"/>
  <c r="O47" i="7"/>
  <c r="Q47" i="7" s="1"/>
  <c r="O20" i="7"/>
  <c r="Q20" i="7" s="1"/>
  <c r="O19" i="7"/>
  <c r="Q19" i="7" s="1"/>
  <c r="O34" i="7"/>
  <c r="Q34" i="7" s="1"/>
  <c r="O50" i="7"/>
  <c r="Q50" i="7" s="1"/>
  <c r="O61" i="7"/>
  <c r="Q61" i="7" s="1"/>
  <c r="O25" i="7"/>
  <c r="Q25" i="7" s="1"/>
  <c r="O48" i="7"/>
  <c r="Q48" i="7" s="1"/>
  <c r="O62" i="7"/>
  <c r="Q62" i="7" s="1"/>
  <c r="O71" i="7"/>
  <c r="Q71" i="7" s="1"/>
  <c r="O11" i="7" l="1"/>
  <c r="Q11" i="7" s="1"/>
  <c r="O58" i="7"/>
  <c r="O72" i="7" s="1"/>
  <c r="O75" i="7" s="1"/>
  <c r="P72" i="7"/>
  <c r="P75" i="7" l="1"/>
  <c r="Q72" i="7"/>
  <c r="Q58" i="7"/>
  <c r="Z95" i="8" l="1"/>
  <c r="Z93" i="8"/>
  <c r="Z94" i="8"/>
  <c r="AA94" i="8" l="1"/>
  <c r="AA95" i="8"/>
  <c r="AA93" i="8"/>
  <c r="O28" i="7" l="1"/>
  <c r="Q28" i="7" s="1"/>
  <c r="O38" i="7" l="1"/>
  <c r="Q38" i="7" s="1"/>
  <c r="O23" i="7" l="1"/>
  <c r="Q23" i="7" s="1"/>
  <c r="O35" i="7" l="1"/>
  <c r="Q35" i="7" s="1"/>
  <c r="O37" i="7"/>
  <c r="Q37" i="7" s="1"/>
  <c r="O36" i="7" l="1"/>
  <c r="Q36" i="7" s="1"/>
  <c r="O32" i="7" l="1"/>
  <c r="O39" i="7" s="1"/>
  <c r="O41" i="7" s="1"/>
  <c r="P39" i="7"/>
  <c r="O44" i="7"/>
  <c r="O51" i="7" s="1"/>
  <c r="O54" i="7" s="1"/>
  <c r="P51" i="7"/>
  <c r="Q32" i="7" l="1"/>
  <c r="P41" i="7"/>
  <c r="Q39" i="7"/>
  <c r="Q44" i="7"/>
  <c r="P54" i="7"/>
  <c r="Q51" i="7"/>
  <c r="Q54" i="7" l="1"/>
  <c r="O77" i="7" l="1"/>
  <c r="O79" i="7" s="1"/>
  <c r="O82" i="7" s="1"/>
  <c r="P79" i="7"/>
  <c r="P82" i="7" s="1"/>
  <c r="P84" i="7" s="1"/>
  <c r="P89" i="7" s="1"/>
  <c r="Q77" i="7" l="1"/>
  <c r="O84" i="7"/>
  <c r="O89" i="7" s="1"/>
  <c r="R80" i="7"/>
  <c r="R72" i="7" l="1"/>
  <c r="R75" i="7" s="1"/>
  <c r="R51" i="7"/>
  <c r="R54" i="7" s="1"/>
  <c r="S93" i="2" l="1"/>
  <c r="S81" i="2"/>
  <c r="S73" i="2" l="1"/>
  <c r="S85" i="2" s="1"/>
  <c r="S98" i="2" s="1"/>
  <c r="S107" i="2" l="1"/>
  <c r="S80" i="2"/>
  <c r="S24" i="2"/>
  <c r="S64" i="2"/>
  <c r="S66" i="2" s="1"/>
  <c r="S13" i="2"/>
  <c r="AD102" i="8" s="1"/>
  <c r="S21" i="2"/>
  <c r="S27" i="2"/>
  <c r="S29" i="2"/>
  <c r="S18" i="2"/>
  <c r="S14" i="2" l="1"/>
  <c r="S31" i="2"/>
  <c r="S33" i="2" l="1"/>
  <c r="S32" i="2"/>
  <c r="S68" i="2"/>
  <c r="S39" i="2"/>
  <c r="S43" i="2" s="1"/>
  <c r="S46" i="2" l="1"/>
  <c r="S79" i="2"/>
  <c r="S48" i="2" l="1"/>
  <c r="S49" i="2"/>
  <c r="S91" i="2"/>
  <c r="S47" i="2"/>
  <c r="S92" i="2" l="1"/>
  <c r="S82" i="2"/>
  <c r="S52" i="2" l="1"/>
  <c r="S53" i="2" l="1"/>
  <c r="S54" i="2" l="1"/>
  <c r="S56" i="2"/>
  <c r="S57" i="2" l="1"/>
  <c r="S58" i="2" l="1"/>
  <c r="S74" i="2" l="1"/>
  <c r="S86" i="2"/>
  <c r="S87" i="2" l="1"/>
  <c r="S89" i="2"/>
  <c r="S88" i="2"/>
  <c r="S75" i="2"/>
  <c r="S76" i="2"/>
  <c r="S77" i="2"/>
  <c r="S72" i="7" l="1"/>
  <c r="S75" i="7" s="1"/>
  <c r="T72" i="7"/>
  <c r="T75" i="7" s="1"/>
  <c r="S51" i="7" l="1"/>
  <c r="S54" i="7" s="1"/>
  <c r="R39" i="7" l="1"/>
  <c r="R41" i="7" s="1"/>
  <c r="R79" i="7" s="1"/>
  <c r="R82" i="7" s="1"/>
  <c r="R84" i="7" l="1"/>
  <c r="R89" i="7" s="1"/>
  <c r="S80" i="7"/>
  <c r="S39" i="7" l="1"/>
  <c r="S41" i="7" s="1"/>
  <c r="S79" i="7" s="1"/>
  <c r="S82" i="7" s="1"/>
  <c r="Q56" i="6"/>
  <c r="Q58" i="6" s="1"/>
  <c r="Q60" i="6" s="1"/>
  <c r="Q66" i="6" s="1"/>
  <c r="S84" i="7" l="1"/>
  <c r="S89" i="7" s="1"/>
  <c r="T80" i="7"/>
  <c r="T39" i="7" l="1"/>
  <c r="T41" i="7" s="1"/>
  <c r="T51" i="7" l="1"/>
  <c r="T54" i="7" s="1"/>
  <c r="T79" i="7" s="1"/>
  <c r="T82" i="7" s="1"/>
  <c r="T84" i="7" s="1"/>
  <c r="T89" i="7" s="1"/>
  <c r="S109" i="2" l="1"/>
  <c r="S110" i="2" l="1"/>
  <c r="S112" i="2"/>
  <c r="S113" i="2" l="1"/>
  <c r="S114" i="2"/>
</calcChain>
</file>

<file path=xl/sharedStrings.xml><?xml version="1.0" encoding="utf-8"?>
<sst xmlns="http://schemas.openxmlformats.org/spreadsheetml/2006/main" count="504" uniqueCount="267">
  <si>
    <t>Headcount</t>
  </si>
  <si>
    <t>Revenues</t>
  </si>
  <si>
    <t>Gross profit</t>
  </si>
  <si>
    <t>General and administrative expenses</t>
  </si>
  <si>
    <t>Selling and marketing expenses</t>
  </si>
  <si>
    <t>Depreciation and amortization</t>
  </si>
  <si>
    <t>Total operating expenses</t>
  </si>
  <si>
    <t>Other income/ (expense)</t>
  </si>
  <si>
    <t>Interest on redeemable preferred stock</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</si>
  <si>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</si>
  <si>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</si>
  <si>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</si>
  <si>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</si>
  <si>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</si>
  <si>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</si>
  <si>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</si>
  <si>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</si>
  <si>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</si>
  <si>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</si>
  <si>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</si>
  <si>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</si>
  <si>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</si>
  <si>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</si>
  <si>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</si>
  <si>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</si>
  <si>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</si>
  <si>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</si>
  <si>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</si>
  <si>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Income taxes payable</t>
  </si>
  <si>
    <t>Total current liabilities</t>
  </si>
  <si>
    <t>Additional paid-in capital</t>
  </si>
  <si>
    <t>Other assets</t>
  </si>
  <si>
    <t>Other non-current liabilities</t>
  </si>
  <si>
    <t>Retained earnings</t>
  </si>
  <si>
    <t>Net income</t>
  </si>
  <si>
    <t>Amortization of deferred financing costs</t>
  </si>
  <si>
    <t>Non-employee stock options</t>
  </si>
  <si>
    <t>Foreign exchange (gain)/loss (unrealized)</t>
  </si>
  <si>
    <t>Prepaid expenses and other current assets</t>
  </si>
  <si>
    <t>Accrued expenses and other liabilities</t>
  </si>
  <si>
    <t>Repayment of senior long-term debt</t>
  </si>
  <si>
    <t>Principal payments on capital lease obligations</t>
  </si>
  <si>
    <t>Repayment on redemption of preferred stock</t>
  </si>
  <si>
    <t>Proceeds from exercise of stock options</t>
  </si>
  <si>
    <t>Acquisition of treasury stock</t>
  </si>
  <si>
    <t>Cash and cash equivalents, end of year</t>
  </si>
  <si>
    <t>Cash Flow Statement</t>
  </si>
  <si>
    <t>Top - 3</t>
  </si>
  <si>
    <t>Top - 5</t>
  </si>
  <si>
    <t>Top - 10</t>
  </si>
  <si>
    <t>Top - 1</t>
  </si>
  <si>
    <t>Cashflow Statement</t>
  </si>
  <si>
    <t>Income from discontinued operations, net of taxes</t>
  </si>
  <si>
    <t>Adjustments to reconcile net income to net cash provided by operating activities:</t>
  </si>
  <si>
    <t>Repayment of bank borrowings and other long term debt</t>
  </si>
  <si>
    <t>Proceeds from sale of common stock, net of issuance costs</t>
  </si>
  <si>
    <t>Excess tax benefit/(deficiency) from stock-based compensation</t>
  </si>
  <si>
    <t>Effect of exchange rate changes on cash and cash equivalents</t>
  </si>
  <si>
    <t>GM</t>
  </si>
  <si>
    <t>Other metrics</t>
  </si>
  <si>
    <t>GM%</t>
  </si>
  <si>
    <t>Income tax (provision)/benefit</t>
  </si>
  <si>
    <t>Adjusted Operating Margin</t>
  </si>
  <si>
    <t>Operating expenses</t>
  </si>
  <si>
    <t>Accrued expenses and other current liabilities</t>
  </si>
  <si>
    <t>Non-current liabilities</t>
  </si>
  <si>
    <t>($ in thousands)</t>
  </si>
  <si>
    <t>Gross Margin</t>
  </si>
  <si>
    <t>Operating Margin</t>
  </si>
  <si>
    <t>Change in operating assets and liabilities (net of effect of acquisitions)</t>
  </si>
  <si>
    <t>EBIT</t>
  </si>
  <si>
    <t>Adjusted EBIT</t>
  </si>
  <si>
    <t>($ in thousands, except per share amounts)</t>
  </si>
  <si>
    <t>Total Liabilities</t>
  </si>
  <si>
    <t>Preferred Stock $0.001 par value; 15,000,000 shares authorized</t>
  </si>
  <si>
    <t>Common Stock</t>
  </si>
  <si>
    <t>Net Cash Flows from Financing</t>
  </si>
  <si>
    <t>Cash and Cash Equivalents from Continuing Operations, end of period</t>
  </si>
  <si>
    <t>Cash Flows from Investing (continuing operations)</t>
  </si>
  <si>
    <t>Cash Flows from Investing (discontinued operations)</t>
  </si>
  <si>
    <t>Cash Flows from Financing (continuing operations)</t>
  </si>
  <si>
    <t>Cash Flows from Financing (discontinued operations)</t>
  </si>
  <si>
    <t>Total Workstations</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</si>
  <si>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</si>
  <si>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</si>
  <si>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</si>
  <si>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</si>
  <si>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</si>
  <si>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</si>
  <si>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</si>
  <si>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</si>
  <si>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</si>
  <si>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</si>
  <si>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</si>
  <si>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Income from continuing operations</t>
  </si>
  <si>
    <t>Income/(loss) from continuing operations before income taxes</t>
  </si>
  <si>
    <t>Income/(loss) from discontinued operations, net of taxes</t>
  </si>
  <si>
    <t>Net income/(loss) to common stockholders</t>
  </si>
  <si>
    <t>Diluted</t>
  </si>
  <si>
    <t>Continuing operations</t>
  </si>
  <si>
    <t>Discontinued operations</t>
  </si>
  <si>
    <t>Basic</t>
  </si>
  <si>
    <t>Total</t>
  </si>
  <si>
    <t>Weighted-average number of shares used in computing earnings per share</t>
  </si>
  <si>
    <t>Short-term investments</t>
  </si>
  <si>
    <t>Cash and cash equivalents</t>
  </si>
  <si>
    <t>Total current assets</t>
  </si>
  <si>
    <t>Total assets</t>
  </si>
  <si>
    <t>Stockholders' equity:</t>
  </si>
  <si>
    <t>Total Liabilities and Stockholders' Equity</t>
  </si>
  <si>
    <t>Cash flows from operating activities</t>
  </si>
  <si>
    <t>Share-based compensation expense</t>
  </si>
  <si>
    <t>Net cash provided by operating activities - continuing operations</t>
  </si>
  <si>
    <t>Net cash provided by operating activities</t>
  </si>
  <si>
    <t>Cash flows from investing activities:</t>
  </si>
  <si>
    <t>Cash flows from financing activities:</t>
  </si>
  <si>
    <t>Net increase/(decrease) in cash and cash equivalents</t>
  </si>
  <si>
    <t xml:space="preserve">Cash and cash equivalents, beginning of period </t>
  </si>
  <si>
    <t>Less cash and equivalents of discontinued operations, end of period</t>
  </si>
  <si>
    <t xml:space="preserve">Purchase of short-term investments </t>
  </si>
  <si>
    <t>Proceeds from Redemption of short-term investments</t>
  </si>
  <si>
    <t>Exl Service Holdings, Inc. stockholders' equity</t>
  </si>
  <si>
    <t>Total stockholders' equity</t>
  </si>
  <si>
    <t>Proceeds from issuance of stock to minority shareholders</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</si>
  <si>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</si>
  <si>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</si>
  <si>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</si>
  <si>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</si>
  <si>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</si>
  <si>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</si>
  <si>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</si>
  <si>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</si>
  <si>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</si>
  <si>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</si>
  <si>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</si>
  <si>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</si>
  <si>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</si>
  <si>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</si>
  <si>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</si>
  <si>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Proceeds from issuance of common stock from public offering, net of issuance costs</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</si>
  <si>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</si>
  <si>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</si>
  <si>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</si>
  <si>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</si>
  <si>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</si>
  <si>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</si>
  <si>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</si>
  <si>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</si>
  <si>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Earnings/(loss)  per share (a)</t>
  </si>
  <si>
    <t>Y/Y revenue growth</t>
  </si>
  <si>
    <t>Travel, Transportation and Logistics</t>
  </si>
  <si>
    <t>Loss on sale of business unit</t>
  </si>
  <si>
    <t>Healthcare</t>
  </si>
  <si>
    <t>Insurance</t>
  </si>
  <si>
    <t>add: Reimbursement of transition and disentanglement costs</t>
  </si>
  <si>
    <t>Adjusted Revenues</t>
  </si>
  <si>
    <t>Proceeds from long-term borrowings</t>
  </si>
  <si>
    <t>Cash received from non-controlling interest shareholders</t>
  </si>
  <si>
    <t>Operations Management</t>
  </si>
  <si>
    <t>Analytics and Business Transformation</t>
  </si>
  <si>
    <t xml:space="preserve">Y/Y constant currency revenue growth % </t>
  </si>
  <si>
    <t>Q01</t>
  </si>
  <si>
    <t>Change in fair value of Earn-out consideration</t>
  </si>
  <si>
    <t>Q02</t>
  </si>
  <si>
    <t>subtract: Changes in fair value of Earn-out consideration, net of tax</t>
  </si>
  <si>
    <t>Q03</t>
  </si>
  <si>
    <t xml:space="preserve">    Q/Q (Appreciation) / Depreciation</t>
  </si>
  <si>
    <t xml:space="preserve">    Y/Y (Appreciation) / Depreciation</t>
  </si>
  <si>
    <t>Q04</t>
  </si>
  <si>
    <t>Finance &amp; Accounting</t>
  </si>
  <si>
    <t>All Other</t>
  </si>
  <si>
    <t>Revenues and Margins</t>
  </si>
  <si>
    <t xml:space="preserve">Attrition </t>
  </si>
  <si>
    <t>For example, Insurance will include BPM, Finance and Accounting, Analytics and Consulting work.</t>
  </si>
  <si>
    <t>Business acquisition (net of cash acquired)</t>
  </si>
  <si>
    <t xml:space="preserve"> </t>
  </si>
  <si>
    <t>Revised</t>
  </si>
  <si>
    <t>Accounts receivable, net</t>
  </si>
  <si>
    <t>Advance income tax, net</t>
  </si>
  <si>
    <t>Property and equipment, net</t>
  </si>
  <si>
    <t>Deferred taxes, net</t>
  </si>
  <si>
    <t>Investment in equity affiliate</t>
  </si>
  <si>
    <t>Current portion of long-term borrowings</t>
  </si>
  <si>
    <t>Deferred income tax (benefit)/expense</t>
  </si>
  <si>
    <t>Excess tax benefit from stock-based compensation</t>
  </si>
  <si>
    <t>Write-off/Reserve of Doubtful receivables</t>
  </si>
  <si>
    <t>Purchase of property and equipment</t>
  </si>
  <si>
    <t>Proceeds from borrowings</t>
  </si>
  <si>
    <t>Repayment of borrowings</t>
  </si>
  <si>
    <t>add: Amortization of acquisition-related intangibles</t>
  </si>
  <si>
    <t>add: Stock-based compensation expense</t>
  </si>
  <si>
    <t>subtract: Tax impact on amortization of acquisition-related intangibles</t>
  </si>
  <si>
    <t>Less: Shares held in treasury</t>
  </si>
  <si>
    <t>Loss from equity-method investment</t>
  </si>
  <si>
    <t>FY 17</t>
  </si>
  <si>
    <t>add: Provision for litigation settlement</t>
  </si>
  <si>
    <t>add: provision for litigation settlement</t>
  </si>
  <si>
    <r>
      <t>Q2 2017</t>
    </r>
    <r>
      <rPr>
        <b/>
        <vertAlign val="superscript"/>
        <sz val="10"/>
        <rFont val="Arial"/>
        <family val="2"/>
      </rPr>
      <t>(1)</t>
    </r>
  </si>
  <si>
    <r>
      <t>Q1 2017</t>
    </r>
    <r>
      <rPr>
        <b/>
        <vertAlign val="superscript"/>
        <sz val="10"/>
        <rFont val="Arial"/>
        <family val="2"/>
      </rPr>
      <t>(1)</t>
    </r>
  </si>
  <si>
    <r>
      <t>Q3 2017</t>
    </r>
    <r>
      <rPr>
        <b/>
        <vertAlign val="superscript"/>
        <sz val="10"/>
        <rFont val="Arial"/>
        <family val="2"/>
      </rPr>
      <t>(1)</t>
    </r>
  </si>
  <si>
    <r>
      <t>Q4 2017</t>
    </r>
    <r>
      <rPr>
        <b/>
        <vertAlign val="superscript"/>
        <sz val="10"/>
        <rFont val="Arial"/>
        <family val="2"/>
      </rPr>
      <t>(1)</t>
    </r>
  </si>
  <si>
    <r>
      <t>FY 2017</t>
    </r>
    <r>
      <rPr>
        <b/>
        <vertAlign val="superscript"/>
        <sz val="10"/>
        <rFont val="Arial"/>
        <family val="2"/>
      </rPr>
      <t>(1)</t>
    </r>
  </si>
  <si>
    <t>add: Acquisition-related expenses</t>
  </si>
  <si>
    <r>
      <t>Q1</t>
    </r>
    <r>
      <rPr>
        <b/>
        <vertAlign val="superscript"/>
        <sz val="10"/>
        <rFont val="Arial"/>
        <family val="2"/>
      </rPr>
      <t>(d)</t>
    </r>
  </si>
  <si>
    <t>subtract: Tax impact on provision for litigation settlement</t>
  </si>
  <si>
    <t>Proceeds from convertible notes</t>
  </si>
  <si>
    <t>Impairment charges</t>
  </si>
  <si>
    <t>add: Non-cash interest expense related to convertible senior notes</t>
  </si>
  <si>
    <t>subtract: Tax impact non-cash interest expense related to convertible senior notes</t>
  </si>
  <si>
    <t>Amortization of non-cash interest expense related to convertible senior notes</t>
  </si>
  <si>
    <t>Net Cash Flows from Investing activities</t>
  </si>
  <si>
    <t>subtract: One-time tax expenses/(benefits)</t>
  </si>
  <si>
    <t>add: Acquisition-related expenses/(income)</t>
  </si>
  <si>
    <t>add/(subtract): Effect of Tax Reform Act and other one-time tax expenses/(benefits)</t>
  </si>
  <si>
    <t>Current portion of operating lease liabilities</t>
  </si>
  <si>
    <t>Operating lease liabilities, less current portion</t>
  </si>
  <si>
    <t>add: Impairment of acquisition-related intangibles, goodwill and long-lived assets and restructuring costs</t>
  </si>
  <si>
    <t>subtract: Tax impact on impairment of long lived assets and acquisition-related goodwill and intangibles and restructuring costs</t>
  </si>
  <si>
    <t>Impairment and restructuring charges</t>
  </si>
  <si>
    <t>add: Impairment of acquisition-related intangibles, goodwill and long-lived assets and restructuring charges</t>
  </si>
  <si>
    <t>Payment for purchase of non-controlling interest</t>
  </si>
  <si>
    <t>Amortization of operating lease right-of-use assets</t>
  </si>
  <si>
    <t>Operating lease liabilities</t>
  </si>
  <si>
    <t>Long-term borrowings, less current portion</t>
  </si>
  <si>
    <t>Finance lease liabilities, less current portion</t>
  </si>
  <si>
    <t>Depreciation and amortization expense</t>
  </si>
  <si>
    <t>Operating lease right-of-use assets</t>
  </si>
  <si>
    <t>Income taxes payable, net</t>
  </si>
  <si>
    <t>Deferred tax assets, net</t>
  </si>
  <si>
    <t>Intangible assets, net</t>
  </si>
  <si>
    <t>Deferred tax liabilities, net</t>
  </si>
  <si>
    <t>FY 19</t>
  </si>
  <si>
    <t>Emerging Business</t>
  </si>
  <si>
    <t>FY 18</t>
  </si>
  <si>
    <r>
      <t xml:space="preserve">Revised </t>
    </r>
    <r>
      <rPr>
        <b/>
        <vertAlign val="superscript"/>
        <sz val="16"/>
        <color theme="1"/>
        <rFont val="Calibri"/>
        <family val="2"/>
        <scheme val="minor"/>
      </rPr>
      <t>(2)</t>
    </r>
  </si>
  <si>
    <t>Revenue by Industry (4)</t>
  </si>
  <si>
    <t xml:space="preserve">Seat Utilization </t>
  </si>
  <si>
    <t>Client Concentration</t>
  </si>
  <si>
    <t xml:space="preserve">Operations Management </t>
  </si>
  <si>
    <t xml:space="preserve">Analytics </t>
  </si>
  <si>
    <r>
      <t xml:space="preserve">Revised </t>
    </r>
    <r>
      <rPr>
        <b/>
        <vertAlign val="superscript"/>
        <sz val="16"/>
        <color theme="1"/>
        <rFont val="Calibri"/>
        <family val="2"/>
        <scheme val="minor"/>
      </rPr>
      <t xml:space="preserve">(1) </t>
    </r>
  </si>
  <si>
    <r>
      <t xml:space="preserve">Revised </t>
    </r>
    <r>
      <rPr>
        <b/>
        <vertAlign val="superscript"/>
        <sz val="16"/>
        <color theme="1"/>
        <rFont val="Calibri"/>
        <family val="2"/>
        <scheme val="minor"/>
      </rPr>
      <t>(1)</t>
    </r>
  </si>
  <si>
    <r>
      <t>2020</t>
    </r>
    <r>
      <rPr>
        <b/>
        <vertAlign val="superscript"/>
        <sz val="16"/>
        <rFont val="Calibri"/>
        <family val="2"/>
        <scheme val="minor"/>
      </rPr>
      <t>(2)</t>
    </r>
  </si>
  <si>
    <t>Refer Form 10-K for the fiscal year ended December 31, 2018 for details.</t>
  </si>
  <si>
    <t xml:space="preserve">(1) Effective from January 1, 2017, On January 1, 2018, the Company adopted ASU 2017-07, Compensation-Retirement Benefits (Topic 715), Improving the Presentation of Net Periodic Pension Cost and Net Periodic Post Retirement Benefit Cost. </t>
  </si>
  <si>
    <t>(2) Effective January 1, 2020, the Company made certain operational and structural changes to more closely integrate its businesses and to simplify its organizational structure and accordingly new reportable segments are as follows</t>
  </si>
  <si>
    <t>Insurance, Healthcare, Emerging Business and Analytics.</t>
  </si>
  <si>
    <t xml:space="preserve">(4)  Revenue by Industry includes all solutions offered by EXL for each vertical listed.  </t>
  </si>
  <si>
    <t xml:space="preserve">     Refer Form 10-K for the fiscal year ended December 31, 2018 for details.</t>
  </si>
  <si>
    <t>and non-recurring benefits pertaining to successful acquisitions from its non-GAAP financial measures. The previously reported periods presented have been adjusted with the effects of exclusion.</t>
  </si>
  <si>
    <t xml:space="preserve">(b) Effective from January 1, 2017, On January 1, 2018, the Company adopted ASU 2017-07, Compensation-Retirement Benefits (Topic 715), Improving the Presentation of Net Periodic Pension Cost and Net Periodic Post Retirement Benefit Cost. </t>
  </si>
  <si>
    <r>
      <t>(c) To exclude</t>
    </r>
    <r>
      <rPr>
        <b/>
        <i/>
        <sz val="10"/>
        <rFont val="Arial"/>
        <family val="2"/>
      </rPr>
      <t xml:space="preserve"> acquisition related expenses</t>
    </r>
    <r>
      <rPr>
        <i/>
        <sz val="10"/>
        <rFont val="Arial"/>
        <family val="2"/>
      </rPr>
      <t xml:space="preserve"> and </t>
    </r>
    <r>
      <rPr>
        <b/>
        <i/>
        <sz val="10"/>
        <rFont val="Arial"/>
        <family val="2"/>
      </rPr>
      <t>one-time benefits</t>
    </r>
    <r>
      <rPr>
        <i/>
        <sz val="10"/>
        <rFont val="Arial"/>
        <family val="2"/>
      </rPr>
      <t xml:space="preserve">. Effective in the second quarter of 2018, EXL excludes acquisition-related costs such as external deal costs, integration expenses, direct and incremental travel costs </t>
    </r>
  </si>
  <si>
    <r>
      <t>Q1</t>
    </r>
    <r>
      <rPr>
        <b/>
        <vertAlign val="superscript"/>
        <sz val="10"/>
        <rFont val="Arial"/>
        <family val="2"/>
      </rPr>
      <t>(b)</t>
    </r>
  </si>
  <si>
    <r>
      <t>Q2</t>
    </r>
    <r>
      <rPr>
        <b/>
        <vertAlign val="superscript"/>
        <sz val="10"/>
        <rFont val="Arial"/>
        <family val="2"/>
      </rPr>
      <t>(b)(c)</t>
    </r>
  </si>
  <si>
    <r>
      <t>Q3</t>
    </r>
    <r>
      <rPr>
        <b/>
        <vertAlign val="superscript"/>
        <sz val="10"/>
        <rFont val="Arial"/>
        <family val="2"/>
      </rPr>
      <t>(b)(c)</t>
    </r>
  </si>
  <si>
    <r>
      <t>Q4</t>
    </r>
    <r>
      <rPr>
        <b/>
        <vertAlign val="superscript"/>
        <sz val="10"/>
        <rFont val="Arial"/>
        <family val="2"/>
      </rPr>
      <t>(b)(c)</t>
    </r>
  </si>
  <si>
    <r>
      <t>FY</t>
    </r>
    <r>
      <rPr>
        <b/>
        <vertAlign val="superscript"/>
        <sz val="10"/>
        <rFont val="Arial"/>
        <family val="2"/>
      </rPr>
      <t>(b)(c)</t>
    </r>
  </si>
  <si>
    <t>(a) Per share amounts may not foot due to rounding.</t>
  </si>
  <si>
    <t>(1) Effective from January 1, 2017, On January 1, 2018, The Company adopted the guidance in ASU 2016-18 "Statement of Cash Flows". Refer Form 10-K for the fiscal year ended December 31, 2018 for details.</t>
  </si>
  <si>
    <t>Unrealized (gain) on short term investments</t>
  </si>
  <si>
    <t>(Gain)/Loss on sale of fixed assets</t>
  </si>
  <si>
    <t xml:space="preserve">subtract: Other non-recurring (benefits)/expense </t>
  </si>
  <si>
    <t>add/(subtract): Tax impact on other non-recurring (benefits)/expense</t>
  </si>
  <si>
    <t>add/(subtract): Non-recurring tax expense/(benefits)</t>
  </si>
  <si>
    <r>
      <t>NA</t>
    </r>
    <r>
      <rPr>
        <b/>
        <vertAlign val="superscript"/>
        <sz val="10"/>
        <rFont val="Arial"/>
        <family val="2"/>
      </rPr>
      <t>(1)</t>
    </r>
  </si>
  <si>
    <t>(1) Due to country wide lockdowns, we moved to the “Work from home” operational model in second half of March 2020 for most of our business</t>
  </si>
  <si>
    <t>Proceeds from sale of property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</si>
</sst>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2" formatCode="_(&quot;$&quot;* #,##0_);_(&quot;$&quot;* \(#,##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000_);\(&quot;$&quot;#,##0.0000\)"/>
  </numFmts>
  <fonts count="39"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trike/>
      <sz val="10"/>
      <color indexed="10"/>
      <name val="Arial"/>
      <family val="2"/>
    </font>
    <font>
      <sz val="11"/>
      <color indexed="8"/>
      <name val="Calibri"/>
      <family val="2"/>
    </font>
    <font>
      <sz val="8"/>
      <name val="Calibri"/>
      <family val="2"/>
    </font>
    <font>
      <i/>
      <sz val="10"/>
      <color indexed="8"/>
      <name val="Arial"/>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b/>
      <vertAlign val="superscript"/>
      <sz val="10"/>
      <name val="Arial"/>
      <family val="2"/>
    </font>
    <font>
      <b/>
      <vertAlign val="superscript"/>
      <sz val="16"/>
      <color theme="1"/>
      <name val="Calibri"/>
      <family val="2"/>
      <scheme val="minor"/>
    </font>
    <font>
      <sz val="16"/>
      <color theme="0"/>
      <name val="Calibri"/>
      <family val="2"/>
      <scheme val="minor"/>
    </font>
    <font>
      <sz val="10"/>
      <color rgb="FFFF0000"/>
      <name val="Arial"/>
      <family val="2"/>
    </font>
    <font>
      <b/>
      <i/>
      <sz val="10"/>
      <name val="Arial"/>
      <family val="2"/>
    </font>
    <font>
      <sz val="16"/>
      <name val="Calibri"/>
      <family val="2"/>
      <scheme val="minor"/>
    </font>
    <font>
      <b/>
      <sz val="16"/>
      <name val="Calibri"/>
      <family val="2"/>
      <scheme val="minor"/>
    </font>
    <font>
      <b/>
      <sz val="10"/>
      <color rgb="FFFF0000"/>
      <name val="Arial"/>
      <family val="2"/>
    </font>
    <font>
      <b/>
      <vertAlign val="superscript"/>
      <sz val="16"/>
      <name val="Calibri"/>
      <family val="2"/>
      <scheme val="minor"/>
    </font>
    <font>
      <sz val="16"/>
      <color rgb="FFFF0000"/>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2" fillId="0" borderId="0"/>
    <xf numFmtId="43" fontId="1" fillId="0" borderId="0" applyFont="0" applyFill="0" applyBorder="0" applyAlignment="0" applyProtection="0"/>
    <xf numFmtId="43" fontId="16"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cellStyleXfs>
  <cellXfs count="382">
    <xf numFmtId="0" fontId="0" fillId="0" borderId="0" xfId="0"/>
    <xf numFmtId="0" fontId="3" fillId="0" borderId="0" xfId="0" applyFont="1" applyBorder="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applyBorder="1"/>
    <xf numFmtId="0" fontId="3" fillId="0" borderId="0" xfId="0" applyFont="1" applyBorder="1" applyAlignment="1">
      <alignment horizontal="center"/>
    </xf>
    <xf numFmtId="0" fontId="4" fillId="0" borderId="0" xfId="0" applyFont="1" applyAlignment="1">
      <alignment horizontal="center"/>
    </xf>
    <xf numFmtId="0" fontId="3" fillId="0" borderId="0" xfId="0" applyFont="1"/>
    <xf numFmtId="0" fontId="3" fillId="0" borderId="0" xfId="0" applyFont="1" applyAlignment="1">
      <alignment horizontal="left"/>
    </xf>
    <xf numFmtId="9" fontId="2" fillId="0" borderId="0" xfId="5" applyFont="1" applyFill="1" applyBorder="1"/>
    <xf numFmtId="0" fontId="7" fillId="0" borderId="0" xfId="0" applyFont="1"/>
    <xf numFmtId="10" fontId="4" fillId="0" borderId="0" xfId="0" applyNumberFormat="1" applyFont="1"/>
    <xf numFmtId="0" fontId="5" fillId="0" borderId="0" xfId="0" applyFont="1" applyFill="1" applyAlignment="1" applyProtection="1"/>
    <xf numFmtId="0" fontId="8" fillId="0" borderId="0" xfId="0" applyFont="1" applyFill="1" applyAlignment="1" applyProtection="1"/>
    <xf numFmtId="0" fontId="9" fillId="0" borderId="0" xfId="0" applyFont="1" applyFill="1" applyAlignment="1" applyProtection="1">
      <alignment horizontal="left" indent="1"/>
    </xf>
    <xf numFmtId="0" fontId="9" fillId="0" borderId="0" xfId="0" applyFont="1" applyFill="1" applyAlignment="1" applyProtection="1"/>
    <xf numFmtId="0" fontId="9" fillId="0" borderId="0" xfId="0" applyFont="1" applyFill="1" applyAlignment="1" applyProtection="1">
      <alignment horizontal="right"/>
    </xf>
    <xf numFmtId="0" fontId="3" fillId="0" borderId="0" xfId="0" applyFont="1" applyAlignment="1">
      <alignment horizontal="left" wrapText="1"/>
    </xf>
    <xf numFmtId="0" fontId="9" fillId="0" borderId="0" xfId="0" applyFont="1" applyFill="1" applyAlignment="1" applyProtection="1">
      <alignment wrapText="1"/>
    </xf>
    <xf numFmtId="0" fontId="9" fillId="0" borderId="0" xfId="0" applyFont="1" applyFill="1" applyAlignment="1" applyProtection="1">
      <alignment horizontal="left" wrapText="1" indent="1"/>
    </xf>
    <xf numFmtId="0" fontId="8" fillId="0" borderId="0" xfId="0" applyFont="1" applyFill="1" applyAlignment="1" applyProtection="1">
      <alignment wrapText="1"/>
    </xf>
    <xf numFmtId="0" fontId="9" fillId="0" borderId="0" xfId="0" applyFont="1" applyFill="1" applyAlignment="1" applyProtection="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0" fontId="5" fillId="0" borderId="0" xfId="0" applyFont="1"/>
    <xf numFmtId="164" fontId="2" fillId="0" borderId="0" xfId="2" applyNumberFormat="1" applyFont="1"/>
    <xf numFmtId="5" fontId="2" fillId="0" borderId="0" xfId="2" applyNumberFormat="1" applyFont="1" applyFill="1"/>
    <xf numFmtId="164" fontId="2" fillId="0" borderId="0" xfId="2" applyNumberFormat="1" applyFont="1" applyFill="1"/>
    <xf numFmtId="0" fontId="2" fillId="0" borderId="0" xfId="0"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Fill="1" applyAlignment="1" applyProtection="1">
      <alignment horizontal="left" indent="2"/>
    </xf>
    <xf numFmtId="0" fontId="2" fillId="0" borderId="0" xfId="0" applyFont="1" applyFill="1" applyAlignment="1" applyProtection="1"/>
    <xf numFmtId="0" fontId="4" fillId="0" borderId="0" xfId="0" applyFont="1" applyFill="1" applyBorder="1"/>
    <xf numFmtId="0" fontId="11" fillId="0" borderId="0" xfId="0" applyFont="1" applyFill="1" applyBorder="1"/>
    <xf numFmtId="0" fontId="12" fillId="0" borderId="0" xfId="0" applyFont="1" applyFill="1" applyBorder="1"/>
    <xf numFmtId="0" fontId="6" fillId="0" borderId="0" xfId="0" applyFont="1" applyFill="1" applyBorder="1"/>
    <xf numFmtId="5" fontId="5" fillId="2" borderId="1" xfId="2" applyNumberFormat="1" applyFont="1" applyFill="1" applyBorder="1"/>
    <xf numFmtId="0" fontId="8" fillId="0" borderId="1" xfId="0" applyFont="1" applyFill="1" applyBorder="1" applyAlignment="1" applyProtection="1">
      <alignment wrapText="1"/>
    </xf>
    <xf numFmtId="0" fontId="3" fillId="0" borderId="1" xfId="0" applyFont="1" applyBorder="1"/>
    <xf numFmtId="0" fontId="9" fillId="0" borderId="0" xfId="0" applyFont="1" applyFill="1" applyAlignment="1" applyProtection="1">
      <alignment horizontal="left" indent="3"/>
    </xf>
    <xf numFmtId="0" fontId="2" fillId="0" borderId="0" xfId="0" applyFont="1" applyFill="1" applyAlignment="1" applyProtection="1">
      <alignment horizontal="left" indent="1"/>
    </xf>
    <xf numFmtId="0" fontId="8" fillId="2" borderId="1" xfId="0" applyFont="1" applyFill="1" applyBorder="1" applyAlignment="1" applyProtection="1">
      <alignment wrapText="1"/>
    </xf>
    <xf numFmtId="0" fontId="3" fillId="2" borderId="1" xfId="0" applyFont="1" applyFill="1" applyBorder="1"/>
    <xf numFmtId="0" fontId="3" fillId="2" borderId="0" xfId="0" applyFont="1" applyFill="1"/>
    <xf numFmtId="0" fontId="5" fillId="0" borderId="0" xfId="0" applyFont="1" applyFill="1" applyBorder="1" applyAlignment="1" applyProtection="1">
      <alignment wrapText="1"/>
    </xf>
    <xf numFmtId="0" fontId="5" fillId="0" borderId="1" xfId="0" applyFont="1" applyFill="1" applyBorder="1" applyAlignment="1" applyProtection="1">
      <alignment horizontal="left" wrapText="1" indent="1"/>
    </xf>
    <xf numFmtId="0" fontId="8" fillId="2" borderId="1" xfId="0" applyFont="1" applyFill="1" applyBorder="1" applyAlignment="1" applyProtection="1"/>
    <xf numFmtId="0" fontId="5" fillId="2"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4" fillId="0" borderId="0" xfId="0" applyFont="1" applyBorder="1"/>
    <xf numFmtId="0" fontId="4" fillId="0" borderId="0" xfId="0" applyFont="1" applyBorder="1" applyAlignment="1">
      <alignment horizontal="center"/>
    </xf>
    <xf numFmtId="37" fontId="2" fillId="0" borderId="0" xfId="2" applyNumberFormat="1" applyFont="1"/>
    <xf numFmtId="0" fontId="5" fillId="2" borderId="4" xfId="1" applyFont="1" applyFill="1" applyBorder="1" applyAlignment="1"/>
    <xf numFmtId="0" fontId="10" fillId="0" borderId="5" xfId="1" applyFont="1" applyFill="1" applyBorder="1" applyAlignment="1">
      <alignment horizontal="left" indent="2"/>
    </xf>
    <xf numFmtId="0" fontId="2" fillId="0" borderId="5" xfId="1" applyFont="1" applyFill="1" applyBorder="1" applyAlignment="1">
      <alignment horizontal="left" indent="1"/>
    </xf>
    <xf numFmtId="0" fontId="5" fillId="0" borderId="5" xfId="1" applyFont="1" applyFill="1" applyBorder="1" applyAlignment="1"/>
    <xf numFmtId="0" fontId="2" fillId="0" borderId="5" xfId="0" applyFont="1" applyBorder="1" applyAlignment="1">
      <alignment horizontal="left" indent="1"/>
    </xf>
    <xf numFmtId="0" fontId="2" fillId="0" borderId="5" xfId="1" applyFont="1" applyFill="1" applyBorder="1" applyAlignment="1"/>
    <xf numFmtId="5" fontId="5" fillId="2" borderId="4" xfId="2" applyNumberFormat="1" applyFont="1" applyFill="1" applyBorder="1"/>
    <xf numFmtId="5" fontId="2" fillId="0" borderId="0" xfId="0" applyNumberFormat="1" applyFont="1"/>
    <xf numFmtId="0" fontId="5" fillId="0" borderId="0" xfId="0" applyFont="1" applyFill="1" applyAlignment="1" applyProtection="1">
      <alignment horizontal="left" wrapText="1" indent="1"/>
    </xf>
    <xf numFmtId="0" fontId="9" fillId="3" borderId="0" xfId="0" applyFont="1" applyFill="1" applyAlignment="1" applyProtection="1">
      <alignment horizontal="left" wrapText="1" indent="2"/>
    </xf>
    <xf numFmtId="0" fontId="9" fillId="3" borderId="0" xfId="0" applyFont="1" applyFill="1" applyAlignment="1" applyProtection="1">
      <alignment horizontal="left" wrapText="1" indent="1"/>
    </xf>
    <xf numFmtId="0" fontId="2" fillId="3" borderId="0" xfId="0" applyFont="1" applyFill="1" applyAlignment="1" applyProtection="1">
      <alignment horizontal="left" wrapText="1" indent="1"/>
    </xf>
    <xf numFmtId="0" fontId="4" fillId="3" borderId="0" xfId="0" applyFont="1" applyFill="1"/>
    <xf numFmtId="0" fontId="9" fillId="3" borderId="0" xfId="0" applyFont="1" applyFill="1" applyAlignment="1" applyProtection="1">
      <alignment wrapText="1"/>
    </xf>
    <xf numFmtId="0" fontId="8" fillId="3" borderId="0" xfId="0" applyFont="1" applyFill="1" applyAlignment="1" applyProtection="1">
      <alignment horizontal="left" wrapText="1" indent="1"/>
    </xf>
    <xf numFmtId="0" fontId="3" fillId="4" borderId="1" xfId="0" applyFont="1" applyFill="1" applyBorder="1"/>
    <xf numFmtId="0" fontId="4" fillId="4" borderId="1" xfId="0" applyFont="1" applyFill="1" applyBorder="1"/>
    <xf numFmtId="164" fontId="2" fillId="0" borderId="6" xfId="2" applyNumberFormat="1" applyFont="1" applyFill="1" applyBorder="1"/>
    <xf numFmtId="16" fontId="3" fillId="0" borderId="0" xfId="0" applyNumberFormat="1" applyFont="1" applyAlignment="1">
      <alignment horizontal="center"/>
    </xf>
    <xf numFmtId="39" fontId="2" fillId="0" borderId="0" xfId="2" applyNumberFormat="1" applyFont="1"/>
    <xf numFmtId="165" fontId="10" fillId="0" borderId="6" xfId="5" applyNumberFormat="1" applyFont="1" applyBorder="1"/>
    <xf numFmtId="164" fontId="5" fillId="4" borderId="1" xfId="2" applyNumberFormat="1" applyFont="1" applyFill="1" applyBorder="1"/>
    <xf numFmtId="0" fontId="4" fillId="0" borderId="0" xfId="0" applyFont="1" applyBorder="1" applyAlignment="1">
      <alignment horizontal="left" inden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0" fontId="14" fillId="0" borderId="0" xfId="0" applyFont="1" applyBorder="1" applyAlignment="1">
      <alignment horizontal="center"/>
    </xf>
    <xf numFmtId="0" fontId="2" fillId="0" borderId="5" xfId="1" applyFont="1" applyFill="1" applyBorder="1" applyAlignment="1">
      <alignment horizontal="left" indent="2"/>
    </xf>
    <xf numFmtId="0" fontId="2" fillId="0" borderId="5" xfId="1" applyFont="1" applyFill="1" applyBorder="1" applyAlignment="1">
      <alignment horizontal="left" indent="3"/>
    </xf>
    <xf numFmtId="0" fontId="2" fillId="0" borderId="7" xfId="1" applyFont="1" applyFill="1" applyBorder="1" applyAlignment="1">
      <alignment horizontal="left" indent="1"/>
    </xf>
    <xf numFmtId="0" fontId="5" fillId="0" borderId="5" xfId="1" applyFont="1" applyFill="1" applyBorder="1" applyAlignment="1">
      <alignment horizontal="left" indent="2"/>
    </xf>
    <xf numFmtId="9" fontId="2" fillId="0" borderId="0" xfId="5" applyFont="1"/>
    <xf numFmtId="0" fontId="2" fillId="0" borderId="0" xfId="0" applyFont="1" applyBorder="1"/>
    <xf numFmtId="43" fontId="5" fillId="4" borderId="1" xfId="2" applyFont="1" applyFill="1" applyBorder="1"/>
    <xf numFmtId="0" fontId="2" fillId="4" borderId="1" xfId="0" applyFont="1" applyFill="1" applyBorder="1"/>
    <xf numFmtId="9" fontId="2" fillId="0" borderId="0" xfId="5" applyFont="1" applyBorder="1"/>
    <xf numFmtId="165" fontId="5" fillId="4" borderId="1" xfId="0" applyNumberFormat="1" applyFont="1" applyFill="1" applyBorder="1"/>
    <xf numFmtId="0" fontId="2" fillId="0" borderId="0" xfId="0" applyFont="1" applyFill="1" applyBorder="1"/>
    <xf numFmtId="0" fontId="15" fillId="0" borderId="0" xfId="0" applyFont="1" applyFill="1" applyAlignment="1" applyProtection="1">
      <alignment horizontal="left" wrapText="1" indent="1"/>
    </xf>
    <xf numFmtId="5" fontId="4" fillId="0" borderId="0" xfId="0" applyNumberFormat="1" applyFont="1"/>
    <xf numFmtId="165" fontId="2" fillId="0" borderId="0" xfId="5" applyNumberFormat="1" applyFont="1"/>
    <xf numFmtId="5" fontId="4" fillId="0" borderId="0" xfId="0" applyNumberFormat="1" applyFont="1" applyBorder="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applyAlignment="1"/>
    <xf numFmtId="0" fontId="10" fillId="0" borderId="7" xfId="1" applyFont="1" applyFill="1" applyBorder="1" applyAlignment="1">
      <alignment horizontal="left" indent="2"/>
    </xf>
    <xf numFmtId="165" fontId="10" fillId="0" borderId="5" xfId="5" applyNumberFormat="1" applyFont="1" applyBorder="1" applyAlignment="1">
      <alignment horizontal="right"/>
    </xf>
    <xf numFmtId="10" fontId="2" fillId="0" borderId="0" xfId="0" applyNumberFormat="1" applyFont="1" applyBorder="1"/>
    <xf numFmtId="0" fontId="5" fillId="0" borderId="0" xfId="0" applyFont="1" applyBorder="1" applyAlignment="1">
      <alignment horizontal="left"/>
    </xf>
    <xf numFmtId="0" fontId="10" fillId="0" borderId="0" xfId="1" applyFont="1" applyFill="1" applyBorder="1" applyAlignment="1">
      <alignment horizontal="left" indent="2"/>
    </xf>
    <xf numFmtId="0" fontId="10" fillId="0" borderId="2" xfId="1" applyFont="1" applyFill="1" applyBorder="1" applyAlignment="1">
      <alignment horizontal="left" indent="2"/>
    </xf>
    <xf numFmtId="164" fontId="4" fillId="0" borderId="0" xfId="3" applyNumberFormat="1" applyFont="1"/>
    <xf numFmtId="5" fontId="3" fillId="2" borderId="1" xfId="3" applyNumberFormat="1" applyFont="1" applyFill="1" applyBorder="1"/>
    <xf numFmtId="5" fontId="4" fillId="0" borderId="0" xfId="3" applyNumberFormat="1" applyFont="1"/>
    <xf numFmtId="5" fontId="3" fillId="0" borderId="1" xfId="3" applyNumberFormat="1" applyFont="1" applyBorder="1"/>
    <xf numFmtId="0" fontId="3" fillId="0" borderId="1" xfId="0" applyFont="1" applyFill="1" applyBorder="1" applyAlignment="1" applyProtection="1">
      <alignment wrapText="1"/>
    </xf>
    <xf numFmtId="164" fontId="4" fillId="0" borderId="0" xfId="3" applyNumberFormat="1" applyFont="1" applyBorder="1"/>
    <xf numFmtId="0" fontId="4" fillId="0" borderId="0" xfId="0" applyFont="1" applyFill="1" applyBorder="1" applyAlignment="1" applyProtection="1">
      <alignment wrapText="1"/>
    </xf>
    <xf numFmtId="37" fontId="4" fillId="0" borderId="0" xfId="3" applyNumberFormat="1" applyFont="1"/>
    <xf numFmtId="37" fontId="4" fillId="3" borderId="0" xfId="3" applyNumberFormat="1" applyFont="1" applyFill="1"/>
    <xf numFmtId="164" fontId="4" fillId="3" borderId="0" xfId="3" applyNumberFormat="1" applyFont="1" applyFill="1"/>
    <xf numFmtId="5" fontId="4" fillId="3" borderId="0" xfId="3" applyNumberFormat="1" applyFont="1" applyFill="1"/>
    <xf numFmtId="43" fontId="4" fillId="3" borderId="0" xfId="3" applyFont="1" applyFill="1"/>
    <xf numFmtId="5" fontId="3" fillId="3" borderId="0" xfId="3" applyNumberFormat="1"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37" fontId="2" fillId="3" borderId="0" xfId="3" applyNumberFormat="1" applyFont="1" applyFill="1"/>
    <xf numFmtId="0" fontId="10" fillId="0" borderId="0" xfId="0" applyFont="1" applyBorder="1"/>
    <xf numFmtId="0" fontId="18" fillId="0" borderId="0" xfId="0" applyFont="1"/>
    <xf numFmtId="167" fontId="2" fillId="0" borderId="0" xfId="0" applyNumberFormat="1" applyFont="1"/>
    <xf numFmtId="9" fontId="10" fillId="0" borderId="0" xfId="5" applyFont="1"/>
    <xf numFmtId="0" fontId="19" fillId="0" borderId="0" xfId="0" applyFont="1"/>
    <xf numFmtId="4" fontId="2" fillId="0" borderId="0" xfId="0" applyNumberFormat="1" applyFont="1"/>
    <xf numFmtId="9" fontId="5" fillId="0" borderId="0" xfId="5" applyFont="1" applyBorder="1"/>
    <xf numFmtId="7" fontId="5" fillId="0" borderId="0" xfId="2" applyNumberFormat="1" applyFont="1"/>
    <xf numFmtId="5" fontId="5" fillId="0" borderId="0" xfId="2" applyNumberFormat="1" applyFont="1" applyFill="1"/>
    <xf numFmtId="165" fontId="10" fillId="0" borderId="0" xfId="5" applyNumberFormat="1" applyFont="1" applyFill="1"/>
    <xf numFmtId="164" fontId="4" fillId="0" borderId="0" xfId="2" applyNumberFormat="1" applyFont="1"/>
    <xf numFmtId="9" fontId="2" fillId="0" borderId="0" xfId="5" applyNumberFormat="1" applyFont="1" applyBorder="1"/>
    <xf numFmtId="165" fontId="10" fillId="0" borderId="2" xfId="5" applyNumberFormat="1" applyFont="1" applyFill="1" applyBorder="1"/>
    <xf numFmtId="0" fontId="20" fillId="0" borderId="0" xfId="4" applyBorder="1" applyAlignment="1" applyProtection="1"/>
    <xf numFmtId="0" fontId="5" fillId="0" borderId="0" xfId="0" applyFont="1" applyBorder="1" applyAlignment="1">
      <alignment horizontal="center" vertical="center"/>
    </xf>
    <xf numFmtId="0" fontId="5" fillId="0" borderId="0" xfId="0" applyFont="1" applyAlignment="1">
      <alignment horizontal="center" vertical="center"/>
    </xf>
    <xf numFmtId="5" fontId="2" fillId="0" borderId="0" xfId="0" applyNumberFormat="1" applyFont="1" applyBorder="1"/>
    <xf numFmtId="0" fontId="5" fillId="0" borderId="0" xfId="0" applyFont="1" applyBorder="1"/>
    <xf numFmtId="164" fontId="4" fillId="0" borderId="0" xfId="2" applyNumberFormat="1" applyFont="1" applyFill="1" applyBorder="1"/>
    <xf numFmtId="0" fontId="2" fillId="0" borderId="0" xfId="0" applyFont="1" applyFill="1" applyAlignment="1" applyProtection="1">
      <alignment horizontal="left" indent="3"/>
    </xf>
    <xf numFmtId="0" fontId="2" fillId="0" borderId="0" xfId="0" applyFont="1" applyFill="1" applyAlignment="1" applyProtection="1">
      <alignment horizontal="left" indent="2"/>
    </xf>
    <xf numFmtId="0" fontId="5" fillId="0" borderId="0" xfId="0" applyFont="1" applyAlignment="1">
      <alignment horizontal="center"/>
    </xf>
    <xf numFmtId="0" fontId="3" fillId="0" borderId="0" xfId="0" applyFont="1" applyBorder="1" applyAlignment="1">
      <alignment horizontal="right"/>
    </xf>
    <xf numFmtId="0" fontId="22" fillId="0" borderId="0" xfId="0" applyFont="1" applyAlignment="1">
      <alignment horizontal="center"/>
    </xf>
    <xf numFmtId="0" fontId="22" fillId="0" borderId="0" xfId="0" applyFont="1"/>
    <xf numFmtId="0" fontId="23" fillId="0" borderId="0" xfId="0" applyFont="1"/>
    <xf numFmtId="0" fontId="24" fillId="0" borderId="0" xfId="0" applyFont="1"/>
    <xf numFmtId="0" fontId="22" fillId="0" borderId="0" xfId="0" applyFont="1" applyBorder="1" applyAlignment="1">
      <alignment horizontal="center"/>
    </xf>
    <xf numFmtId="0" fontId="22" fillId="0" borderId="0" xfId="0" applyFont="1" applyBorder="1"/>
    <xf numFmtId="0" fontId="25" fillId="0" borderId="0" xfId="0" applyFont="1" applyBorder="1" applyAlignment="1">
      <alignment horizontal="center"/>
    </xf>
    <xf numFmtId="0" fontId="26" fillId="0" borderId="0" xfId="0" applyFont="1" applyBorder="1"/>
    <xf numFmtId="0" fontId="23" fillId="0" borderId="0" xfId="0" applyFont="1" applyBorder="1"/>
    <xf numFmtId="0" fontId="22" fillId="4" borderId="1" xfId="0" applyFont="1" applyFill="1" applyBorder="1" applyAlignment="1">
      <alignment horizontal="center"/>
    </xf>
    <xf numFmtId="0" fontId="26" fillId="4" borderId="1" xfId="0" applyFont="1" applyFill="1" applyBorder="1"/>
    <xf numFmtId="5" fontId="25" fillId="4" borderId="1" xfId="2" applyNumberFormat="1" applyFont="1" applyFill="1" applyBorder="1"/>
    <xf numFmtId="0" fontId="22" fillId="0" borderId="0" xfId="0" applyFont="1" applyBorder="1" applyAlignment="1">
      <alignment horizontal="left" indent="1"/>
    </xf>
    <xf numFmtId="165" fontId="22" fillId="0" borderId="0" xfId="5" applyNumberFormat="1" applyFont="1" applyBorder="1"/>
    <xf numFmtId="165" fontId="23" fillId="0" borderId="0" xfId="5" applyNumberFormat="1" applyFont="1" applyBorder="1"/>
    <xf numFmtId="37" fontId="23" fillId="3" borderId="0" xfId="2" applyNumberFormat="1" applyFont="1" applyFill="1" applyBorder="1"/>
    <xf numFmtId="0" fontId="22" fillId="0" borderId="0" xfId="0" applyFont="1" applyAlignment="1"/>
    <xf numFmtId="0" fontId="26" fillId="4" borderId="0" xfId="0" applyFont="1" applyFill="1" applyBorder="1"/>
    <xf numFmtId="5" fontId="25" fillId="4" borderId="0" xfId="2" applyNumberFormat="1" applyFont="1" applyFill="1" applyBorder="1"/>
    <xf numFmtId="42" fontId="25" fillId="4" borderId="0" xfId="2" applyNumberFormat="1" applyFont="1" applyFill="1" applyBorder="1"/>
    <xf numFmtId="0" fontId="22" fillId="0" borderId="0" xfId="0" applyFont="1" applyAlignment="1">
      <alignment horizontal="left"/>
    </xf>
    <xf numFmtId="165" fontId="22" fillId="0" borderId="0" xfId="5" applyNumberFormat="1" applyFont="1" applyFill="1" applyBorder="1"/>
    <xf numFmtId="165" fontId="23" fillId="0" borderId="0" xfId="5" applyNumberFormat="1" applyFont="1" applyFill="1" applyBorder="1"/>
    <xf numFmtId="0" fontId="23" fillId="4" borderId="1" xfId="0" applyFont="1" applyFill="1" applyBorder="1"/>
    <xf numFmtId="0" fontId="23" fillId="0" borderId="0" xfId="0" applyFont="1" applyBorder="1" applyAlignment="1">
      <alignment horizontal="left" indent="1"/>
    </xf>
    <xf numFmtId="5" fontId="23" fillId="0" borderId="0" xfId="0" applyNumberFormat="1" applyFont="1" applyBorder="1"/>
    <xf numFmtId="0" fontId="27" fillId="0" borderId="0" xfId="0" applyFont="1" applyBorder="1" applyAlignment="1">
      <alignment horizontal="center"/>
    </xf>
    <xf numFmtId="9" fontId="24" fillId="0" borderId="0" xfId="5" applyNumberFormat="1" applyFont="1"/>
    <xf numFmtId="0" fontId="24" fillId="0" borderId="0" xfId="0" applyFont="1" applyAlignment="1"/>
    <xf numFmtId="164" fontId="2" fillId="0" borderId="0" xfId="0" applyNumberFormat="1" applyFont="1"/>
    <xf numFmtId="0" fontId="4" fillId="0" borderId="0" xfId="0" applyFont="1" applyBorder="1" applyAlignment="1">
      <alignment horizontal="right"/>
    </xf>
    <xf numFmtId="5" fontId="3" fillId="0" borderId="0" xfId="0" applyNumberFormat="1" applyFont="1" applyBorder="1" applyAlignment="1">
      <alignment horizontal="right"/>
    </xf>
    <xf numFmtId="5" fontId="5" fillId="0" borderId="2" xfId="3" applyNumberFormat="1" applyFont="1" applyBorder="1" applyAlignment="1">
      <alignment horizontal="right"/>
    </xf>
    <xf numFmtId="37" fontId="5" fillId="0" borderId="3" xfId="3" applyNumberFormat="1" applyFont="1" applyBorder="1" applyAlignment="1">
      <alignment horizontal="right"/>
    </xf>
    <xf numFmtId="5" fontId="5" fillId="2" borderId="1" xfId="3" applyNumberFormat="1" applyFont="1" applyFill="1" applyBorder="1" applyAlignment="1">
      <alignment horizontal="right"/>
    </xf>
    <xf numFmtId="0" fontId="4" fillId="0" borderId="0" xfId="0" applyFont="1" applyAlignment="1">
      <alignment horizontal="right"/>
    </xf>
    <xf numFmtId="5" fontId="4" fillId="0" borderId="0" xfId="0" applyNumberFormat="1" applyFont="1" applyBorder="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37" fontId="2" fillId="0" borderId="0" xfId="3" applyNumberFormat="1" applyFont="1" applyAlignment="1">
      <alignment horizontal="right"/>
    </xf>
    <xf numFmtId="42" fontId="25" fillId="4" borderId="3" xfId="2" applyNumberFormat="1" applyFont="1" applyFill="1" applyBorder="1"/>
    <xf numFmtId="0" fontId="24" fillId="0" borderId="3" xfId="0" applyFont="1" applyBorder="1"/>
    <xf numFmtId="43" fontId="4" fillId="3" borderId="0" xfId="2" applyFont="1" applyFill="1"/>
    <xf numFmtId="43" fontId="4" fillId="0" borderId="0" xfId="2" applyFont="1"/>
    <xf numFmtId="9" fontId="24" fillId="0" borderId="0" xfId="5" applyFont="1"/>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43" fontId="5" fillId="0" borderId="3" xfId="2" applyFont="1" applyBorder="1" applyAlignment="1">
      <alignment horizontal="right"/>
    </xf>
    <xf numFmtId="43" fontId="4" fillId="0" borderId="0" xfId="2" applyFont="1" applyBorder="1"/>
    <xf numFmtId="43" fontId="2" fillId="0" borderId="0" xfId="2" applyFont="1" applyAlignment="1">
      <alignment horizontal="right"/>
    </xf>
    <xf numFmtId="164" fontId="2" fillId="0" borderId="0" xfId="0" applyNumberFormat="1" applyFont="1" applyFill="1"/>
    <xf numFmtId="0" fontId="5" fillId="5" borderId="0" xfId="0" applyFont="1" applyFill="1" applyAlignment="1">
      <alignment horizontal="center"/>
    </xf>
    <xf numFmtId="0" fontId="2" fillId="5" borderId="0" xfId="0" applyFont="1" applyFill="1"/>
    <xf numFmtId="164" fontId="5" fillId="5" borderId="1" xfId="2" applyNumberFormat="1" applyFont="1" applyFill="1" applyBorder="1"/>
    <xf numFmtId="165" fontId="10" fillId="5" borderId="0" xfId="5" applyNumberFormat="1" applyFont="1" applyFill="1"/>
    <xf numFmtId="164" fontId="2" fillId="5" borderId="0" xfId="2" applyNumberFormat="1" applyFont="1" applyFill="1"/>
    <xf numFmtId="9" fontId="2" fillId="5" borderId="0" xfId="5" applyFont="1" applyFill="1"/>
    <xf numFmtId="164" fontId="5" fillId="5" borderId="0" xfId="2" applyNumberFormat="1" applyFont="1" applyFill="1"/>
    <xf numFmtId="5" fontId="5" fillId="5" borderId="1" xfId="2" applyNumberFormat="1" applyFont="1" applyFill="1" applyBorder="1"/>
    <xf numFmtId="5" fontId="2" fillId="5" borderId="0" xfId="2" applyNumberFormat="1" applyFont="1" applyFill="1"/>
    <xf numFmtId="37" fontId="2" fillId="5" borderId="0" xfId="2" applyNumberFormat="1" applyFont="1" applyFill="1"/>
    <xf numFmtId="165" fontId="10" fillId="5" borderId="0" xfId="5" applyNumberFormat="1" applyFont="1" applyFill="1" applyAlignment="1">
      <alignment horizontal="right"/>
    </xf>
    <xf numFmtId="165" fontId="10" fillId="5" borderId="6" xfId="5" applyNumberFormat="1" applyFont="1" applyFill="1" applyBorder="1"/>
    <xf numFmtId="7" fontId="2" fillId="5" borderId="0" xfId="2" applyNumberFormat="1" applyFont="1" applyFill="1"/>
    <xf numFmtId="39" fontId="2" fillId="5" borderId="0" xfId="2" applyNumberFormat="1" applyFont="1" applyFill="1"/>
    <xf numFmtId="7" fontId="5" fillId="5" borderId="0" xfId="2" applyNumberFormat="1" applyFont="1" applyFill="1"/>
    <xf numFmtId="43" fontId="2" fillId="5" borderId="0" xfId="2" applyFont="1" applyFill="1"/>
    <xf numFmtId="164" fontId="2" fillId="5" borderId="6" xfId="2" applyNumberFormat="1" applyFont="1" applyFill="1" applyBorder="1"/>
    <xf numFmtId="164" fontId="2" fillId="5" borderId="0" xfId="2" applyNumberFormat="1" applyFont="1" applyFill="1" applyBorder="1" applyAlignment="1">
      <alignment horizontal="right"/>
    </xf>
    <xf numFmtId="165" fontId="10" fillId="5" borderId="0" xfId="5" applyNumberFormat="1" applyFont="1" applyFill="1" applyBorder="1"/>
    <xf numFmtId="37" fontId="2" fillId="5" borderId="0" xfId="0" applyNumberFormat="1" applyFont="1" applyFill="1"/>
    <xf numFmtId="165" fontId="10" fillId="5" borderId="0" xfId="5" applyNumberFormat="1" applyFont="1" applyFill="1" applyBorder="1" applyAlignment="1">
      <alignment horizontal="right"/>
    </xf>
    <xf numFmtId="166" fontId="2" fillId="5" borderId="0" xfId="2" applyNumberFormat="1" applyFont="1" applyFill="1" applyBorder="1" applyAlignment="1">
      <alignment horizontal="right"/>
    </xf>
    <xf numFmtId="7" fontId="5" fillId="5" borderId="1" xfId="2" applyNumberFormat="1" applyFont="1" applyFill="1" applyBorder="1"/>
    <xf numFmtId="165" fontId="10" fillId="5" borderId="2" xfId="5" applyNumberFormat="1" applyFont="1" applyFill="1" applyBorder="1"/>
    <xf numFmtId="0" fontId="5" fillId="5" borderId="0" xfId="0" applyFont="1" applyFill="1"/>
    <xf numFmtId="5" fontId="5" fillId="5" borderId="0" xfId="2" applyNumberFormat="1" applyFont="1" applyFill="1"/>
    <xf numFmtId="5" fontId="2" fillId="5" borderId="0" xfId="0" applyNumberFormat="1" applyFont="1" applyFill="1"/>
    <xf numFmtId="0" fontId="25" fillId="6" borderId="0" xfId="0" applyFont="1" applyFill="1" applyBorder="1" applyAlignment="1">
      <alignment horizontal="center"/>
    </xf>
    <xf numFmtId="0" fontId="23" fillId="6" borderId="0" xfId="0" applyFont="1" applyFill="1" applyBorder="1"/>
    <xf numFmtId="5" fontId="25" fillId="6" borderId="1" xfId="2" applyNumberFormat="1" applyFont="1" applyFill="1" applyBorder="1"/>
    <xf numFmtId="165" fontId="22" fillId="6" borderId="0" xfId="5" applyNumberFormat="1" applyFont="1" applyFill="1" applyBorder="1"/>
    <xf numFmtId="165" fontId="23" fillId="6" borderId="0" xfId="5" applyNumberFormat="1" applyFont="1" applyFill="1" applyBorder="1"/>
    <xf numFmtId="37" fontId="23" fillId="6" borderId="0" xfId="2" applyNumberFormat="1" applyFont="1" applyFill="1" applyBorder="1"/>
    <xf numFmtId="5" fontId="25" fillId="6" borderId="0" xfId="2" applyNumberFormat="1" applyFont="1" applyFill="1" applyBorder="1"/>
    <xf numFmtId="0" fontId="24" fillId="6" borderId="0" xfId="0" applyFont="1" applyFill="1"/>
    <xf numFmtId="165" fontId="24" fillId="6" borderId="0" xfId="5" applyNumberFormat="1" applyFont="1" applyFill="1"/>
    <xf numFmtId="42" fontId="25" fillId="6" borderId="0" xfId="2" applyNumberFormat="1" applyFont="1" applyFill="1" applyBorder="1"/>
    <xf numFmtId="42" fontId="25" fillId="6" borderId="1" xfId="2" applyNumberFormat="1" applyFont="1" applyFill="1" applyBorder="1"/>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3" fillId="6" borderId="0" xfId="0" applyNumberFormat="1" applyFont="1" applyFill="1" applyBorder="1"/>
    <xf numFmtId="9" fontId="23" fillId="6" borderId="0" xfId="0" applyNumberFormat="1" applyFont="1" applyFill="1" applyBorder="1"/>
    <xf numFmtId="9" fontId="24" fillId="6" borderId="0" xfId="5" applyNumberFormat="1" applyFont="1" applyFill="1"/>
    <xf numFmtId="9" fontId="23" fillId="6" borderId="0" xfId="5" applyNumberFormat="1" applyFont="1" applyFill="1" applyBorder="1"/>
    <xf numFmtId="0" fontId="23" fillId="6" borderId="1" xfId="0" applyFont="1" applyFill="1" applyBorder="1"/>
    <xf numFmtId="9" fontId="23" fillId="6" borderId="0" xfId="5" applyFont="1" applyFill="1" applyBorder="1"/>
    <xf numFmtId="165" fontId="23" fillId="0" borderId="0" xfId="0" applyNumberFormat="1" applyFont="1" applyFill="1" applyBorder="1"/>
    <xf numFmtId="165" fontId="10" fillId="5" borderId="2" xfId="5" applyNumberFormat="1" applyFont="1" applyFill="1" applyBorder="1" applyAlignment="1">
      <alignment horizontal="right"/>
    </xf>
    <xf numFmtId="0" fontId="4" fillId="0" borderId="0" xfId="0" applyFont="1" applyFill="1"/>
    <xf numFmtId="9" fontId="4" fillId="0" borderId="0" xfId="5" applyNumberFormat="1" applyFont="1" applyBorder="1"/>
    <xf numFmtId="165" fontId="4" fillId="0" borderId="0" xfId="5" applyNumberFormat="1" applyFont="1"/>
    <xf numFmtId="43" fontId="24" fillId="0" borderId="0" xfId="2" applyFont="1"/>
    <xf numFmtId="164" fontId="2" fillId="5" borderId="0" xfId="0" applyNumberFormat="1" applyFont="1" applyFill="1"/>
    <xf numFmtId="0" fontId="31" fillId="0" borderId="0" xfId="0" applyFont="1" applyFill="1"/>
    <xf numFmtId="164" fontId="31" fillId="0" borderId="0" xfId="2" applyNumberFormat="1" applyFont="1" applyFill="1"/>
    <xf numFmtId="43" fontId="2" fillId="0" borderId="0" xfId="0" applyNumberFormat="1" applyFont="1" applyFill="1"/>
    <xf numFmtId="16" fontId="5" fillId="5" borderId="0" xfId="0" applyNumberFormat="1" applyFont="1" applyFill="1" applyAlignment="1">
      <alignment horizontal="center" wrapText="1"/>
    </xf>
    <xf numFmtId="0" fontId="5" fillId="5" borderId="0" xfId="0" applyFont="1" applyFill="1" applyBorder="1"/>
    <xf numFmtId="0" fontId="2" fillId="5" borderId="0" xfId="0" applyFont="1" applyFill="1" applyBorder="1"/>
    <xf numFmtId="5" fontId="5" fillId="5" borderId="0" xfId="3" applyNumberFormat="1" applyFont="1" applyFill="1"/>
    <xf numFmtId="37" fontId="2" fillId="5" borderId="0" xfId="3" applyNumberFormat="1" applyFont="1" applyFill="1"/>
    <xf numFmtId="5" fontId="2" fillId="5" borderId="0" xfId="3" applyNumberFormat="1" applyFont="1" applyFill="1"/>
    <xf numFmtId="5" fontId="5" fillId="5" borderId="2" xfId="3" applyNumberFormat="1" applyFont="1" applyFill="1" applyBorder="1"/>
    <xf numFmtId="43" fontId="5" fillId="5" borderId="3" xfId="2" applyFont="1" applyFill="1" applyBorder="1"/>
    <xf numFmtId="5" fontId="5" fillId="5" borderId="1" xfId="3" applyNumberFormat="1" applyFont="1" applyFill="1" applyBorder="1"/>
    <xf numFmtId="5" fontId="2" fillId="5" borderId="0" xfId="0" applyNumberFormat="1" applyFont="1" applyFill="1" applyBorder="1"/>
    <xf numFmtId="37" fontId="5" fillId="5" borderId="3" xfId="3" applyNumberFormat="1" applyFont="1" applyFill="1" applyBorder="1"/>
    <xf numFmtId="5" fontId="4" fillId="5" borderId="0" xfId="0" applyNumberFormat="1" applyFont="1" applyFill="1" applyBorder="1"/>
    <xf numFmtId="9" fontId="4" fillId="0" borderId="0" xfId="5" applyFont="1" applyBorder="1"/>
    <xf numFmtId="165" fontId="2" fillId="0" borderId="0" xfId="5" applyNumberFormat="1" applyFont="1" applyBorder="1"/>
    <xf numFmtId="7" fontId="5" fillId="2" borderId="1" xfId="2" applyNumberFormat="1" applyFont="1" applyFill="1" applyBorder="1" applyAlignment="1">
      <alignment horizontal="right"/>
    </xf>
    <xf numFmtId="5" fontId="24"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32" fillId="0" borderId="0" xfId="0" applyFont="1" applyBorder="1"/>
    <xf numFmtId="5" fontId="2" fillId="7" borderId="0" xfId="0" applyNumberFormat="1" applyFont="1" applyFill="1" applyBorder="1"/>
    <xf numFmtId="0" fontId="5" fillId="0" borderId="0" xfId="0" applyFont="1" applyBorder="1" applyAlignment="1">
      <alignment horizontal="center"/>
    </xf>
    <xf numFmtId="164" fontId="2" fillId="7" borderId="0" xfId="2" applyNumberFormat="1" applyFont="1" applyFill="1" applyBorder="1"/>
    <xf numFmtId="5" fontId="5" fillId="7" borderId="0" xfId="0" applyNumberFormat="1" applyFont="1" applyFill="1" applyBorder="1"/>
    <xf numFmtId="164" fontId="23" fillId="0" borderId="0" xfId="2" applyNumberFormat="1" applyFont="1" applyBorder="1"/>
    <xf numFmtId="164" fontId="24" fillId="0" borderId="0" xfId="2" applyNumberFormat="1" applyFont="1"/>
    <xf numFmtId="9" fontId="34" fillId="0" borderId="0" xfId="5" applyNumberFormat="1" applyFont="1"/>
    <xf numFmtId="9" fontId="34" fillId="0" borderId="0" xfId="5" applyFont="1"/>
    <xf numFmtId="43" fontId="10" fillId="0" borderId="0" xfId="2" applyFont="1"/>
    <xf numFmtId="164" fontId="10" fillId="0" borderId="0" xfId="2" applyNumberFormat="1" applyFont="1"/>
    <xf numFmtId="43" fontId="10" fillId="5" borderId="0" xfId="2" applyFont="1" applyFill="1"/>
    <xf numFmtId="43" fontId="2" fillId="3" borderId="0" xfId="2" applyFont="1" applyFill="1"/>
    <xf numFmtId="164" fontId="4" fillId="3" borderId="0" xfId="2" applyNumberFormat="1" applyFont="1" applyFill="1"/>
    <xf numFmtId="0" fontId="22" fillId="0" borderId="0" xfId="0" applyFont="1" applyBorder="1" applyAlignment="1">
      <alignment horizontal="center" vertical="center"/>
    </xf>
    <xf numFmtId="0" fontId="22" fillId="0" borderId="0" xfId="0" applyFont="1" applyBorder="1" applyAlignment="1">
      <alignment vertical="center"/>
    </xf>
    <xf numFmtId="0" fontId="28" fillId="6" borderId="10" xfId="0" applyFont="1" applyFill="1" applyBorder="1" applyAlignment="1">
      <alignment horizontal="center" vertical="center"/>
    </xf>
    <xf numFmtId="0" fontId="28" fillId="6" borderId="11" xfId="0" applyFont="1" applyFill="1" applyBorder="1" applyAlignment="1">
      <alignment horizontal="center" vertical="center"/>
    </xf>
    <xf numFmtId="0" fontId="24" fillId="0" borderId="0" xfId="0" applyFont="1" applyAlignment="1">
      <alignment vertical="center"/>
    </xf>
    <xf numFmtId="165" fontId="10" fillId="0" borderId="0" xfId="5" applyNumberFormat="1" applyFont="1" applyFill="1" applyBorder="1" applyAlignment="1">
      <alignment horizontal="right"/>
    </xf>
    <xf numFmtId="165" fontId="24" fillId="0" borderId="3" xfId="5" applyNumberFormat="1" applyFont="1" applyBorder="1"/>
    <xf numFmtId="4" fontId="2" fillId="0" borderId="0" xfId="0" applyNumberFormat="1" applyFont="1" applyFill="1"/>
    <xf numFmtId="165" fontId="4" fillId="0" borderId="0" xfId="5" applyNumberFormat="1" applyFont="1" applyFill="1"/>
    <xf numFmtId="165" fontId="2" fillId="0" borderId="0" xfId="5" applyNumberFormat="1" applyFont="1" applyFill="1"/>
    <xf numFmtId="0" fontId="2" fillId="0" borderId="5" xfId="0" applyFont="1" applyBorder="1" applyAlignment="1">
      <alignment horizontal="left" wrapText="1" indent="1"/>
    </xf>
    <xf numFmtId="164" fontId="2" fillId="0" borderId="0" xfId="2" applyNumberFormat="1" applyFont="1" applyBorder="1" applyAlignment="1">
      <alignment horizontal="right" vertical="center"/>
    </xf>
    <xf numFmtId="164" fontId="2" fillId="5" borderId="0" xfId="2" applyNumberFormat="1" applyFont="1" applyFill="1" applyBorder="1" applyAlignment="1">
      <alignment horizontal="right" vertical="center"/>
    </xf>
    <xf numFmtId="164" fontId="2" fillId="5" borderId="0" xfId="2" applyNumberFormat="1" applyFont="1" applyFill="1" applyAlignment="1">
      <alignmen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165" fontId="34" fillId="0" borderId="0" xfId="5" applyNumberFormat="1" applyFont="1" applyFill="1"/>
    <xf numFmtId="0" fontId="2" fillId="0" borderId="0" xfId="0" applyFont="1" applyBorder="1" applyAlignment="1">
      <alignment horizontal="right"/>
    </xf>
    <xf numFmtId="0" fontId="2" fillId="0" borderId="0" xfId="0" applyFont="1" applyAlignment="1">
      <alignment horizontal="right"/>
    </xf>
    <xf numFmtId="37" fontId="2" fillId="0" borderId="0" xfId="0" applyNumberFormat="1"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164" fontId="5" fillId="0" borderId="0" xfId="2" applyNumberFormat="1" applyFont="1" applyAlignment="1">
      <alignment horizontal="center"/>
    </xf>
    <xf numFmtId="164" fontId="36" fillId="0" borderId="0" xfId="2" applyNumberFormat="1" applyFont="1" applyAlignment="1">
      <alignment horizontal="center"/>
    </xf>
    <xf numFmtId="42" fontId="25" fillId="4" borderId="1" xfId="2" applyNumberFormat="1" applyFont="1" applyFill="1" applyBorder="1"/>
    <xf numFmtId="164" fontId="2" fillId="0" borderId="0" xfId="2" applyNumberFormat="1" applyFont="1" applyFill="1" applyBorder="1"/>
    <xf numFmtId="164" fontId="4" fillId="0" borderId="0" xfId="0" applyNumberFormat="1" applyFont="1" applyBorder="1"/>
    <xf numFmtId="164" fontId="4" fillId="0" borderId="0" xfId="0" applyNumberFormat="1" applyFont="1"/>
    <xf numFmtId="2" fontId="2" fillId="0" borderId="0" xfId="0" applyNumberFormat="1" applyFont="1"/>
    <xf numFmtId="164" fontId="5" fillId="0" borderId="2" xfId="3" applyNumberFormat="1" applyFont="1" applyBorder="1" applyAlignment="1">
      <alignment horizontal="right"/>
    </xf>
    <xf numFmtId="5" fontId="23" fillId="0" borderId="0" xfId="0" applyNumberFormat="1" applyFont="1" applyFill="1" applyBorder="1"/>
    <xf numFmtId="43" fontId="4" fillId="0" borderId="0" xfId="0" applyNumberFormat="1" applyFont="1"/>
    <xf numFmtId="0" fontId="35" fillId="0" borderId="12"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xf numFmtId="5" fontId="5" fillId="0" borderId="0" xfId="0" applyNumberFormat="1" applyFont="1" applyFill="1" applyBorder="1"/>
    <xf numFmtId="5" fontId="2" fillId="0" borderId="0" xfId="0" applyNumberFormat="1" applyFont="1" applyFill="1" applyBorder="1"/>
    <xf numFmtId="5" fontId="5" fillId="0" borderId="2" xfId="3" applyNumberFormat="1" applyFont="1" applyFill="1" applyBorder="1" applyAlignment="1">
      <alignment horizontal="right"/>
    </xf>
    <xf numFmtId="43" fontId="5" fillId="0" borderId="3" xfId="2" applyFont="1" applyFill="1" applyBorder="1" applyAlignment="1">
      <alignment horizontal="right"/>
    </xf>
    <xf numFmtId="0" fontId="2" fillId="0" borderId="0" xfId="0" applyFont="1" applyFill="1" applyBorder="1" applyAlignment="1">
      <alignment horizontal="right"/>
    </xf>
    <xf numFmtId="164" fontId="5" fillId="0" borderId="2" xfId="3" applyNumberFormat="1" applyFont="1" applyFill="1" applyBorder="1" applyAlignment="1">
      <alignment horizontal="right"/>
    </xf>
    <xf numFmtId="37" fontId="5" fillId="0" borderId="3" xfId="3" applyNumberFormat="1" applyFont="1" applyFill="1" applyBorder="1" applyAlignment="1">
      <alignment horizontal="right"/>
    </xf>
    <xf numFmtId="0" fontId="2" fillId="0" borderId="0" xfId="0" applyFont="1" applyFill="1" applyAlignment="1">
      <alignment horizontal="right"/>
    </xf>
    <xf numFmtId="5" fontId="5" fillId="0" borderId="0" xfId="3" applyNumberFormat="1" applyFont="1" applyFill="1" applyAlignment="1">
      <alignment horizontal="right"/>
    </xf>
    <xf numFmtId="37" fontId="2" fillId="0" borderId="0" xfId="0" applyNumberFormat="1" applyFont="1" applyFill="1" applyAlignment="1">
      <alignment horizontal="right"/>
    </xf>
    <xf numFmtId="37" fontId="2" fillId="0" borderId="0" xfId="3" applyNumberFormat="1" applyFont="1" applyFill="1" applyAlignment="1">
      <alignment horizontal="right"/>
    </xf>
    <xf numFmtId="43" fontId="2" fillId="0" borderId="0" xfId="2" applyFont="1" applyFill="1" applyAlignment="1">
      <alignment horizontal="right"/>
    </xf>
    <xf numFmtId="42" fontId="25" fillId="0" borderId="0" xfId="2" applyNumberFormat="1" applyFont="1" applyFill="1" applyBorder="1"/>
    <xf numFmtId="37" fontId="23" fillId="0" borderId="0" xfId="2" applyNumberFormat="1" applyFont="1" applyFill="1" applyBorder="1"/>
    <xf numFmtId="0" fontId="24" fillId="0" borderId="0" xfId="0" applyFont="1" applyFill="1"/>
    <xf numFmtId="164" fontId="25" fillId="4" borderId="1" xfId="2" applyNumberFormat="1" applyFont="1" applyFill="1" applyBorder="1"/>
    <xf numFmtId="43" fontId="38" fillId="0" borderId="0" xfId="2" applyFont="1" applyFill="1"/>
    <xf numFmtId="165" fontId="23" fillId="6" borderId="0" xfId="0" applyNumberFormat="1" applyFont="1" applyFill="1" applyBorder="1"/>
    <xf numFmtId="0" fontId="23" fillId="0" borderId="0" xfId="0" applyFont="1" applyFill="1" applyBorder="1"/>
    <xf numFmtId="164" fontId="24" fillId="0" borderId="0" xfId="0" applyNumberFormat="1" applyFont="1"/>
    <xf numFmtId="7" fontId="24" fillId="0" borderId="0" xfId="0" applyNumberFormat="1" applyFont="1"/>
    <xf numFmtId="168" fontId="24" fillId="0" borderId="0" xfId="0" applyNumberFormat="1" applyFont="1"/>
    <xf numFmtId="165" fontId="5" fillId="0" borderId="0" xfId="5" applyNumberFormat="1" applyFont="1"/>
    <xf numFmtId="37" fontId="2" fillId="0" borderId="0" xfId="2" applyNumberFormat="1" applyFont="1" applyFill="1"/>
    <xf numFmtId="0" fontId="10" fillId="0" borderId="5" xfId="0" applyFont="1" applyFill="1" applyBorder="1" applyAlignment="1">
      <alignment horizontal="left" indent="2"/>
    </xf>
    <xf numFmtId="43" fontId="5" fillId="4" borderId="1" xfId="2" applyFont="1" applyFill="1" applyBorder="1" applyAlignment="1">
      <alignment horizontal="center"/>
    </xf>
    <xf numFmtId="2" fontId="4" fillId="0" borderId="0" xfId="0" applyNumberFormat="1" applyFont="1"/>
    <xf numFmtId="9" fontId="24" fillId="0" borderId="0" xfId="5" applyNumberFormat="1" applyFont="1" applyFill="1"/>
    <xf numFmtId="9" fontId="24" fillId="0" borderId="0" xfId="5" applyFont="1" applyFill="1"/>
    <xf numFmtId="164" fontId="2" fillId="5" borderId="0" xfId="2" applyNumberFormat="1" applyFont="1" applyFill="1" applyBorder="1"/>
    <xf numFmtId="9" fontId="2" fillId="0" borderId="0" xfId="5" applyNumberFormat="1" applyFont="1" applyFill="1" applyBorder="1"/>
    <xf numFmtId="0" fontId="24" fillId="0" borderId="0" xfId="0" applyFont="1" applyFill="1" applyBorder="1"/>
    <xf numFmtId="0" fontId="24" fillId="0" borderId="0" xfId="0" applyFont="1" applyFill="1" applyBorder="1" applyAlignment="1">
      <alignment vertical="center"/>
    </xf>
    <xf numFmtId="164" fontId="24" fillId="0" borderId="0" xfId="2" applyNumberFormat="1" applyFont="1" applyFill="1" applyBorder="1"/>
    <xf numFmtId="165" fontId="24" fillId="0" borderId="0" xfId="5" applyNumberFormat="1" applyFont="1" applyFill="1" applyBorder="1"/>
    <xf numFmtId="164" fontId="25" fillId="0" borderId="0" xfId="2" applyNumberFormat="1" applyFont="1" applyFill="1" applyBorder="1"/>
    <xf numFmtId="0" fontId="25"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35" fillId="0" borderId="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8" fillId="0" borderId="0" xfId="0" applyFont="1" applyAlignment="1">
      <alignment horizontal="left" vertical="center"/>
    </xf>
  </cellXfs>
  <cellStyles count="8">
    <cellStyle name="%" xfId="1"/>
    <cellStyle name="Comma" xfId="2" builtinId="3"/>
    <cellStyle name="Comma 2" xfId="3"/>
    <cellStyle name="Hyperlink" xfId="4" builtinId="8"/>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2</xdr:row>
      <xdr:rowOff>28575</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952500</xdr:colOff>
      <xdr:row>2</xdr:row>
      <xdr:rowOff>66675</xdr:rowOff>
    </xdr:to>
    <xdr:pic>
      <xdr:nvPicPr>
        <xdr:cNvPr id="2069"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9144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1</xdr:row>
      <xdr:rowOff>466725</xdr:rowOff>
    </xdr:to>
    <xdr:pic>
      <xdr:nvPicPr>
        <xdr:cNvPr id="3077"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876300</xdr:colOff>
      <xdr:row>2</xdr:row>
      <xdr:rowOff>323850</xdr:rowOff>
    </xdr:to>
    <xdr:pic>
      <xdr:nvPicPr>
        <xdr:cNvPr id="4101"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857250" cy="628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1057275</xdr:colOff>
      <xdr:row>2</xdr:row>
      <xdr:rowOff>69850</xdr:rowOff>
    </xdr:to>
    <xdr:pic>
      <xdr:nvPicPr>
        <xdr:cNvPr id="3"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twoCellAnchor editAs="oneCell">
    <xdr:from>
      <xdr:col>0</xdr:col>
      <xdr:colOff>28575</xdr:colOff>
      <xdr:row>0</xdr:row>
      <xdr:rowOff>19050</xdr:rowOff>
    </xdr:from>
    <xdr:to>
      <xdr:col>1</xdr:col>
      <xdr:colOff>1181100</xdr:colOff>
      <xdr:row>2</xdr:row>
      <xdr:rowOff>69850</xdr:rowOff>
    </xdr:to>
    <xdr:pic>
      <xdr:nvPicPr>
        <xdr:cNvPr id="4"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733425</xdr:colOff>
      <xdr:row>3</xdr:row>
      <xdr:rowOff>38100</xdr:rowOff>
    </xdr:to>
    <xdr:pic>
      <xdr:nvPicPr>
        <xdr:cNvPr id="5125"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
  <sheetViews>
    <sheetView showGridLines="0" zoomScale="80" zoomScaleNormal="80" workbookViewId="0">
      <selection activeCell="P8" sqref="P8"/>
    </sheetView>
  </sheetViews>
  <sheetFormatPr defaultColWidth="9.140625" defaultRowHeight="12.75" x14ac:dyDescent="0.2"/>
  <cols>
    <col min="1" max="1" width="9.140625" style="5"/>
    <col min="2" max="2" width="36.42578125" style="5" customWidth="1"/>
    <col min="3" max="16384" width="9.140625" style="5"/>
  </cols>
  <sheetData>
    <row r="1" spans="1:10" s="56" customFormat="1" x14ac:dyDescent="0.2"/>
    <row r="2" spans="1:10" ht="34.5" customHeight="1" x14ac:dyDescent="0.2"/>
    <row r="3" spans="1:10" ht="34.5" customHeight="1" x14ac:dyDescent="0.2"/>
    <row r="4" spans="1:10" ht="15.75" x14ac:dyDescent="0.25">
      <c r="A4" s="88">
        <v>1</v>
      </c>
      <c r="B4" s="150" t="s">
        <v>14</v>
      </c>
    </row>
    <row r="5" spans="1:10" ht="15.75" x14ac:dyDescent="0.25">
      <c r="A5" s="88">
        <v>2</v>
      </c>
      <c r="B5" s="150" t="s">
        <v>15</v>
      </c>
    </row>
    <row r="6" spans="1:10" ht="15.75" x14ac:dyDescent="0.25">
      <c r="A6" s="88">
        <v>3</v>
      </c>
      <c r="B6" s="150" t="s">
        <v>51</v>
      </c>
    </row>
    <row r="7" spans="1:10" ht="15.75" x14ac:dyDescent="0.25">
      <c r="A7" s="88">
        <v>4</v>
      </c>
      <c r="B7" s="150" t="s">
        <v>171</v>
      </c>
    </row>
    <row r="8" spans="1:10" ht="15.75" x14ac:dyDescent="0.25">
      <c r="A8" s="88">
        <v>5</v>
      </c>
      <c r="B8" s="150" t="s">
        <v>59</v>
      </c>
    </row>
    <row r="9" spans="1:10" s="41" customFormat="1" x14ac:dyDescent="0.2">
      <c r="A9" s="39"/>
      <c r="C9" s="39"/>
      <c r="D9" s="39"/>
      <c r="E9" s="39"/>
      <c r="F9" s="39"/>
      <c r="G9" s="39"/>
      <c r="H9" s="39"/>
      <c r="I9" s="39"/>
      <c r="J9" s="39"/>
    </row>
    <row r="10" spans="1:10" x14ac:dyDescent="0.2">
      <c r="A10" s="39"/>
      <c r="B10" s="40"/>
      <c r="C10" s="39"/>
      <c r="D10" s="39"/>
      <c r="E10" s="39"/>
      <c r="F10" s="39"/>
      <c r="G10" s="39"/>
      <c r="H10" s="39"/>
      <c r="I10" s="39"/>
      <c r="J10" s="39"/>
    </row>
    <row r="11" spans="1:10" x14ac:dyDescent="0.2">
      <c r="A11" s="39"/>
      <c r="B11" s="40"/>
      <c r="C11" s="39"/>
      <c r="D11" s="39"/>
      <c r="E11" s="39"/>
      <c r="F11" s="39"/>
      <c r="G11" s="39"/>
      <c r="H11" s="39"/>
      <c r="I11" s="39"/>
      <c r="J11" s="39"/>
    </row>
    <row r="12" spans="1:10" x14ac:dyDescent="0.2">
      <c r="A12" s="39"/>
      <c r="B12" s="40"/>
      <c r="C12" s="39"/>
      <c r="D12" s="39"/>
      <c r="E12" s="39"/>
      <c r="F12" s="39"/>
      <c r="G12" s="39"/>
      <c r="H12" s="39"/>
      <c r="I12" s="39"/>
      <c r="J12" s="39"/>
    </row>
    <row r="13" spans="1:10" x14ac:dyDescent="0.2">
      <c r="A13" s="39"/>
      <c r="B13" s="40"/>
      <c r="C13" s="39"/>
      <c r="D13" s="39"/>
      <c r="E13" s="39"/>
      <c r="F13" s="39"/>
      <c r="G13" s="39"/>
      <c r="H13" s="39"/>
      <c r="I13" s="39"/>
      <c r="J13" s="3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x14ac:dyDescent="0.2">
      <c r="A16" s="39"/>
      <c r="B16" s="39"/>
      <c r="C16" s="39"/>
      <c r="D16" s="39"/>
      <c r="E16" s="39"/>
      <c r="F16" s="39"/>
      <c r="G16" s="39"/>
      <c r="H16" s="39"/>
      <c r="I16" s="39"/>
      <c r="J16" s="39"/>
    </row>
    <row r="17" spans="1:10" x14ac:dyDescent="0.2">
      <c r="A17" s="41"/>
      <c r="B17" s="41"/>
      <c r="C17" s="41"/>
      <c r="D17" s="41"/>
      <c r="E17" s="41"/>
      <c r="F17" s="41"/>
      <c r="G17" s="41"/>
      <c r="H17" s="41"/>
      <c r="I17" s="41"/>
      <c r="J17" s="41"/>
    </row>
    <row r="18" spans="1:10" x14ac:dyDescent="0.2">
      <c r="A18" s="41"/>
      <c r="B18" s="41"/>
      <c r="C18" s="41"/>
      <c r="D18" s="41"/>
      <c r="E18" s="41"/>
      <c r="F18" s="41"/>
      <c r="G18" s="41"/>
      <c r="H18" s="41"/>
      <c r="I18" s="41"/>
      <c r="J18" s="41"/>
    </row>
  </sheetData>
  <hyperlinks>
    <hyperlink ref="B4" location="'Income Statement'!A1" display="Income Statement"/>
    <hyperlink ref="B5" location="'Balance Sheet'!A1" display="Balance Sheet"/>
    <hyperlink ref="B6" location="Cashflow!A1" display="Cashflow Statement"/>
    <hyperlink ref="B8" location="'Other Metrics'!A1" display="Other metrics"/>
    <hyperlink ref="B7" location="'Revenues and Margins'!A1" display="Revenues and Margins"/>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124"/>
  <sheetViews>
    <sheetView showGridLines="0" zoomScale="90" zoomScaleNormal="90" zoomScaleSheetLayoutView="90" workbookViewId="0">
      <pane xSplit="1" ySplit="5" topLeftCell="M30" activePane="bottomRight" state="frozen"/>
      <selection activeCell="W48" sqref="W48"/>
      <selection pane="topRight" activeCell="W48" sqref="W48"/>
      <selection pane="bottomLeft" activeCell="W48" sqref="W48"/>
      <selection pane="bottomRight" activeCell="S51" sqref="S51"/>
    </sheetView>
  </sheetViews>
  <sheetFormatPr defaultColWidth="9.140625" defaultRowHeight="12.75" outlineLevelRow="1" outlineLevelCol="1" x14ac:dyDescent="0.2"/>
  <cols>
    <col min="1" max="1" width="65.140625" style="24" customWidth="1"/>
    <col min="2" max="2" width="11.140625" style="24" hidden="1" customWidth="1" outlineLevel="1"/>
    <col min="3" max="3" width="10.140625" style="24" hidden="1" customWidth="1" outlineLevel="1"/>
    <col min="4" max="4" width="11.42578125" style="24" hidden="1" customWidth="1" outlineLevel="1"/>
    <col min="5" max="5" width="12.85546875" style="24" hidden="1" customWidth="1" outlineLevel="1"/>
    <col min="6" max="6" width="11.42578125" style="24" customWidth="1" collapsed="1"/>
    <col min="7" max="7" width="11.42578125" style="24" customWidth="1" outlineLevel="1"/>
    <col min="8" max="10" width="12.140625" style="24" customWidth="1" outlineLevel="1"/>
    <col min="11" max="19" width="12.140625" style="24" customWidth="1"/>
    <col min="20" max="20" width="10.42578125" style="24" customWidth="1"/>
    <col min="21" max="21" width="9.140625" style="28" customWidth="1"/>
    <col min="22" max="16384" width="9.140625" style="24"/>
  </cols>
  <sheetData>
    <row r="1" spans="1:54" x14ac:dyDescent="0.2">
      <c r="A1" s="94"/>
    </row>
    <row r="2" spans="1:54" ht="30.75" customHeight="1" x14ac:dyDescent="0.2">
      <c r="A2" s="113"/>
      <c r="B2" s="31"/>
    </row>
    <row r="3" spans="1:54" x14ac:dyDescent="0.2">
      <c r="A3" s="94"/>
    </row>
    <row r="4" spans="1:54" s="4" customFormat="1" x14ac:dyDescent="0.2">
      <c r="A4" s="114" t="s">
        <v>14</v>
      </c>
      <c r="B4" s="211">
        <v>2017</v>
      </c>
      <c r="C4" s="211">
        <v>2017</v>
      </c>
      <c r="D4" s="211">
        <v>2017</v>
      </c>
      <c r="E4" s="211">
        <v>2017</v>
      </c>
      <c r="F4" s="211">
        <v>2017</v>
      </c>
      <c r="G4" s="211">
        <v>2018</v>
      </c>
      <c r="H4" s="158">
        <v>2018</v>
      </c>
      <c r="I4" s="158">
        <v>2018</v>
      </c>
      <c r="J4" s="158">
        <v>2018</v>
      </c>
      <c r="K4" s="158">
        <v>2018</v>
      </c>
      <c r="L4" s="158">
        <v>2019</v>
      </c>
      <c r="M4" s="158">
        <v>2019</v>
      </c>
      <c r="N4" s="158">
        <v>2019</v>
      </c>
      <c r="O4" s="158">
        <v>2019</v>
      </c>
      <c r="P4" s="158">
        <v>2019</v>
      </c>
      <c r="Q4" s="158">
        <v>2020</v>
      </c>
      <c r="R4" s="158">
        <v>2020</v>
      </c>
      <c r="S4" s="158">
        <v>2020</v>
      </c>
      <c r="T4" s="158"/>
      <c r="U4" s="324"/>
    </row>
    <row r="5" spans="1:54" s="4" customFormat="1" ht="14.25" x14ac:dyDescent="0.2">
      <c r="A5" s="114" t="s">
        <v>72</v>
      </c>
      <c r="B5" s="211" t="s">
        <v>252</v>
      </c>
      <c r="C5" s="211" t="s">
        <v>253</v>
      </c>
      <c r="D5" s="211" t="s">
        <v>254</v>
      </c>
      <c r="E5" s="211" t="s">
        <v>255</v>
      </c>
      <c r="F5" s="211" t="s">
        <v>256</v>
      </c>
      <c r="G5" s="211" t="s">
        <v>203</v>
      </c>
      <c r="H5" s="158" t="s">
        <v>10</v>
      </c>
      <c r="I5" s="158" t="s">
        <v>11</v>
      </c>
      <c r="J5" s="158" t="s">
        <v>12</v>
      </c>
      <c r="K5" s="158" t="s">
        <v>13</v>
      </c>
      <c r="L5" s="158" t="s">
        <v>9</v>
      </c>
      <c r="M5" s="158" t="s">
        <v>10</v>
      </c>
      <c r="N5" s="158" t="s">
        <v>11</v>
      </c>
      <c r="O5" s="158" t="s">
        <v>12</v>
      </c>
      <c r="P5" s="158" t="s">
        <v>13</v>
      </c>
      <c r="Q5" s="158" t="s">
        <v>9</v>
      </c>
      <c r="R5" s="158" t="s">
        <v>10</v>
      </c>
      <c r="S5" s="158" t="s">
        <v>11</v>
      </c>
      <c r="T5" s="158"/>
      <c r="U5" s="323"/>
    </row>
    <row r="6" spans="1:54" ht="6" customHeight="1" x14ac:dyDescent="0.2">
      <c r="A6" s="94"/>
      <c r="B6" s="212"/>
      <c r="C6" s="212"/>
      <c r="D6" s="212"/>
      <c r="E6" s="212"/>
      <c r="F6" s="212"/>
      <c r="G6" s="212"/>
    </row>
    <row r="7" spans="1:54" ht="6" customHeight="1" x14ac:dyDescent="0.2">
      <c r="A7" s="94"/>
      <c r="B7" s="212"/>
      <c r="C7" s="212"/>
      <c r="D7" s="212"/>
      <c r="E7" s="212"/>
      <c r="F7" s="212"/>
      <c r="G7" s="212"/>
    </row>
    <row r="8" spans="1:54" s="27" customFormat="1" x14ac:dyDescent="0.2">
      <c r="A8" s="59" t="s">
        <v>1</v>
      </c>
      <c r="B8" s="213">
        <v>183033</v>
      </c>
      <c r="C8" s="213">
        <v>189057</v>
      </c>
      <c r="D8" s="218">
        <v>192345</v>
      </c>
      <c r="E8" s="218">
        <f>+F8-SUM(B8,C8,D8)</f>
        <v>197875</v>
      </c>
      <c r="F8" s="218">
        <v>762310</v>
      </c>
      <c r="G8" s="218">
        <v>206973</v>
      </c>
      <c r="H8" s="42">
        <v>210112</v>
      </c>
      <c r="I8" s="42">
        <v>231124</v>
      </c>
      <c r="J8" s="42">
        <f>+K8-SUM(G8:I8)</f>
        <v>234903</v>
      </c>
      <c r="K8" s="42">
        <v>883112</v>
      </c>
      <c r="L8" s="42">
        <v>239573</v>
      </c>
      <c r="M8" s="42">
        <v>243509</v>
      </c>
      <c r="N8" s="42">
        <v>251392</v>
      </c>
      <c r="O8" s="42">
        <f>+P8-SUM(L8:N8)</f>
        <v>256872</v>
      </c>
      <c r="P8" s="42">
        <v>991346</v>
      </c>
      <c r="Q8" s="42">
        <v>245990</v>
      </c>
      <c r="R8" s="42">
        <v>222473</v>
      </c>
      <c r="S8" s="42">
        <v>241018</v>
      </c>
      <c r="T8" s="358"/>
      <c r="U8" s="26"/>
    </row>
    <row r="9" spans="1:54" s="27" customFormat="1" x14ac:dyDescent="0.2">
      <c r="A9" s="60" t="s">
        <v>131</v>
      </c>
      <c r="B9" s="214">
        <v>3.2486433430734429E-2</v>
      </c>
      <c r="C9" s="214">
        <v>3.2912097818426078E-2</v>
      </c>
      <c r="D9" s="214">
        <v>1.7391580317047239E-2</v>
      </c>
      <c r="E9" s="214">
        <v>2.8750422418050814E-2</v>
      </c>
      <c r="F9" s="221" t="s">
        <v>83</v>
      </c>
      <c r="G9" s="214">
        <f>G8/E8-1</f>
        <v>4.5978521794061811E-2</v>
      </c>
      <c r="H9" s="35">
        <f>H8/G8-1</f>
        <v>1.5166229411565757E-2</v>
      </c>
      <c r="I9" s="35">
        <f>I8/H8-1</f>
        <v>0.10000380749314641</v>
      </c>
      <c r="J9" s="35">
        <f>J8/I8-1</f>
        <v>1.6350530451186396E-2</v>
      </c>
      <c r="K9" s="35" t="s">
        <v>83</v>
      </c>
      <c r="L9" s="146">
        <f>L8/J8-1</f>
        <v>1.9880546438317159E-2</v>
      </c>
      <c r="M9" s="146">
        <f>M8/L8-1</f>
        <v>1.642923033897814E-2</v>
      </c>
      <c r="N9" s="146">
        <f>N8/M8-1</f>
        <v>3.2372520112192937E-2</v>
      </c>
      <c r="O9" s="146">
        <f>O8/N8-1</f>
        <v>2.1798625254582538E-2</v>
      </c>
      <c r="P9" s="35" t="s">
        <v>83</v>
      </c>
      <c r="Q9" s="146">
        <f>Q8/O8-1</f>
        <v>-4.2363511787972263E-2</v>
      </c>
      <c r="R9" s="146">
        <f>R8/Q8-1</f>
        <v>-9.5601447213301327E-2</v>
      </c>
      <c r="S9" s="146">
        <f>S8/R8-1</f>
        <v>8.3358430011731821E-2</v>
      </c>
      <c r="U9" s="26"/>
    </row>
    <row r="10" spans="1:54" s="27" customFormat="1" x14ac:dyDescent="0.2">
      <c r="A10" s="60" t="s">
        <v>132</v>
      </c>
      <c r="B10" s="214">
        <v>9.5769774180416212E-2</v>
      </c>
      <c r="C10" s="214">
        <v>0.10898180410375535</v>
      </c>
      <c r="D10" s="214">
        <v>0.12351051401869162</v>
      </c>
      <c r="E10" s="214">
        <v>0.11620993490303144</v>
      </c>
      <c r="F10" s="214">
        <v>0.11125850597969644</v>
      </c>
      <c r="G10" s="214">
        <f t="shared" ref="G10:R10" si="0">G8/B8-1</f>
        <v>0.13079608595171366</v>
      </c>
      <c r="H10" s="34">
        <f t="shared" si="0"/>
        <v>0.11136852906795314</v>
      </c>
      <c r="I10" s="34">
        <f t="shared" si="0"/>
        <v>0.20161168733265744</v>
      </c>
      <c r="J10" s="34">
        <f t="shared" si="0"/>
        <v>0.18712823752368912</v>
      </c>
      <c r="K10" s="34">
        <f t="shared" si="0"/>
        <v>0.15846833965184759</v>
      </c>
      <c r="L10" s="34">
        <f t="shared" si="0"/>
        <v>0.15750846728800383</v>
      </c>
      <c r="M10" s="34">
        <f t="shared" si="0"/>
        <v>0.15894856076759067</v>
      </c>
      <c r="N10" s="34">
        <f t="shared" si="0"/>
        <v>8.7693186341530893E-2</v>
      </c>
      <c r="O10" s="34">
        <f t="shared" si="0"/>
        <v>9.3523709786592857E-2</v>
      </c>
      <c r="P10" s="34">
        <f t="shared" si="0"/>
        <v>0.12255976591870565</v>
      </c>
      <c r="Q10" s="34">
        <f t="shared" si="0"/>
        <v>2.6785155255391935E-2</v>
      </c>
      <c r="R10" s="34">
        <f t="shared" si="0"/>
        <v>-8.6386950790319883E-2</v>
      </c>
      <c r="S10" s="34">
        <f>S8/N8-1</f>
        <v>-4.1266229633401208E-2</v>
      </c>
      <c r="U10" s="26"/>
    </row>
    <row r="11" spans="1:54" s="27" customFormat="1" ht="6" customHeight="1" x14ac:dyDescent="0.2">
      <c r="A11" s="60"/>
      <c r="B11" s="214"/>
      <c r="C11" s="235"/>
      <c r="D11" s="235"/>
      <c r="E11" s="235"/>
      <c r="F11" s="235"/>
      <c r="G11" s="235"/>
      <c r="U11" s="26"/>
    </row>
    <row r="12" spans="1:54" x14ac:dyDescent="0.2">
      <c r="A12" s="61" t="s">
        <v>92</v>
      </c>
      <c r="B12" s="215">
        <v>-119072</v>
      </c>
      <c r="C12" s="215">
        <v>-123734</v>
      </c>
      <c r="D12" s="215">
        <v>-123077</v>
      </c>
      <c r="E12" s="215">
        <v>-129259</v>
      </c>
      <c r="F12" s="215">
        <v>-495142</v>
      </c>
      <c r="G12" s="215">
        <v>-138101</v>
      </c>
      <c r="H12" s="189">
        <v>-139649</v>
      </c>
      <c r="I12" s="189">
        <v>-152157</v>
      </c>
      <c r="J12" s="189">
        <f>+K12-SUM(G12:I12)</f>
        <v>-154948</v>
      </c>
      <c r="K12" s="189">
        <v>-584855</v>
      </c>
      <c r="L12" s="189">
        <v>-157240</v>
      </c>
      <c r="M12" s="189">
        <v>-162446</v>
      </c>
      <c r="N12" s="189">
        <v>-167542</v>
      </c>
      <c r="O12" s="189">
        <f>+P12-SUM(L12:N12)</f>
        <v>-168262</v>
      </c>
      <c r="P12" s="189">
        <v>-655490</v>
      </c>
      <c r="Q12" s="189">
        <v>-162656</v>
      </c>
      <c r="R12" s="189">
        <v>-158401</v>
      </c>
      <c r="S12" s="189">
        <v>-152087</v>
      </c>
      <c r="AL12" s="27"/>
      <c r="AM12" s="27"/>
      <c r="AN12" s="27"/>
      <c r="AO12" s="27"/>
      <c r="AP12" s="27"/>
      <c r="AQ12" s="27"/>
      <c r="AR12" s="27"/>
      <c r="AS12" s="27"/>
      <c r="AT12" s="27"/>
      <c r="AU12" s="27"/>
      <c r="AV12" s="27"/>
      <c r="AW12" s="27"/>
      <c r="AX12" s="27"/>
      <c r="AY12" s="27"/>
      <c r="AZ12" s="27"/>
      <c r="BA12" s="27"/>
      <c r="BB12" s="27"/>
    </row>
    <row r="13" spans="1:54" s="27" customFormat="1" x14ac:dyDescent="0.2">
      <c r="A13" s="62" t="s">
        <v>2</v>
      </c>
      <c r="B13" s="217">
        <f t="shared" ref="B13:D13" si="1">B8+B12</f>
        <v>63961</v>
      </c>
      <c r="C13" s="217">
        <f t="shared" ref="C13" si="2">C8+C12</f>
        <v>65323</v>
      </c>
      <c r="D13" s="236">
        <f t="shared" si="1"/>
        <v>69268</v>
      </c>
      <c r="E13" s="236">
        <f t="shared" ref="E13" si="3">E8+E12</f>
        <v>68616</v>
      </c>
      <c r="F13" s="236">
        <f t="shared" ref="F13" si="4">F8+F12</f>
        <v>267168</v>
      </c>
      <c r="G13" s="236">
        <f t="shared" ref="G13:H13" si="5">G8+G12</f>
        <v>68872</v>
      </c>
      <c r="H13" s="145">
        <f t="shared" si="5"/>
        <v>70463</v>
      </c>
      <c r="I13" s="145">
        <f t="shared" ref="I13:J13" si="6">I8+I12</f>
        <v>78967</v>
      </c>
      <c r="J13" s="145">
        <f t="shared" si="6"/>
        <v>79955</v>
      </c>
      <c r="K13" s="145">
        <f t="shared" ref="K13:M13" si="7">K8+K12</f>
        <v>298257</v>
      </c>
      <c r="L13" s="145">
        <f t="shared" si="7"/>
        <v>82333</v>
      </c>
      <c r="M13" s="145">
        <f t="shared" si="7"/>
        <v>81063</v>
      </c>
      <c r="N13" s="145">
        <f t="shared" ref="N13:S13" si="8">N8+N12</f>
        <v>83850</v>
      </c>
      <c r="O13" s="145">
        <f t="shared" si="8"/>
        <v>88610</v>
      </c>
      <c r="P13" s="145">
        <f t="shared" si="8"/>
        <v>335856</v>
      </c>
      <c r="Q13" s="145">
        <f t="shared" si="8"/>
        <v>83334</v>
      </c>
      <c r="R13" s="145">
        <f t="shared" ref="R13" si="9">R8+R12</f>
        <v>64072</v>
      </c>
      <c r="S13" s="145">
        <f t="shared" si="8"/>
        <v>88931</v>
      </c>
      <c r="U13" s="28"/>
    </row>
    <row r="14" spans="1:54" x14ac:dyDescent="0.2">
      <c r="A14" s="60" t="s">
        <v>67</v>
      </c>
      <c r="B14" s="214">
        <f t="shared" ref="B14:D14" si="10">B13/B8</f>
        <v>0.34945064551201149</v>
      </c>
      <c r="C14" s="214">
        <f t="shared" si="10"/>
        <v>0.34552013413943944</v>
      </c>
      <c r="D14" s="214">
        <f t="shared" si="10"/>
        <v>0.36012373599521691</v>
      </c>
      <c r="E14" s="214">
        <f t="shared" ref="E14" si="11">E13/E8</f>
        <v>0.34676437144662037</v>
      </c>
      <c r="F14" s="214">
        <f t="shared" ref="F14" si="12">F13/F8</f>
        <v>0.35047159292151486</v>
      </c>
      <c r="G14" s="214">
        <f t="shared" ref="G14:H14" si="13">G13/G8</f>
        <v>0.33275837911225137</v>
      </c>
      <c r="H14" s="146">
        <f t="shared" si="13"/>
        <v>0.33535923697837344</v>
      </c>
      <c r="I14" s="146">
        <f t="shared" ref="I14:J14" si="14">I13/I8</f>
        <v>0.34166508021668024</v>
      </c>
      <c r="J14" s="146">
        <f t="shared" si="14"/>
        <v>0.34037453757508418</v>
      </c>
      <c r="K14" s="146">
        <f t="shared" ref="K14:M14" si="15">K13/K8</f>
        <v>0.33773405864714784</v>
      </c>
      <c r="L14" s="146">
        <f t="shared" si="15"/>
        <v>0.34366560505566152</v>
      </c>
      <c r="M14" s="146">
        <f t="shared" si="15"/>
        <v>0.33289529339777996</v>
      </c>
      <c r="N14" s="146">
        <f t="shared" ref="N14" si="16">N13/N8</f>
        <v>0.33354283350305497</v>
      </c>
      <c r="O14" s="146">
        <f>O13/O8</f>
        <v>0.34495779999377124</v>
      </c>
      <c r="P14" s="146">
        <f>P13/P8</f>
        <v>0.33878787022896145</v>
      </c>
      <c r="Q14" s="146">
        <f>Q13/Q8</f>
        <v>0.33876986869384934</v>
      </c>
      <c r="R14" s="146">
        <f>R13/R8</f>
        <v>0.28799899313624577</v>
      </c>
      <c r="S14" s="146">
        <f>S13/S8</f>
        <v>0.36898074002771575</v>
      </c>
      <c r="AL14" s="27"/>
      <c r="AM14" s="27"/>
      <c r="AN14" s="27"/>
      <c r="AO14" s="27"/>
      <c r="AP14" s="27"/>
      <c r="AQ14" s="27"/>
      <c r="AR14" s="27"/>
      <c r="AS14" s="27"/>
      <c r="AT14" s="27"/>
      <c r="AU14" s="27"/>
      <c r="AV14" s="27"/>
      <c r="AW14" s="27"/>
      <c r="AX14" s="27"/>
      <c r="AY14" s="27"/>
      <c r="AZ14" s="27"/>
      <c r="BA14" s="27"/>
      <c r="BB14" s="27"/>
    </row>
    <row r="15" spans="1:54" ht="6" customHeight="1" x14ac:dyDescent="0.2">
      <c r="A15" s="60"/>
      <c r="B15" s="214"/>
      <c r="C15" s="212"/>
      <c r="D15" s="212"/>
      <c r="E15" s="212"/>
      <c r="F15" s="212"/>
      <c r="G15" s="212"/>
      <c r="AL15" s="27"/>
      <c r="AM15" s="27"/>
      <c r="AN15" s="27"/>
      <c r="AO15" s="27"/>
      <c r="AP15" s="27"/>
      <c r="AQ15" s="27"/>
      <c r="AR15" s="27"/>
      <c r="AS15" s="27"/>
      <c r="AT15" s="27"/>
      <c r="AU15" s="27"/>
      <c r="AV15" s="27"/>
      <c r="AW15" s="27"/>
      <c r="AX15" s="27"/>
      <c r="AY15" s="27"/>
      <c r="AZ15" s="27"/>
      <c r="BA15" s="27"/>
      <c r="BB15" s="27"/>
    </row>
    <row r="16" spans="1:54" x14ac:dyDescent="0.2">
      <c r="A16" s="62" t="s">
        <v>63</v>
      </c>
      <c r="B16" s="216"/>
      <c r="C16" s="212"/>
      <c r="D16" s="212"/>
      <c r="E16" s="212"/>
      <c r="F16" s="212"/>
      <c r="G16" s="212"/>
      <c r="AL16" s="27"/>
      <c r="AM16" s="27"/>
      <c r="AN16" s="27"/>
      <c r="AO16" s="27"/>
      <c r="AP16" s="27"/>
      <c r="AQ16" s="27"/>
      <c r="AR16" s="27"/>
      <c r="AS16" s="27"/>
      <c r="AT16" s="27"/>
      <c r="AU16" s="27"/>
      <c r="AV16" s="27"/>
      <c r="AW16" s="27"/>
      <c r="AX16" s="27"/>
      <c r="AY16" s="27"/>
      <c r="AZ16" s="27"/>
      <c r="BA16" s="27"/>
      <c r="BB16" s="27"/>
    </row>
    <row r="17" spans="1:54" x14ac:dyDescent="0.2">
      <c r="A17" s="61" t="s">
        <v>3</v>
      </c>
      <c r="B17" s="215">
        <v>-24037</v>
      </c>
      <c r="C17" s="215">
        <v>-24425</v>
      </c>
      <c r="D17" s="215">
        <v>-26545</v>
      </c>
      <c r="E17" s="215">
        <f>+F17-SUM(B17,C17,D17)</f>
        <v>-27508</v>
      </c>
      <c r="F17" s="215">
        <v>-102515</v>
      </c>
      <c r="G17" s="215">
        <v>-29266</v>
      </c>
      <c r="H17" s="189">
        <f>-27640</f>
        <v>-27640</v>
      </c>
      <c r="I17" s="189">
        <v>-28704</v>
      </c>
      <c r="J17" s="189">
        <f>+K17-SUM(G17:I17)</f>
        <v>-30592</v>
      </c>
      <c r="K17" s="189">
        <v>-116202</v>
      </c>
      <c r="L17" s="189">
        <v>-32531</v>
      </c>
      <c r="M17" s="189">
        <v>-31228</v>
      </c>
      <c r="N17" s="189">
        <v>-29590</v>
      </c>
      <c r="O17" s="189">
        <f>+P17-SUM(L17:N17)</f>
        <v>-33560</v>
      </c>
      <c r="P17" s="189">
        <v>-126909</v>
      </c>
      <c r="Q17" s="189">
        <v>-28941</v>
      </c>
      <c r="R17" s="189">
        <v>-28750</v>
      </c>
      <c r="S17" s="189">
        <v>-26810</v>
      </c>
      <c r="W17" s="189"/>
      <c r="AL17" s="27"/>
      <c r="AM17" s="27"/>
      <c r="AN17" s="27"/>
      <c r="AO17" s="27"/>
      <c r="AP17" s="27"/>
      <c r="AQ17" s="27"/>
      <c r="AR17" s="27"/>
      <c r="AS17" s="27"/>
      <c r="AT17" s="27"/>
      <c r="AU17" s="27"/>
      <c r="AV17" s="27"/>
      <c r="AW17" s="27"/>
      <c r="AX17" s="27"/>
      <c r="AY17" s="27"/>
      <c r="AZ17" s="27"/>
      <c r="BA17" s="27"/>
      <c r="BB17" s="27"/>
    </row>
    <row r="18" spans="1:54" x14ac:dyDescent="0.2">
      <c r="A18" s="60" t="s">
        <v>133</v>
      </c>
      <c r="B18" s="214">
        <f t="shared" ref="B18:D18" si="17">-B17/B$8</f>
        <v>0.13132604503013118</v>
      </c>
      <c r="C18" s="214">
        <f t="shared" si="17"/>
        <v>0.12919384101091205</v>
      </c>
      <c r="D18" s="214">
        <f t="shared" si="17"/>
        <v>0.13800722659803999</v>
      </c>
      <c r="E18" s="214">
        <f t="shared" ref="E18" si="18">-E17/E$8</f>
        <v>0.1390170562223626</v>
      </c>
      <c r="F18" s="214">
        <f t="shared" ref="F18" si="19">-F17/F$8</f>
        <v>0.13447941126313442</v>
      </c>
      <c r="G18" s="214">
        <f t="shared" ref="G18:H18" si="20">-G17/G$8</f>
        <v>0.14140008600155576</v>
      </c>
      <c r="H18" s="146">
        <f t="shared" si="20"/>
        <v>0.13154888821200122</v>
      </c>
      <c r="I18" s="146">
        <f t="shared" ref="I18:J18" si="21">-I17/I$8</f>
        <v>0.12419307384780465</v>
      </c>
      <c r="J18" s="146">
        <f t="shared" si="21"/>
        <v>0.13023247893811488</v>
      </c>
      <c r="K18" s="146">
        <f t="shared" ref="K18:M18" si="22">-K17/K$8</f>
        <v>0.13158240404388119</v>
      </c>
      <c r="L18" s="146">
        <f t="shared" si="22"/>
        <v>0.13578742178793102</v>
      </c>
      <c r="M18" s="146">
        <f t="shared" si="22"/>
        <v>0.1282416666324448</v>
      </c>
      <c r="N18" s="146">
        <f t="shared" ref="N18:S18" si="23">-N17/N$8</f>
        <v>0.11770462067209776</v>
      </c>
      <c r="O18" s="146">
        <f t="shared" si="23"/>
        <v>0.13064872777102993</v>
      </c>
      <c r="P18" s="146">
        <f t="shared" si="23"/>
        <v>0.12801685788816417</v>
      </c>
      <c r="Q18" s="146">
        <f t="shared" si="23"/>
        <v>0.11765112402943209</v>
      </c>
      <c r="R18" s="146">
        <f t="shared" ref="R18" si="24">-R17/R$8</f>
        <v>0.12922916488742453</v>
      </c>
      <c r="S18" s="146">
        <f t="shared" si="23"/>
        <v>0.11123650515729115</v>
      </c>
      <c r="AL18" s="27"/>
      <c r="AM18" s="27"/>
      <c r="AN18" s="27"/>
      <c r="AO18" s="27"/>
      <c r="AP18" s="27"/>
      <c r="AQ18" s="27"/>
      <c r="AR18" s="27"/>
      <c r="AS18" s="27"/>
      <c r="AT18" s="27"/>
      <c r="AU18" s="27"/>
      <c r="AV18" s="27"/>
      <c r="AW18" s="27"/>
      <c r="AX18" s="27"/>
      <c r="AY18" s="27"/>
      <c r="AZ18" s="27"/>
      <c r="BA18" s="27"/>
      <c r="BB18" s="27"/>
    </row>
    <row r="19" spans="1:54" ht="6" customHeight="1" x14ac:dyDescent="0.2">
      <c r="A19" s="60"/>
      <c r="B19" s="214"/>
      <c r="C19" s="212"/>
      <c r="D19" s="212"/>
      <c r="E19" s="212"/>
      <c r="F19" s="212"/>
      <c r="G19" s="212"/>
      <c r="AL19" s="27"/>
      <c r="AM19" s="27"/>
      <c r="AN19" s="27"/>
      <c r="AO19" s="27"/>
      <c r="AP19" s="27"/>
      <c r="AQ19" s="27"/>
      <c r="AR19" s="27"/>
      <c r="AS19" s="27"/>
      <c r="AT19" s="27"/>
      <c r="AU19" s="27"/>
      <c r="AV19" s="27"/>
      <c r="AW19" s="27"/>
      <c r="AX19" s="27"/>
      <c r="AY19" s="27"/>
      <c r="AZ19" s="27"/>
      <c r="BA19" s="27"/>
      <c r="BB19" s="27"/>
    </row>
    <row r="20" spans="1:54" x14ac:dyDescent="0.2">
      <c r="A20" s="61" t="s">
        <v>4</v>
      </c>
      <c r="B20" s="215">
        <v>-13340</v>
      </c>
      <c r="C20" s="215">
        <v>-13095</v>
      </c>
      <c r="D20" s="215">
        <v>-12196</v>
      </c>
      <c r="E20" s="215">
        <f>+F20-SUM(B20,C20,D20)</f>
        <v>-14748</v>
      </c>
      <c r="F20" s="215">
        <v>-53379</v>
      </c>
      <c r="G20" s="215">
        <v>-13952</v>
      </c>
      <c r="H20" s="189">
        <v>-15151</v>
      </c>
      <c r="I20" s="189">
        <v>-16490</v>
      </c>
      <c r="J20" s="189">
        <f>+K20-SUM(G20:I20)</f>
        <v>-18019</v>
      </c>
      <c r="K20" s="189">
        <v>-63612</v>
      </c>
      <c r="L20" s="189">
        <v>-18047</v>
      </c>
      <c r="M20" s="189">
        <v>-17647</v>
      </c>
      <c r="N20" s="189">
        <v>-18302</v>
      </c>
      <c r="O20" s="189">
        <f>+P20-SUM(L20:N20)</f>
        <v>-17846</v>
      </c>
      <c r="P20" s="189">
        <v>-71842</v>
      </c>
      <c r="Q20" s="189">
        <v>-14456</v>
      </c>
      <c r="R20" s="189">
        <v>-13051</v>
      </c>
      <c r="S20" s="189">
        <v>-15290</v>
      </c>
      <c r="AL20" s="27"/>
      <c r="AM20" s="27"/>
      <c r="AN20" s="27"/>
      <c r="AO20" s="27"/>
      <c r="AP20" s="27"/>
      <c r="AQ20" s="27"/>
      <c r="AR20" s="27"/>
      <c r="AS20" s="27"/>
      <c r="AT20" s="27"/>
      <c r="AU20" s="27"/>
      <c r="AV20" s="27"/>
      <c r="AW20" s="27"/>
      <c r="AX20" s="27"/>
      <c r="AY20" s="27"/>
      <c r="AZ20" s="27"/>
      <c r="BA20" s="27"/>
      <c r="BB20" s="27"/>
    </row>
    <row r="21" spans="1:54" x14ac:dyDescent="0.2">
      <c r="A21" s="60" t="s">
        <v>133</v>
      </c>
      <c r="B21" s="214">
        <f t="shared" ref="B21:D21" si="25">-B20/B$8</f>
        <v>7.2883032021548028E-2</v>
      </c>
      <c r="C21" s="214">
        <f t="shared" si="25"/>
        <v>6.9264824894079563E-2</v>
      </c>
      <c r="D21" s="214">
        <f t="shared" si="25"/>
        <v>6.3406899061582048E-2</v>
      </c>
      <c r="E21" s="214">
        <f t="shared" ref="E21" si="26">-E20/E$8</f>
        <v>7.4531901452937463E-2</v>
      </c>
      <c r="F21" s="214">
        <f t="shared" ref="F21" si="27">-F20/F$8</f>
        <v>7.002269417953326E-2</v>
      </c>
      <c r="G21" s="214">
        <f t="shared" ref="G21:H21" si="28">-G20/G$8</f>
        <v>6.7409758760804545E-2</v>
      </c>
      <c r="H21" s="146">
        <f t="shared" si="28"/>
        <v>7.2109160828510502E-2</v>
      </c>
      <c r="I21" s="146">
        <f t="shared" ref="I21:J21" si="29">-I20/I$8</f>
        <v>7.1346982572125781E-2</v>
      </c>
      <c r="J21" s="146">
        <f t="shared" si="29"/>
        <v>7.6708258302363108E-2</v>
      </c>
      <c r="K21" s="146">
        <f t="shared" ref="K21:M21" si="30">-K20/K$8</f>
        <v>7.2031633586679827E-2</v>
      </c>
      <c r="L21" s="146">
        <f t="shared" si="30"/>
        <v>7.5329857705167105E-2</v>
      </c>
      <c r="M21" s="146">
        <f t="shared" si="30"/>
        <v>7.246960071290999E-2</v>
      </c>
      <c r="N21" s="146">
        <f t="shared" ref="N21:S21" si="31">-N20/N$8</f>
        <v>7.28026349287169E-2</v>
      </c>
      <c r="O21" s="146">
        <f t="shared" si="31"/>
        <v>6.9474290697312285E-2</v>
      </c>
      <c r="P21" s="146">
        <f t="shared" si="31"/>
        <v>7.2469148006851294E-2</v>
      </c>
      <c r="Q21" s="146">
        <f t="shared" si="31"/>
        <v>5.8766616529127201E-2</v>
      </c>
      <c r="R21" s="146">
        <f t="shared" ref="R21" si="32">-R20/R$8</f>
        <v>5.8663298467679224E-2</v>
      </c>
      <c r="S21" s="146">
        <f t="shared" si="31"/>
        <v>6.3439245201603198E-2</v>
      </c>
      <c r="AL21" s="27"/>
      <c r="AM21" s="27"/>
      <c r="AN21" s="27"/>
      <c r="AO21" s="27"/>
      <c r="AP21" s="27"/>
      <c r="AQ21" s="27"/>
      <c r="AR21" s="27"/>
      <c r="AS21" s="27"/>
      <c r="AT21" s="27"/>
      <c r="AU21" s="27"/>
      <c r="AV21" s="27"/>
      <c r="AW21" s="27"/>
      <c r="AX21" s="27"/>
      <c r="AY21" s="27"/>
      <c r="AZ21" s="27"/>
      <c r="BA21" s="27"/>
      <c r="BB21" s="27"/>
    </row>
    <row r="22" spans="1:54" ht="6" customHeight="1" x14ac:dyDescent="0.2">
      <c r="A22" s="60"/>
      <c r="B22" s="214"/>
      <c r="C22" s="212"/>
      <c r="D22" s="212"/>
      <c r="E22" s="212"/>
      <c r="F22" s="212"/>
      <c r="G22" s="212"/>
      <c r="AL22" s="27"/>
      <c r="AM22" s="27"/>
      <c r="AN22" s="27"/>
      <c r="AO22" s="27"/>
      <c r="AP22" s="27"/>
      <c r="AQ22" s="27"/>
      <c r="AR22" s="27"/>
      <c r="AS22" s="27"/>
      <c r="AT22" s="27"/>
      <c r="AU22" s="27"/>
      <c r="AV22" s="27"/>
      <c r="AW22" s="27"/>
      <c r="AX22" s="27"/>
      <c r="AY22" s="27"/>
      <c r="AZ22" s="27"/>
      <c r="BA22" s="27"/>
      <c r="BB22" s="27"/>
    </row>
    <row r="23" spans="1:54" x14ac:dyDescent="0.2">
      <c r="A23" s="61" t="s">
        <v>225</v>
      </c>
      <c r="B23" s="215">
        <v>-9372</v>
      </c>
      <c r="C23" s="215">
        <v>-9535</v>
      </c>
      <c r="D23" s="215">
        <v>-9582</v>
      </c>
      <c r="E23" s="215">
        <f>+F23-SUM(B23,C23,D23)</f>
        <v>-10060</v>
      </c>
      <c r="F23" s="215">
        <v>-38549</v>
      </c>
      <c r="G23" s="215">
        <v>-10504</v>
      </c>
      <c r="H23" s="86">
        <v>-10582</v>
      </c>
      <c r="I23" s="86">
        <v>-14099</v>
      </c>
      <c r="J23" s="189">
        <f>+K23-SUM(G23:I23)</f>
        <v>-13381</v>
      </c>
      <c r="K23" s="28">
        <v>-48566</v>
      </c>
      <c r="L23" s="28">
        <v>-13667</v>
      </c>
      <c r="M23" s="28">
        <v>-12752</v>
      </c>
      <c r="N23" s="28">
        <v>-13047</v>
      </c>
      <c r="O23" s="189">
        <f>+P23-SUM(L23:N23)</f>
        <v>-12515</v>
      </c>
      <c r="P23" s="28">
        <v>-51981</v>
      </c>
      <c r="Q23" s="28">
        <v>-12450</v>
      </c>
      <c r="R23" s="28">
        <v>-12405</v>
      </c>
      <c r="S23" s="28">
        <v>-12425</v>
      </c>
      <c r="AL23" s="27"/>
      <c r="AM23" s="27"/>
      <c r="AN23" s="27"/>
      <c r="AO23" s="27"/>
      <c r="AP23" s="27"/>
      <c r="AQ23" s="27"/>
      <c r="AR23" s="27"/>
      <c r="AS23" s="27"/>
      <c r="AT23" s="27"/>
      <c r="AU23" s="27"/>
      <c r="AV23" s="27"/>
      <c r="AW23" s="27"/>
      <c r="AX23" s="27"/>
      <c r="AY23" s="27"/>
      <c r="AZ23" s="27"/>
      <c r="BA23" s="27"/>
      <c r="BB23" s="27"/>
    </row>
    <row r="24" spans="1:54" x14ac:dyDescent="0.2">
      <c r="A24" s="60" t="s">
        <v>133</v>
      </c>
      <c r="B24" s="214">
        <f t="shared" ref="B24:D24" si="33">-B23/B$8</f>
        <v>5.120388126731245E-2</v>
      </c>
      <c r="C24" s="214">
        <f t="shared" si="33"/>
        <v>5.0434525037422573E-2</v>
      </c>
      <c r="D24" s="214">
        <f t="shared" si="33"/>
        <v>4.9816735553302662E-2</v>
      </c>
      <c r="E24" s="214">
        <f t="shared" ref="E24" si="34">-E23/E$8</f>
        <v>5.0840176879343023E-2</v>
      </c>
      <c r="F24" s="214">
        <f t="shared" ref="F24" si="35">-F23/F$8</f>
        <v>5.0568666290616682E-2</v>
      </c>
      <c r="G24" s="214">
        <f t="shared" ref="G24:H24" si="36">-G23/G$8</f>
        <v>5.0750580993656175E-2</v>
      </c>
      <c r="H24" s="34">
        <f t="shared" si="36"/>
        <v>5.0363615595491927E-2</v>
      </c>
      <c r="I24" s="34">
        <f t="shared" ref="I24:J24" si="37">-I23/I$8</f>
        <v>6.1001886433256609E-2</v>
      </c>
      <c r="J24" s="34">
        <f t="shared" si="37"/>
        <v>5.6963938306449899E-2</v>
      </c>
      <c r="K24" s="34">
        <f t="shared" ref="K24:M24" si="38">-K23/K$8</f>
        <v>5.4994157026515327E-2</v>
      </c>
      <c r="L24" s="34">
        <f t="shared" si="38"/>
        <v>5.7047330041365266E-2</v>
      </c>
      <c r="M24" s="34">
        <f t="shared" si="38"/>
        <v>5.2367674295405918E-2</v>
      </c>
      <c r="N24" s="34">
        <f t="shared" ref="N24:S24" si="39">-N23/N$8</f>
        <v>5.1899026221995929E-2</v>
      </c>
      <c r="O24" s="34">
        <f t="shared" si="39"/>
        <v>4.8720763648821205E-2</v>
      </c>
      <c r="P24" s="34">
        <f t="shared" si="39"/>
        <v>5.243477050394111E-2</v>
      </c>
      <c r="Q24" s="34">
        <f t="shared" si="39"/>
        <v>5.0611813488353183E-2</v>
      </c>
      <c r="R24" s="34">
        <f t="shared" ref="R24" si="40">-R23/R$8</f>
        <v>5.5759575319252221E-2</v>
      </c>
      <c r="S24" s="34">
        <f t="shared" si="39"/>
        <v>5.1552166228248514E-2</v>
      </c>
      <c r="AL24" s="27"/>
      <c r="AM24" s="27"/>
      <c r="AN24" s="27"/>
      <c r="AO24" s="27"/>
      <c r="AP24" s="27"/>
      <c r="AQ24" s="27"/>
      <c r="AR24" s="27"/>
      <c r="AS24" s="27"/>
      <c r="AT24" s="27"/>
      <c r="AU24" s="27"/>
      <c r="AV24" s="27"/>
      <c r="AW24" s="27"/>
      <c r="AX24" s="27"/>
      <c r="AY24" s="27"/>
      <c r="AZ24" s="27"/>
      <c r="BA24" s="27"/>
      <c r="BB24" s="27"/>
    </row>
    <row r="25" spans="1:54" ht="6" customHeight="1" x14ac:dyDescent="0.2">
      <c r="A25" s="60"/>
      <c r="B25" s="214"/>
      <c r="C25" s="212"/>
      <c r="D25" s="212"/>
      <c r="E25" s="212"/>
      <c r="F25" s="212"/>
      <c r="G25" s="212"/>
      <c r="AL25" s="27"/>
      <c r="AM25" s="27"/>
      <c r="AN25" s="27"/>
      <c r="AO25" s="27"/>
      <c r="AP25" s="27"/>
      <c r="AQ25" s="27"/>
      <c r="AR25" s="27"/>
      <c r="AS25" s="27"/>
      <c r="AT25" s="27"/>
      <c r="AU25" s="27"/>
      <c r="AV25" s="27"/>
      <c r="AW25" s="27"/>
      <c r="AX25" s="27"/>
      <c r="AY25" s="27"/>
      <c r="AZ25" s="27"/>
      <c r="BA25" s="27"/>
      <c r="BB25" s="27"/>
    </row>
    <row r="26" spans="1:54" x14ac:dyDescent="0.2">
      <c r="A26" s="61" t="s">
        <v>218</v>
      </c>
      <c r="B26" s="297">
        <v>0</v>
      </c>
      <c r="C26" s="297">
        <v>0</v>
      </c>
      <c r="D26" s="297">
        <v>0</v>
      </c>
      <c r="E26" s="297">
        <v>0</v>
      </c>
      <c r="F26" s="297">
        <v>0</v>
      </c>
      <c r="G26" s="297">
        <v>0</v>
      </c>
      <c r="H26" s="295">
        <v>0</v>
      </c>
      <c r="I26" s="33">
        <v>0</v>
      </c>
      <c r="J26" s="189">
        <f>+K26-SUM(G26:I26)</f>
        <v>-20056</v>
      </c>
      <c r="K26" s="28">
        <v>-20056</v>
      </c>
      <c r="L26" s="28">
        <v>-1227</v>
      </c>
      <c r="M26" s="28">
        <v>-5580</v>
      </c>
      <c r="N26" s="296">
        <v>-489</v>
      </c>
      <c r="O26" s="189">
        <f>+P26-SUM(L26:N26)</f>
        <v>-1375</v>
      </c>
      <c r="P26" s="28">
        <v>-8671</v>
      </c>
      <c r="Q26" s="28">
        <v>0</v>
      </c>
      <c r="R26" s="28">
        <v>0</v>
      </c>
      <c r="S26" s="28">
        <v>0</v>
      </c>
      <c r="AL26" s="27"/>
      <c r="AM26" s="27"/>
      <c r="AN26" s="27"/>
      <c r="AO26" s="27"/>
      <c r="AP26" s="27"/>
      <c r="AQ26" s="27"/>
      <c r="AR26" s="27"/>
      <c r="AS26" s="27"/>
      <c r="AT26" s="27"/>
      <c r="AU26" s="27"/>
      <c r="AV26" s="27"/>
      <c r="AW26" s="27"/>
      <c r="AX26" s="27"/>
      <c r="AY26" s="27"/>
      <c r="AZ26" s="27"/>
      <c r="BA26" s="27"/>
      <c r="BB26" s="27"/>
    </row>
    <row r="27" spans="1:54" x14ac:dyDescent="0.2">
      <c r="A27" s="60" t="s">
        <v>133</v>
      </c>
      <c r="B27" s="214">
        <v>0</v>
      </c>
      <c r="C27" s="214">
        <v>0</v>
      </c>
      <c r="D27" s="214">
        <v>0</v>
      </c>
      <c r="E27" s="214">
        <v>0</v>
      </c>
      <c r="F27" s="214">
        <v>0</v>
      </c>
      <c r="G27" s="214">
        <v>0</v>
      </c>
      <c r="H27" s="34">
        <v>0</v>
      </c>
      <c r="I27" s="34">
        <v>0</v>
      </c>
      <c r="J27" s="34">
        <f t="shared" ref="J27:K27" si="41">-J26/J$8</f>
        <v>8.5379922776635461E-2</v>
      </c>
      <c r="K27" s="34">
        <f t="shared" si="41"/>
        <v>2.2710596164472911E-2</v>
      </c>
      <c r="L27" s="34">
        <f t="shared" ref="L27:M27" si="42">-L26/L$8</f>
        <v>5.1216122017088738E-3</v>
      </c>
      <c r="M27" s="34">
        <f t="shared" si="42"/>
        <v>2.2914964128635903E-2</v>
      </c>
      <c r="N27" s="34">
        <f t="shared" ref="N27:S27" si="43">-N26/N$8</f>
        <v>1.9451692973523422E-3</v>
      </c>
      <c r="O27" s="34">
        <f t="shared" si="43"/>
        <v>5.3528605686879067E-3</v>
      </c>
      <c r="P27" s="34">
        <f t="shared" si="43"/>
        <v>8.7466938889146674E-3</v>
      </c>
      <c r="Q27" s="34">
        <f t="shared" si="43"/>
        <v>0</v>
      </c>
      <c r="R27" s="34">
        <f t="shared" ref="R27" si="44">-R26/R$8</f>
        <v>0</v>
      </c>
      <c r="S27" s="34">
        <f t="shared" si="43"/>
        <v>0</v>
      </c>
      <c r="AL27" s="27"/>
      <c r="AM27" s="27"/>
      <c r="AN27" s="27"/>
      <c r="AO27" s="27"/>
      <c r="AP27" s="27"/>
      <c r="AQ27" s="27"/>
      <c r="AR27" s="27"/>
      <c r="AS27" s="27"/>
      <c r="AT27" s="27"/>
      <c r="AU27" s="27"/>
      <c r="AV27" s="27"/>
      <c r="AW27" s="27"/>
      <c r="AX27" s="27"/>
      <c r="AY27" s="27"/>
      <c r="AZ27" s="27"/>
      <c r="BA27" s="27"/>
      <c r="BB27" s="27"/>
    </row>
    <row r="28" spans="1:54" ht="6" customHeight="1" x14ac:dyDescent="0.2">
      <c r="A28" s="60"/>
      <c r="B28" s="214"/>
      <c r="C28" s="212"/>
      <c r="D28" s="212"/>
      <c r="E28" s="212"/>
      <c r="F28" s="212"/>
      <c r="G28" s="212"/>
      <c r="AL28" s="27"/>
      <c r="AM28" s="27"/>
      <c r="AN28" s="27"/>
      <c r="AO28" s="27"/>
      <c r="AP28" s="27"/>
      <c r="AQ28" s="27"/>
      <c r="AR28" s="27"/>
      <c r="AS28" s="27"/>
      <c r="AT28" s="27"/>
      <c r="AU28" s="27"/>
      <c r="AV28" s="27"/>
      <c r="AW28" s="27"/>
      <c r="AX28" s="27"/>
      <c r="AY28" s="27"/>
      <c r="AZ28" s="27"/>
      <c r="BA28" s="27"/>
      <c r="BB28" s="27"/>
    </row>
    <row r="29" spans="1:54" s="27" customFormat="1" x14ac:dyDescent="0.2">
      <c r="A29" s="62" t="s">
        <v>6</v>
      </c>
      <c r="B29" s="217">
        <f t="shared" ref="B29:J29" si="45">B17+B20+B23+B26</f>
        <v>-46749</v>
      </c>
      <c r="C29" s="217">
        <f t="shared" si="45"/>
        <v>-47055</v>
      </c>
      <c r="D29" s="217">
        <f t="shared" si="45"/>
        <v>-48323</v>
      </c>
      <c r="E29" s="217">
        <f t="shared" si="45"/>
        <v>-52316</v>
      </c>
      <c r="F29" s="217">
        <f t="shared" si="45"/>
        <v>-194443</v>
      </c>
      <c r="G29" s="217">
        <f t="shared" si="45"/>
        <v>-53722</v>
      </c>
      <c r="H29" s="26">
        <f t="shared" si="45"/>
        <v>-53373</v>
      </c>
      <c r="I29" s="26">
        <f t="shared" si="45"/>
        <v>-59293</v>
      </c>
      <c r="J29" s="26">
        <f t="shared" si="45"/>
        <v>-82048</v>
      </c>
      <c r="K29" s="26">
        <f t="shared" ref="K29:S29" si="46">K17+K20+K23+K26</f>
        <v>-248436</v>
      </c>
      <c r="L29" s="26">
        <f t="shared" si="46"/>
        <v>-65472</v>
      </c>
      <c r="M29" s="26">
        <f t="shared" si="46"/>
        <v>-67207</v>
      </c>
      <c r="N29" s="26">
        <f t="shared" si="46"/>
        <v>-61428</v>
      </c>
      <c r="O29" s="26">
        <f t="shared" si="46"/>
        <v>-65296</v>
      </c>
      <c r="P29" s="26">
        <f t="shared" si="46"/>
        <v>-259403</v>
      </c>
      <c r="Q29" s="26">
        <f t="shared" si="46"/>
        <v>-55847</v>
      </c>
      <c r="R29" s="26">
        <f t="shared" ref="R29" si="47">R17+R20+R23+R26</f>
        <v>-54206</v>
      </c>
      <c r="S29" s="26">
        <f t="shared" si="46"/>
        <v>-54525</v>
      </c>
      <c r="U29" s="26"/>
    </row>
    <row r="30" spans="1:54" ht="6" customHeight="1" x14ac:dyDescent="0.2">
      <c r="A30" s="60"/>
      <c r="B30" s="215"/>
      <c r="C30" s="212"/>
      <c r="D30" s="212"/>
      <c r="E30" s="212"/>
      <c r="F30" s="212"/>
      <c r="G30" s="212"/>
      <c r="AL30" s="27"/>
      <c r="AM30" s="27"/>
      <c r="AN30" s="27"/>
      <c r="AO30" s="27"/>
      <c r="AP30" s="27"/>
      <c r="AQ30" s="27"/>
      <c r="AR30" s="27"/>
      <c r="AS30" s="27"/>
      <c r="AT30" s="27"/>
      <c r="AU30" s="27"/>
      <c r="AV30" s="27"/>
      <c r="AW30" s="27"/>
      <c r="AX30" s="27"/>
      <c r="AY30" s="27"/>
      <c r="AZ30" s="27"/>
      <c r="BA30" s="27"/>
      <c r="BB30" s="27"/>
    </row>
    <row r="31" spans="1:54" s="27" customFormat="1" x14ac:dyDescent="0.2">
      <c r="A31" s="59" t="s">
        <v>94</v>
      </c>
      <c r="B31" s="213">
        <f t="shared" ref="B31:K31" si="48">B13+B29</f>
        <v>17212</v>
      </c>
      <c r="C31" s="218">
        <f t="shared" si="48"/>
        <v>18268</v>
      </c>
      <c r="D31" s="218">
        <f t="shared" si="48"/>
        <v>20945</v>
      </c>
      <c r="E31" s="213">
        <f t="shared" si="48"/>
        <v>16300</v>
      </c>
      <c r="F31" s="218">
        <f t="shared" si="48"/>
        <v>72725</v>
      </c>
      <c r="G31" s="218">
        <f t="shared" si="48"/>
        <v>15150</v>
      </c>
      <c r="H31" s="42">
        <f t="shared" si="48"/>
        <v>17090</v>
      </c>
      <c r="I31" s="42">
        <f t="shared" si="48"/>
        <v>19674</v>
      </c>
      <c r="J31" s="42">
        <f t="shared" si="48"/>
        <v>-2093</v>
      </c>
      <c r="K31" s="42">
        <f t="shared" si="48"/>
        <v>49821</v>
      </c>
      <c r="L31" s="42">
        <f t="shared" ref="L31:M31" si="49">L13+L29</f>
        <v>16861</v>
      </c>
      <c r="M31" s="42">
        <f t="shared" si="49"/>
        <v>13856</v>
      </c>
      <c r="N31" s="42">
        <f t="shared" ref="N31:S31" si="50">N13+N29</f>
        <v>22422</v>
      </c>
      <c r="O31" s="42">
        <f t="shared" si="50"/>
        <v>23314</v>
      </c>
      <c r="P31" s="42">
        <f t="shared" si="50"/>
        <v>76453</v>
      </c>
      <c r="Q31" s="42">
        <f t="shared" si="50"/>
        <v>27487</v>
      </c>
      <c r="R31" s="42">
        <f t="shared" ref="R31" si="51">R13+R29</f>
        <v>9866</v>
      </c>
      <c r="S31" s="42">
        <f t="shared" si="50"/>
        <v>34406</v>
      </c>
      <c r="U31" s="26"/>
    </row>
    <row r="32" spans="1:54" s="27" customFormat="1" x14ac:dyDescent="0.2">
      <c r="A32" s="60" t="s">
        <v>131</v>
      </c>
      <c r="B32" s="214">
        <v>0.21425044091710754</v>
      </c>
      <c r="C32" s="214">
        <v>6.1352544736230641E-2</v>
      </c>
      <c r="D32" s="214">
        <v>0.1465403985110576</v>
      </c>
      <c r="E32" s="214">
        <v>-0.22177130580090709</v>
      </c>
      <c r="F32" s="214">
        <v>8.6262998260498103E-2</v>
      </c>
      <c r="G32" s="214">
        <f>G31/E31-1</f>
        <v>-7.055214723926384E-2</v>
      </c>
      <c r="H32" s="34">
        <f>H31/G31-1</f>
        <v>0.12805280528052809</v>
      </c>
      <c r="I32" s="34">
        <f>I31/H31-1</f>
        <v>0.15119953188999413</v>
      </c>
      <c r="J32" s="34">
        <f>J31/I31-1</f>
        <v>-1.1063840601809494</v>
      </c>
      <c r="K32" s="34">
        <f>K31/F31-1</f>
        <v>-0.31493984187005841</v>
      </c>
      <c r="L32" s="34">
        <f>L31/J31-1</f>
        <v>-9.0559006211180133</v>
      </c>
      <c r="M32" s="34">
        <f>M31/L31-1</f>
        <v>-0.17822193226973493</v>
      </c>
      <c r="N32" s="34">
        <f>N31/M31-1</f>
        <v>0.61821593533487307</v>
      </c>
      <c r="O32" s="34">
        <f>O31/N31-1</f>
        <v>3.9782356614039838E-2</v>
      </c>
      <c r="P32" s="34">
        <f>P31/K31-1</f>
        <v>0.53455370225406962</v>
      </c>
      <c r="Q32" s="34">
        <f>Q31/O31-1</f>
        <v>0.17899116410740334</v>
      </c>
      <c r="R32" s="34">
        <f>R31/Q31-1</f>
        <v>-0.64106668606977846</v>
      </c>
      <c r="S32" s="34">
        <f>S31/R31-1</f>
        <v>2.4873302250152038</v>
      </c>
      <c r="U32" s="26"/>
    </row>
    <row r="33" spans="1:54" x14ac:dyDescent="0.2">
      <c r="A33" s="60" t="s">
        <v>68</v>
      </c>
      <c r="B33" s="214">
        <v>9.4037687193019831E-2</v>
      </c>
      <c r="C33" s="214">
        <v>9.6626943197025236E-2</v>
      </c>
      <c r="D33" s="214">
        <v>0.10889287478229223</v>
      </c>
      <c r="E33" s="214">
        <v>8.237523689197726E-2</v>
      </c>
      <c r="F33" s="214">
        <v>9.5400821188230511E-2</v>
      </c>
      <c r="G33" s="214">
        <v>7.3197953356234871E-2</v>
      </c>
      <c r="H33" s="34">
        <f>IF(H31/H8&lt;0, "NM",H31/H8)</f>
        <v>8.1337572342369782E-2</v>
      </c>
      <c r="I33" s="34">
        <f t="shared" ref="I33:K33" si="52">IF(I31/I8&lt;0, "NM",I31/I8)</f>
        <v>8.5123137363493195E-2</v>
      </c>
      <c r="J33" s="35" t="str">
        <f t="shared" si="52"/>
        <v>NM</v>
      </c>
      <c r="K33" s="34">
        <f t="shared" si="52"/>
        <v>5.6415267825598567E-2</v>
      </c>
      <c r="L33" s="34">
        <f t="shared" ref="L33:M33" si="53">IF(L31/L8&lt;0, "NM",L31/L8)</f>
        <v>7.0379383319489258E-2</v>
      </c>
      <c r="M33" s="34">
        <f t="shared" si="53"/>
        <v>5.6901387628383343E-2</v>
      </c>
      <c r="N33" s="34">
        <f t="shared" ref="N33:Q33" si="54">IF(N31/N8&lt;0, "NM",N31/N8)</f>
        <v>8.9191382382892051E-2</v>
      </c>
      <c r="O33" s="34">
        <f t="shared" si="54"/>
        <v>9.0761157307919893E-2</v>
      </c>
      <c r="P33" s="34">
        <f t="shared" si="54"/>
        <v>7.7120399941090198E-2</v>
      </c>
      <c r="Q33" s="34">
        <f t="shared" si="54"/>
        <v>0.11174031464693687</v>
      </c>
      <c r="R33" s="34">
        <f>IF(R31/R8&lt;0, "NM",R31/R8)</f>
        <v>4.4346954461889757E-2</v>
      </c>
      <c r="S33" s="34">
        <f>IF(S31/S8&lt;0, "NM",S31/S8)</f>
        <v>0.14275282344057291</v>
      </c>
      <c r="AL33" s="27"/>
      <c r="AM33" s="27"/>
      <c r="AN33" s="27"/>
      <c r="AO33" s="27"/>
      <c r="AP33" s="27"/>
      <c r="AQ33" s="27"/>
      <c r="AR33" s="27"/>
      <c r="AS33" s="27"/>
      <c r="AT33" s="27"/>
      <c r="AU33" s="27"/>
      <c r="AV33" s="27"/>
      <c r="AW33" s="27"/>
      <c r="AX33" s="27"/>
      <c r="AY33" s="27"/>
      <c r="AZ33" s="27"/>
      <c r="BA33" s="27"/>
      <c r="BB33" s="27"/>
    </row>
    <row r="34" spans="1:54" s="31" customFormat="1" x14ac:dyDescent="0.2">
      <c r="A34" s="64" t="s">
        <v>7</v>
      </c>
      <c r="B34" s="216"/>
      <c r="C34" s="212"/>
      <c r="D34" s="237"/>
      <c r="E34" s="237"/>
      <c r="F34" s="237"/>
      <c r="G34" s="237"/>
      <c r="U34" s="30"/>
      <c r="AL34" s="27"/>
      <c r="AM34" s="27"/>
      <c r="AN34" s="27"/>
      <c r="AO34" s="27"/>
      <c r="AP34" s="27"/>
      <c r="AQ34" s="27"/>
      <c r="AR34" s="27"/>
      <c r="AS34" s="27"/>
      <c r="AT34" s="27"/>
      <c r="AU34" s="27"/>
      <c r="AV34" s="27"/>
      <c r="AW34" s="27"/>
      <c r="AX34" s="27"/>
      <c r="AY34" s="27"/>
      <c r="AZ34" s="27"/>
      <c r="BA34" s="27"/>
      <c r="BB34" s="27"/>
    </row>
    <row r="35" spans="1:54" x14ac:dyDescent="0.2">
      <c r="A35" s="61" t="s">
        <v>16</v>
      </c>
      <c r="B35" s="219">
        <v>382</v>
      </c>
      <c r="C35" s="219">
        <v>886</v>
      </c>
      <c r="D35" s="219">
        <v>637</v>
      </c>
      <c r="E35" s="219">
        <f>+F35-SUM(B35,C35,D35)</f>
        <v>934</v>
      </c>
      <c r="F35" s="219">
        <v>2839</v>
      </c>
      <c r="G35" s="219">
        <v>615</v>
      </c>
      <c r="H35" s="66">
        <v>1414</v>
      </c>
      <c r="I35" s="66">
        <v>1385</v>
      </c>
      <c r="J35" s="189">
        <f t="shared" ref="J35:J36" si="55">+K35-SUM(G35:I35)</f>
        <v>1373</v>
      </c>
      <c r="K35" s="66">
        <v>4787</v>
      </c>
      <c r="L35" s="66">
        <v>1260</v>
      </c>
      <c r="M35" s="66">
        <v>1202</v>
      </c>
      <c r="N35" s="66">
        <v>1009</v>
      </c>
      <c r="O35" s="189">
        <f>+P35-SUM(L35:N35)</f>
        <v>281</v>
      </c>
      <c r="P35" s="66">
        <v>3752</v>
      </c>
      <c r="Q35" s="66">
        <v>1377</v>
      </c>
      <c r="R35" s="66">
        <v>1359</v>
      </c>
      <c r="S35" s="66">
        <v>716</v>
      </c>
      <c r="AL35" s="27"/>
      <c r="AM35" s="27"/>
      <c r="AN35" s="27"/>
      <c r="AO35" s="27"/>
      <c r="AP35" s="27"/>
      <c r="AQ35" s="27"/>
      <c r="AR35" s="27"/>
      <c r="AS35" s="27"/>
      <c r="AT35" s="27"/>
      <c r="AU35" s="27"/>
      <c r="AV35" s="27"/>
      <c r="AW35" s="27"/>
      <c r="AX35" s="27"/>
      <c r="AY35" s="27"/>
      <c r="AZ35" s="27"/>
      <c r="BA35" s="27"/>
      <c r="BB35" s="27"/>
    </row>
    <row r="36" spans="1:54" x14ac:dyDescent="0.2">
      <c r="A36" s="61" t="s">
        <v>93</v>
      </c>
      <c r="B36" s="215">
        <v>2754</v>
      </c>
      <c r="C36" s="215">
        <v>2047</v>
      </c>
      <c r="D36" s="215">
        <v>2314</v>
      </c>
      <c r="E36" s="215">
        <f>+F36-SUM(B36,C36,D36)</f>
        <v>2355</v>
      </c>
      <c r="F36" s="215">
        <v>9470</v>
      </c>
      <c r="G36" s="215">
        <v>2996</v>
      </c>
      <c r="H36" s="28">
        <v>1526</v>
      </c>
      <c r="I36" s="28">
        <v>-9</v>
      </c>
      <c r="J36" s="189">
        <f t="shared" si="55"/>
        <v>1249</v>
      </c>
      <c r="K36" s="28">
        <v>5762</v>
      </c>
      <c r="L36" s="28">
        <v>841</v>
      </c>
      <c r="M36" s="28">
        <v>238</v>
      </c>
      <c r="N36" s="28">
        <v>1383</v>
      </c>
      <c r="O36" s="189">
        <f t="shared" ref="O36" si="56">+P36-SUM(L36:N36)</f>
        <v>433</v>
      </c>
      <c r="P36" s="28">
        <v>2895</v>
      </c>
      <c r="Q36" s="28">
        <v>-543</v>
      </c>
      <c r="R36" s="28">
        <v>1342</v>
      </c>
      <c r="S36" s="28">
        <v>-143</v>
      </c>
      <c r="AL36" s="27"/>
      <c r="AM36" s="27"/>
      <c r="AN36" s="27"/>
      <c r="AO36" s="27"/>
      <c r="AP36" s="27"/>
      <c r="AQ36" s="27"/>
      <c r="AR36" s="27"/>
      <c r="AS36" s="27"/>
      <c r="AT36" s="27"/>
      <c r="AU36" s="27"/>
      <c r="AV36" s="27"/>
      <c r="AW36" s="27"/>
      <c r="AX36" s="27"/>
      <c r="AY36" s="27"/>
      <c r="AZ36" s="27"/>
      <c r="BA36" s="27"/>
      <c r="BB36" s="27"/>
    </row>
    <row r="37" spans="1:54" hidden="1" outlineLevel="1" x14ac:dyDescent="0.2">
      <c r="A37" s="61" t="s">
        <v>8</v>
      </c>
      <c r="B37" s="220"/>
      <c r="C37" s="212"/>
      <c r="D37" s="212"/>
      <c r="E37" s="264"/>
      <c r="F37" s="212"/>
      <c r="G37" s="212"/>
      <c r="AL37" s="27"/>
      <c r="AM37" s="27"/>
      <c r="AN37" s="27"/>
      <c r="AO37" s="27"/>
      <c r="AP37" s="27"/>
      <c r="AQ37" s="27"/>
      <c r="AR37" s="27"/>
      <c r="AS37" s="27"/>
      <c r="AT37" s="27"/>
      <c r="AU37" s="27"/>
      <c r="AV37" s="27"/>
      <c r="AW37" s="27"/>
      <c r="AX37" s="27"/>
      <c r="AY37" s="27"/>
      <c r="AZ37" s="27"/>
      <c r="BA37" s="27"/>
      <c r="BB37" s="27"/>
    </row>
    <row r="38" spans="1:54" ht="6" customHeight="1" collapsed="1" x14ac:dyDescent="0.2">
      <c r="A38" s="61"/>
      <c r="B38" s="215"/>
      <c r="C38" s="212"/>
      <c r="D38" s="212"/>
      <c r="E38" s="264"/>
      <c r="F38" s="212"/>
      <c r="G38" s="212"/>
      <c r="AL38" s="27"/>
      <c r="AM38" s="27"/>
      <c r="AN38" s="27"/>
      <c r="AO38" s="27"/>
      <c r="AP38" s="27"/>
      <c r="AQ38" s="27"/>
      <c r="AR38" s="27"/>
      <c r="AS38" s="27"/>
      <c r="AT38" s="27"/>
      <c r="AU38" s="27"/>
      <c r="AV38" s="27"/>
      <c r="AW38" s="27"/>
      <c r="AX38" s="27"/>
      <c r="AY38" s="27"/>
      <c r="AZ38" s="27"/>
      <c r="BA38" s="27"/>
      <c r="BB38" s="27"/>
    </row>
    <row r="39" spans="1:54" x14ac:dyDescent="0.2">
      <c r="A39" s="65" t="s">
        <v>95</v>
      </c>
      <c r="B39" s="218">
        <f t="shared" ref="B39:D39" si="57">B31+B36+B35+B37</f>
        <v>20348</v>
      </c>
      <c r="C39" s="218">
        <f t="shared" si="57"/>
        <v>21201</v>
      </c>
      <c r="D39" s="218">
        <f t="shared" si="57"/>
        <v>23896</v>
      </c>
      <c r="E39" s="213">
        <f t="shared" ref="E39" si="58">E31+E36+E35+E37</f>
        <v>19589</v>
      </c>
      <c r="F39" s="218">
        <f t="shared" ref="F39" si="59">F31+F36+F35+F37</f>
        <v>85034</v>
      </c>
      <c r="G39" s="218">
        <f t="shared" ref="G39:H39" si="60">G31+G36+G35+G37</f>
        <v>18761</v>
      </c>
      <c r="H39" s="42">
        <f t="shared" si="60"/>
        <v>20030</v>
      </c>
      <c r="I39" s="42">
        <f t="shared" ref="I39:J39" si="61">I31+I36+I35+I37</f>
        <v>21050</v>
      </c>
      <c r="J39" s="42">
        <f t="shared" si="61"/>
        <v>529</v>
      </c>
      <c r="K39" s="42">
        <f t="shared" ref="K39:M39" si="62">K31+K36+K35+K37</f>
        <v>60370</v>
      </c>
      <c r="L39" s="42">
        <f t="shared" si="62"/>
        <v>18962</v>
      </c>
      <c r="M39" s="42">
        <f t="shared" si="62"/>
        <v>15296</v>
      </c>
      <c r="N39" s="42">
        <f t="shared" ref="N39:S39" si="63">N31+N36+N35+N37</f>
        <v>24814</v>
      </c>
      <c r="O39" s="42">
        <f t="shared" si="63"/>
        <v>24028</v>
      </c>
      <c r="P39" s="42">
        <f t="shared" si="63"/>
        <v>83100</v>
      </c>
      <c r="Q39" s="42">
        <f t="shared" si="63"/>
        <v>28321</v>
      </c>
      <c r="R39" s="42">
        <f t="shared" ref="R39" si="64">R31+R36+R35+R37</f>
        <v>12567</v>
      </c>
      <c r="S39" s="42">
        <f t="shared" si="63"/>
        <v>34979</v>
      </c>
      <c r="AL39" s="27"/>
      <c r="AM39" s="27"/>
      <c r="AN39" s="27"/>
      <c r="AO39" s="27"/>
      <c r="AP39" s="27"/>
      <c r="AQ39" s="27"/>
      <c r="AR39" s="27"/>
      <c r="AS39" s="27"/>
      <c r="AT39" s="27"/>
      <c r="AU39" s="27"/>
      <c r="AV39" s="27"/>
      <c r="AW39" s="27"/>
      <c r="AX39" s="27"/>
      <c r="AY39" s="27"/>
      <c r="AZ39" s="27"/>
      <c r="BA39" s="27"/>
      <c r="BB39" s="27"/>
    </row>
    <row r="40" spans="1:54" ht="6" customHeight="1" x14ac:dyDescent="0.2">
      <c r="A40" s="64"/>
      <c r="B40" s="215"/>
      <c r="C40" s="212"/>
      <c r="D40" s="212"/>
      <c r="E40" s="212"/>
      <c r="F40" s="212"/>
      <c r="G40" s="212"/>
      <c r="AL40" s="27"/>
      <c r="AM40" s="27"/>
      <c r="AN40" s="27"/>
      <c r="AO40" s="27"/>
      <c r="AP40" s="27"/>
      <c r="AQ40" s="27"/>
      <c r="AR40" s="27"/>
      <c r="AS40" s="27"/>
      <c r="AT40" s="27"/>
      <c r="AU40" s="27"/>
      <c r="AV40" s="27"/>
      <c r="AW40" s="27"/>
      <c r="AX40" s="27"/>
      <c r="AY40" s="27"/>
      <c r="AZ40" s="27"/>
      <c r="BA40" s="27"/>
      <c r="BB40" s="27"/>
    </row>
    <row r="41" spans="1:54" x14ac:dyDescent="0.2">
      <c r="A41" s="61" t="s">
        <v>61</v>
      </c>
      <c r="B41" s="219">
        <v>-3560</v>
      </c>
      <c r="C41" s="219">
        <v>-823</v>
      </c>
      <c r="D41" s="219">
        <v>-2819</v>
      </c>
      <c r="E41" s="215">
        <f>+F41-SUM(B41,C41,D41)</f>
        <v>-28944</v>
      </c>
      <c r="F41" s="219">
        <v>-36146</v>
      </c>
      <c r="G41" s="219">
        <v>4453</v>
      </c>
      <c r="H41" s="29">
        <v>-5510</v>
      </c>
      <c r="I41" s="29">
        <v>-5739</v>
      </c>
      <c r="J41" s="189">
        <f t="shared" ref="J41:J42" si="65">+K41-SUM(G41:I41)</f>
        <v>3399</v>
      </c>
      <c r="K41" s="29">
        <v>-3397</v>
      </c>
      <c r="L41" s="29">
        <v>-4200</v>
      </c>
      <c r="M41" s="29">
        <v>-2670</v>
      </c>
      <c r="N41" s="29">
        <v>-5701</v>
      </c>
      <c r="O41" s="189">
        <f t="shared" ref="O41:O42" si="66">+P41-SUM(L41:N41)</f>
        <v>-2601</v>
      </c>
      <c r="P41" s="29">
        <v>-15172</v>
      </c>
      <c r="Q41" s="29">
        <v>-5855</v>
      </c>
      <c r="R41" s="29">
        <v>-4072</v>
      </c>
      <c r="S41" s="29">
        <v>-8490</v>
      </c>
      <c r="AL41" s="27"/>
      <c r="AM41" s="27"/>
      <c r="AN41" s="27"/>
      <c r="AO41" s="27"/>
      <c r="AP41" s="27"/>
      <c r="AQ41" s="27"/>
      <c r="AR41" s="27"/>
      <c r="AS41" s="27"/>
      <c r="AT41" s="27"/>
      <c r="AU41" s="27"/>
      <c r="AV41" s="27"/>
      <c r="AW41" s="27"/>
      <c r="AX41" s="27"/>
      <c r="AY41" s="27"/>
      <c r="AZ41" s="27"/>
      <c r="BA41" s="27"/>
      <c r="BB41" s="27"/>
    </row>
    <row r="42" spans="1:54" outlineLevel="1" x14ac:dyDescent="0.2">
      <c r="A42" s="61" t="s">
        <v>193</v>
      </c>
      <c r="B42" s="220">
        <v>0</v>
      </c>
      <c r="C42" s="220">
        <v>0</v>
      </c>
      <c r="D42" s="220">
        <v>0</v>
      </c>
      <c r="E42" s="220">
        <f>+F42-SUM(B42,C42,D42)</f>
        <v>0</v>
      </c>
      <c r="F42" s="220">
        <v>0</v>
      </c>
      <c r="G42" s="220">
        <v>-56</v>
      </c>
      <c r="H42" s="28">
        <v>-58</v>
      </c>
      <c r="I42" s="28">
        <v>-62</v>
      </c>
      <c r="J42" s="189">
        <f t="shared" si="65"/>
        <v>-71</v>
      </c>
      <c r="K42" s="58">
        <v>-247</v>
      </c>
      <c r="L42" s="58">
        <v>-67</v>
      </c>
      <c r="M42" s="58">
        <v>-62</v>
      </c>
      <c r="N42" s="58">
        <v>-69</v>
      </c>
      <c r="O42" s="189">
        <f t="shared" si="66"/>
        <v>-71</v>
      </c>
      <c r="P42" s="58">
        <v>-269</v>
      </c>
      <c r="Q42" s="58">
        <v>-55</v>
      </c>
      <c r="R42" s="58">
        <v>-66</v>
      </c>
      <c r="S42" s="58">
        <v>-71</v>
      </c>
      <c r="AL42" s="27"/>
      <c r="AM42" s="27"/>
      <c r="AN42" s="27"/>
      <c r="AO42" s="27"/>
      <c r="AP42" s="27"/>
      <c r="AQ42" s="27"/>
      <c r="AR42" s="27"/>
      <c r="AS42" s="27"/>
      <c r="AT42" s="27"/>
      <c r="AU42" s="27"/>
      <c r="AV42" s="27"/>
      <c r="AW42" s="27"/>
      <c r="AX42" s="27"/>
      <c r="AY42" s="27"/>
      <c r="AZ42" s="27"/>
      <c r="BA42" s="27"/>
      <c r="BB42" s="27"/>
    </row>
    <row r="43" spans="1:54" x14ac:dyDescent="0.2">
      <c r="A43" s="64" t="s">
        <v>94</v>
      </c>
      <c r="B43" s="220">
        <f t="shared" ref="B43:C43" si="67">B39+B41+B42</f>
        <v>16788</v>
      </c>
      <c r="C43" s="220">
        <f t="shared" si="67"/>
        <v>20378</v>
      </c>
      <c r="D43" s="220">
        <f t="shared" ref="D43" si="68">D39+D41+D42</f>
        <v>21077</v>
      </c>
      <c r="E43" s="215">
        <f>+F43-SUM(B43,C43,D43)</f>
        <v>-9355</v>
      </c>
      <c r="F43" s="220">
        <f t="shared" ref="F43" si="69">F39+F41+F42</f>
        <v>48888</v>
      </c>
      <c r="G43" s="220">
        <f>G39+G41+G42</f>
        <v>23158</v>
      </c>
      <c r="H43" s="58">
        <f>H39+H41+H42</f>
        <v>14462</v>
      </c>
      <c r="I43" s="58">
        <f>I39+I41+I42</f>
        <v>15249</v>
      </c>
      <c r="J43" s="58">
        <f>J39+J41+J42</f>
        <v>3857</v>
      </c>
      <c r="K43" s="58">
        <f t="shared" ref="K43:M43" si="70">K39+K41+K42</f>
        <v>56726</v>
      </c>
      <c r="L43" s="58">
        <f t="shared" si="70"/>
        <v>14695</v>
      </c>
      <c r="M43" s="58">
        <f t="shared" si="70"/>
        <v>12564</v>
      </c>
      <c r="N43" s="58">
        <f t="shared" ref="N43:Q43" si="71">N39+N41+N42</f>
        <v>19044</v>
      </c>
      <c r="O43" s="58">
        <f t="shared" si="71"/>
        <v>21356</v>
      </c>
      <c r="P43" s="58">
        <f t="shared" si="71"/>
        <v>67659</v>
      </c>
      <c r="Q43" s="58">
        <f t="shared" si="71"/>
        <v>22411</v>
      </c>
      <c r="R43" s="58">
        <f>R39+R41+R42</f>
        <v>8429</v>
      </c>
      <c r="S43" s="58">
        <f>S39+S41+S42</f>
        <v>26418</v>
      </c>
      <c r="AL43" s="27"/>
      <c r="AM43" s="27"/>
      <c r="AN43" s="27"/>
      <c r="AO43" s="27"/>
      <c r="AP43" s="27"/>
      <c r="AQ43" s="27"/>
      <c r="AR43" s="27"/>
      <c r="AS43" s="27"/>
      <c r="AT43" s="27"/>
      <c r="AU43" s="27"/>
      <c r="AV43" s="27"/>
      <c r="AW43" s="27"/>
      <c r="AX43" s="27"/>
      <c r="AY43" s="27"/>
      <c r="AZ43" s="27"/>
      <c r="BA43" s="27"/>
      <c r="BB43" s="27"/>
    </row>
    <row r="44" spans="1:54" x14ac:dyDescent="0.2">
      <c r="A44" s="64" t="s">
        <v>96</v>
      </c>
      <c r="B44" s="220">
        <v>0</v>
      </c>
      <c r="C44" s="220">
        <v>0</v>
      </c>
      <c r="D44" s="220">
        <v>0</v>
      </c>
      <c r="E44" s="220">
        <f>+F44-SUM(B44,C44,D44)</f>
        <v>0</v>
      </c>
      <c r="F44" s="220">
        <v>0</v>
      </c>
      <c r="G44" s="220">
        <v>0</v>
      </c>
      <c r="H44" s="24">
        <v>0</v>
      </c>
      <c r="I44" s="24">
        <v>0</v>
      </c>
      <c r="J44" s="58">
        <v>0</v>
      </c>
      <c r="K44" s="58">
        <v>0</v>
      </c>
      <c r="L44" s="58">
        <v>0</v>
      </c>
      <c r="M44" s="58">
        <v>0</v>
      </c>
      <c r="N44" s="58">
        <v>0</v>
      </c>
      <c r="O44" s="58">
        <v>0</v>
      </c>
      <c r="P44" s="58">
        <v>0</v>
      </c>
      <c r="Q44" s="58">
        <v>0</v>
      </c>
      <c r="R44" s="58">
        <v>0</v>
      </c>
      <c r="S44" s="58">
        <v>0</v>
      </c>
      <c r="AL44" s="27"/>
      <c r="AM44" s="27"/>
      <c r="AN44" s="27"/>
      <c r="AO44" s="27"/>
      <c r="AP44" s="27"/>
      <c r="AQ44" s="27"/>
      <c r="AR44" s="27"/>
      <c r="AS44" s="27"/>
      <c r="AT44" s="27"/>
      <c r="AU44" s="27"/>
      <c r="AV44" s="27"/>
      <c r="AW44" s="27"/>
      <c r="AX44" s="27"/>
      <c r="AY44" s="27"/>
      <c r="AZ44" s="27"/>
      <c r="BA44" s="27"/>
      <c r="BB44" s="27"/>
    </row>
    <row r="45" spans="1:54" ht="6" customHeight="1" x14ac:dyDescent="0.2">
      <c r="A45" s="64"/>
      <c r="B45" s="215"/>
      <c r="C45" s="212"/>
      <c r="D45" s="212"/>
      <c r="E45" s="212"/>
      <c r="F45" s="212"/>
      <c r="G45" s="212"/>
      <c r="AL45" s="27"/>
      <c r="AM45" s="27"/>
      <c r="AN45" s="27"/>
      <c r="AO45" s="27"/>
      <c r="AP45" s="27"/>
      <c r="AQ45" s="27"/>
      <c r="AR45" s="27"/>
      <c r="AS45" s="27"/>
      <c r="AT45" s="27"/>
      <c r="AU45" s="27"/>
      <c r="AV45" s="27"/>
      <c r="AW45" s="27"/>
      <c r="AX45" s="27"/>
      <c r="AY45" s="27"/>
      <c r="AZ45" s="27"/>
      <c r="BA45" s="27"/>
      <c r="BB45" s="27"/>
    </row>
    <row r="46" spans="1:54" x14ac:dyDescent="0.2">
      <c r="A46" s="65" t="s">
        <v>97</v>
      </c>
      <c r="B46" s="218">
        <f t="shared" ref="B46:D46" si="72">B43+B44</f>
        <v>16788</v>
      </c>
      <c r="C46" s="218">
        <f t="shared" si="72"/>
        <v>20378</v>
      </c>
      <c r="D46" s="218">
        <f t="shared" si="72"/>
        <v>21077</v>
      </c>
      <c r="E46" s="213">
        <f t="shared" ref="E46" si="73">E43+E44</f>
        <v>-9355</v>
      </c>
      <c r="F46" s="218">
        <f t="shared" ref="F46" si="74">F43+F44</f>
        <v>48888</v>
      </c>
      <c r="G46" s="218">
        <f>G43+G44</f>
        <v>23158</v>
      </c>
      <c r="H46" s="42">
        <f>H43+H44</f>
        <v>14462</v>
      </c>
      <c r="I46" s="42">
        <f>I43+I44</f>
        <v>15249</v>
      </c>
      <c r="J46" s="42">
        <f>J43+J44</f>
        <v>3857</v>
      </c>
      <c r="K46" s="42">
        <f t="shared" ref="K46:M46" si="75">K43+K44</f>
        <v>56726</v>
      </c>
      <c r="L46" s="42">
        <f t="shared" si="75"/>
        <v>14695</v>
      </c>
      <c r="M46" s="42">
        <f t="shared" si="75"/>
        <v>12564</v>
      </c>
      <c r="N46" s="42">
        <f t="shared" ref="N46:O46" si="76">N43+N44</f>
        <v>19044</v>
      </c>
      <c r="O46" s="42">
        <f t="shared" si="76"/>
        <v>21356</v>
      </c>
      <c r="P46" s="42">
        <f>P43+P44</f>
        <v>67659</v>
      </c>
      <c r="Q46" s="42">
        <f>Q43+Q44</f>
        <v>22411</v>
      </c>
      <c r="R46" s="42">
        <f>R43+R44</f>
        <v>8429</v>
      </c>
      <c r="S46" s="42">
        <f>S43+S44</f>
        <v>26418</v>
      </c>
      <c r="AL46" s="27"/>
      <c r="AM46" s="27"/>
      <c r="AN46" s="27"/>
      <c r="AO46" s="27"/>
      <c r="AP46" s="27"/>
      <c r="AQ46" s="27"/>
      <c r="AR46" s="27"/>
      <c r="AS46" s="27"/>
      <c r="AT46" s="27"/>
      <c r="AU46" s="27"/>
      <c r="AV46" s="27"/>
      <c r="AW46" s="27"/>
      <c r="AX46" s="27"/>
      <c r="AY46" s="27"/>
      <c r="AZ46" s="27"/>
      <c r="BA46" s="27"/>
      <c r="BB46" s="27"/>
    </row>
    <row r="47" spans="1:54" s="27" customFormat="1" x14ac:dyDescent="0.2">
      <c r="A47" s="60" t="s">
        <v>133</v>
      </c>
      <c r="B47" s="221">
        <f t="shared" ref="B47:K47" si="77">B46/B8</f>
        <v>9.1721165035813221E-2</v>
      </c>
      <c r="C47" s="221">
        <f t="shared" si="77"/>
        <v>0.10778759844914497</v>
      </c>
      <c r="D47" s="221">
        <f t="shared" si="77"/>
        <v>0.10957914164652058</v>
      </c>
      <c r="E47" s="221">
        <f t="shared" si="77"/>
        <v>-4.7277321541377135E-2</v>
      </c>
      <c r="F47" s="221">
        <f t="shared" si="77"/>
        <v>6.4131390116881584E-2</v>
      </c>
      <c r="G47" s="221">
        <f t="shared" si="77"/>
        <v>0.11188899035139849</v>
      </c>
      <c r="H47" s="35">
        <f t="shared" si="77"/>
        <v>6.8829957356076762E-2</v>
      </c>
      <c r="I47" s="35">
        <f t="shared" si="77"/>
        <v>6.5977570481646222E-2</v>
      </c>
      <c r="J47" s="35">
        <f t="shared" si="77"/>
        <v>1.6419543385993367E-2</v>
      </c>
      <c r="K47" s="35">
        <f t="shared" si="77"/>
        <v>6.4234208118562536E-2</v>
      </c>
      <c r="L47" s="35">
        <f t="shared" ref="L47:M47" si="78">L46/L8</f>
        <v>6.1338297721362588E-2</v>
      </c>
      <c r="M47" s="35">
        <f t="shared" si="78"/>
        <v>5.1595628908993094E-2</v>
      </c>
      <c r="N47" s="35">
        <f t="shared" ref="N47:S47" si="79">N46/N8</f>
        <v>7.5754200610997968E-2</v>
      </c>
      <c r="O47" s="35">
        <f t="shared" si="79"/>
        <v>8.3138683858108325E-2</v>
      </c>
      <c r="P47" s="35">
        <f t="shared" si="79"/>
        <v>6.8249632318080664E-2</v>
      </c>
      <c r="Q47" s="35">
        <f t="shared" si="79"/>
        <v>9.1105329484938408E-2</v>
      </c>
      <c r="R47" s="35">
        <f t="shared" ref="R47" si="80">R46/R8</f>
        <v>3.7887743681255706E-2</v>
      </c>
      <c r="S47" s="35">
        <f t="shared" si="79"/>
        <v>0.10961007061713234</v>
      </c>
      <c r="U47" s="26"/>
    </row>
    <row r="48" spans="1:54" s="27" customFormat="1" x14ac:dyDescent="0.2">
      <c r="A48" s="60" t="s">
        <v>131</v>
      </c>
      <c r="B48" s="214">
        <v>8.3935950413223104E-2</v>
      </c>
      <c r="C48" s="214">
        <v>0.21384322134858236</v>
      </c>
      <c r="D48" s="214">
        <v>3.430169790951032E-2</v>
      </c>
      <c r="E48" s="214">
        <v>-1.4438487450775728</v>
      </c>
      <c r="F48" s="221" t="s">
        <v>83</v>
      </c>
      <c r="G48" s="214">
        <f>G46/E46-1</f>
        <v>-3.4754676643506146</v>
      </c>
      <c r="H48" s="35">
        <f>H46/G46-1</f>
        <v>-0.37550738405734518</v>
      </c>
      <c r="I48" s="35">
        <f>I46/H46-1</f>
        <v>5.4418476006084848E-2</v>
      </c>
      <c r="J48" s="35">
        <f>J46/I46-1</f>
        <v>-0.74706538133648115</v>
      </c>
      <c r="K48" s="35" t="s">
        <v>83</v>
      </c>
      <c r="L48" s="35">
        <f>L46/J46-1</f>
        <v>2.8099559242934924</v>
      </c>
      <c r="M48" s="35">
        <f>M46/L46-1</f>
        <v>-0.14501531133038448</v>
      </c>
      <c r="N48" s="35">
        <f>N46/M46-1</f>
        <v>0.51575931232091698</v>
      </c>
      <c r="O48" s="35">
        <f>O46/N46-1</f>
        <v>0.12140306658265065</v>
      </c>
      <c r="P48" s="35" t="s">
        <v>83</v>
      </c>
      <c r="Q48" s="35">
        <f>Q46/O46-1</f>
        <v>4.9400636823375255E-2</v>
      </c>
      <c r="R48" s="35">
        <f>R46/Q46-1</f>
        <v>-0.62389005399134356</v>
      </c>
      <c r="S48" s="35">
        <f>S46/R46-1</f>
        <v>2.1341796179855264</v>
      </c>
      <c r="U48" s="26"/>
    </row>
    <row r="49" spans="1:54" s="27" customFormat="1" ht="13.5" thickBot="1" x14ac:dyDescent="0.25">
      <c r="A49" s="111" t="s">
        <v>132</v>
      </c>
      <c r="B49" s="222">
        <v>0.21476121562952244</v>
      </c>
      <c r="C49" s="222">
        <v>0.24445801526717559</v>
      </c>
      <c r="D49" s="222">
        <v>0.31320872274143308</v>
      </c>
      <c r="E49" s="222">
        <v>-1.6040123827832975</v>
      </c>
      <c r="F49" s="222">
        <v>-0.20807480966286707</v>
      </c>
      <c r="G49" s="222">
        <f t="shared" ref="G49:O49" si="81">G46/B46-1</f>
        <v>0.37943769359066004</v>
      </c>
      <c r="H49" s="79">
        <f t="shared" si="81"/>
        <v>-0.2903130827362842</v>
      </c>
      <c r="I49" s="79">
        <f t="shared" si="81"/>
        <v>-0.27650993974474547</v>
      </c>
      <c r="J49" s="79">
        <f t="shared" si="81"/>
        <v>-1.4122928915018707</v>
      </c>
      <c r="K49" s="79">
        <f t="shared" si="81"/>
        <v>0.16032564228440527</v>
      </c>
      <c r="L49" s="79">
        <f t="shared" si="81"/>
        <v>-0.3654460661542448</v>
      </c>
      <c r="M49" s="79">
        <f t="shared" si="81"/>
        <v>-0.13124049232471302</v>
      </c>
      <c r="N49" s="79">
        <f t="shared" si="81"/>
        <v>0.24886877828054299</v>
      </c>
      <c r="O49" s="79">
        <f t="shared" si="81"/>
        <v>4.5369458128078817</v>
      </c>
      <c r="P49" s="79">
        <f>P46/K46-1</f>
        <v>0.19273349081549918</v>
      </c>
      <c r="Q49" s="79">
        <f t="shared" ref="Q49:R49" si="82">Q46/L46-1</f>
        <v>0.52507655665192243</v>
      </c>
      <c r="R49" s="79">
        <f t="shared" si="82"/>
        <v>-0.32911493155046168</v>
      </c>
      <c r="S49" s="79">
        <f>S46/N46-1</f>
        <v>0.38720856962822947</v>
      </c>
      <c r="U49" s="26"/>
    </row>
    <row r="50" spans="1:54" s="27" customFormat="1" x14ac:dyDescent="0.2">
      <c r="A50" s="61" t="s">
        <v>148</v>
      </c>
      <c r="B50" s="214"/>
      <c r="C50" s="235"/>
      <c r="D50" s="235"/>
      <c r="E50" s="235"/>
      <c r="F50" s="235"/>
      <c r="G50" s="235"/>
      <c r="U50" s="26"/>
    </row>
    <row r="51" spans="1:54" s="27" customFormat="1" x14ac:dyDescent="0.2">
      <c r="A51" s="89" t="s">
        <v>101</v>
      </c>
      <c r="B51" s="214"/>
      <c r="C51" s="235"/>
      <c r="D51" s="235"/>
      <c r="E51" s="235"/>
      <c r="F51" s="235"/>
      <c r="G51" s="235"/>
      <c r="U51" s="26"/>
    </row>
    <row r="52" spans="1:54" x14ac:dyDescent="0.2">
      <c r="A52" s="90" t="s">
        <v>99</v>
      </c>
      <c r="B52" s="223">
        <f t="shared" ref="B52" si="83">B43/B60</f>
        <v>0.49602750662922263</v>
      </c>
      <c r="C52" s="223">
        <f t="shared" ref="C52" si="84">C43/C60</f>
        <v>0.60255499452548877</v>
      </c>
      <c r="D52" s="223">
        <f t="shared" ref="D52" si="85">D43/D60</f>
        <v>0.6228727188115103</v>
      </c>
      <c r="E52" s="223">
        <f t="shared" ref="E52" si="86">E43/E60</f>
        <v>-0.2744471334388337</v>
      </c>
      <c r="F52" s="223">
        <f t="shared" ref="F52" si="87">F43/F60</f>
        <v>1.4422125448102174</v>
      </c>
      <c r="G52" s="223">
        <f t="shared" ref="G52:H52" si="88">G43/G60</f>
        <v>0.67229867038262792</v>
      </c>
      <c r="H52" s="32">
        <f t="shared" si="88"/>
        <v>0.41904265183124711</v>
      </c>
      <c r="I52" s="32">
        <f t="shared" ref="I52:J52" si="89">I43/I60</f>
        <v>0.44252590034533795</v>
      </c>
      <c r="J52" s="32">
        <f t="shared" si="89"/>
        <v>0.11216121902989415</v>
      </c>
      <c r="K52" s="32">
        <f t="shared" ref="K52:M52" si="90">K43/K60</f>
        <v>1.6465704914226003</v>
      </c>
      <c r="L52" s="32">
        <f t="shared" si="90"/>
        <v>0.42749090909090909</v>
      </c>
      <c r="M52" s="32">
        <f t="shared" si="90"/>
        <v>0.36468129571577845</v>
      </c>
      <c r="N52" s="32">
        <f t="shared" ref="N52:Q52" si="91">N43/N60</f>
        <v>0.55486277023483477</v>
      </c>
      <c r="O52" s="32">
        <f t="shared" si="91"/>
        <v>0.62347823548302339</v>
      </c>
      <c r="P52" s="32">
        <f>P43/P60</f>
        <v>1.9696943231441049</v>
      </c>
      <c r="Q52" s="32">
        <f t="shared" si="91"/>
        <v>0.65144468344863671</v>
      </c>
      <c r="R52" s="32">
        <f>R43/R60</f>
        <v>0.24441802470567767</v>
      </c>
      <c r="S52" s="32">
        <f>S43/S60</f>
        <v>0.76959827541002712</v>
      </c>
      <c r="AL52" s="27"/>
      <c r="AM52" s="27"/>
      <c r="AN52" s="27"/>
      <c r="AO52" s="27"/>
      <c r="AP52" s="27"/>
      <c r="AQ52" s="27"/>
      <c r="AR52" s="27"/>
      <c r="AS52" s="27"/>
      <c r="AT52" s="27"/>
      <c r="AU52" s="27"/>
      <c r="AV52" s="27"/>
      <c r="AW52" s="27"/>
      <c r="AX52" s="27"/>
      <c r="AY52" s="27"/>
      <c r="AZ52" s="27"/>
      <c r="BA52" s="27"/>
      <c r="BB52" s="27"/>
    </row>
    <row r="53" spans="1:54" x14ac:dyDescent="0.2">
      <c r="A53" s="90" t="s">
        <v>100</v>
      </c>
      <c r="B53" s="224">
        <f t="shared" ref="B53:D53" si="92">B44/B60</f>
        <v>0</v>
      </c>
      <c r="C53" s="224">
        <f t="shared" si="92"/>
        <v>0</v>
      </c>
      <c r="D53" s="224">
        <f t="shared" si="92"/>
        <v>0</v>
      </c>
      <c r="E53" s="224">
        <f t="shared" ref="E53" si="93">E44/E60</f>
        <v>0</v>
      </c>
      <c r="F53" s="224">
        <f t="shared" ref="F53" si="94">F44/F60</f>
        <v>0</v>
      </c>
      <c r="G53" s="224">
        <f t="shared" ref="G53:H53" si="95">G44/G60</f>
        <v>0</v>
      </c>
      <c r="H53" s="78">
        <f t="shared" si="95"/>
        <v>0</v>
      </c>
      <c r="I53" s="78">
        <f t="shared" ref="I53:J53" si="96">I44/I60</f>
        <v>0</v>
      </c>
      <c r="J53" s="78">
        <f t="shared" si="96"/>
        <v>0</v>
      </c>
      <c r="K53" s="78">
        <f t="shared" ref="K53:M53" si="97">K44/K60</f>
        <v>0</v>
      </c>
      <c r="L53" s="78">
        <f t="shared" si="97"/>
        <v>0</v>
      </c>
      <c r="M53" s="78">
        <f t="shared" si="97"/>
        <v>0</v>
      </c>
      <c r="N53" s="78">
        <f t="shared" ref="N53:S53" si="98">N44/N60</f>
        <v>0</v>
      </c>
      <c r="O53" s="78">
        <f t="shared" si="98"/>
        <v>0</v>
      </c>
      <c r="P53" s="78">
        <f t="shared" si="98"/>
        <v>0</v>
      </c>
      <c r="Q53" s="78">
        <f t="shared" si="98"/>
        <v>0</v>
      </c>
      <c r="R53" s="78">
        <f t="shared" ref="R53" si="99">R44/R60</f>
        <v>0</v>
      </c>
      <c r="S53" s="78">
        <f t="shared" si="98"/>
        <v>0</v>
      </c>
      <c r="AL53" s="27"/>
      <c r="AM53" s="27"/>
      <c r="AN53" s="27"/>
      <c r="AO53" s="27"/>
      <c r="AP53" s="27"/>
      <c r="AQ53" s="27"/>
      <c r="AR53" s="27"/>
      <c r="AS53" s="27"/>
      <c r="AT53" s="27"/>
      <c r="AU53" s="27"/>
      <c r="AV53" s="27"/>
      <c r="AW53" s="27"/>
      <c r="AX53" s="27"/>
      <c r="AY53" s="27"/>
      <c r="AZ53" s="27"/>
      <c r="BA53" s="27"/>
      <c r="BB53" s="27"/>
    </row>
    <row r="54" spans="1:54" x14ac:dyDescent="0.2">
      <c r="A54" s="92" t="s">
        <v>102</v>
      </c>
      <c r="B54" s="225">
        <f t="shared" ref="B54:D54" si="100">SUM(B52:B53)</f>
        <v>0.49602750662922263</v>
      </c>
      <c r="C54" s="225">
        <f t="shared" si="100"/>
        <v>0.60255499452548877</v>
      </c>
      <c r="D54" s="225">
        <f t="shared" si="100"/>
        <v>0.6228727188115103</v>
      </c>
      <c r="E54" s="225">
        <f t="shared" ref="E54" si="101">SUM(E52:E53)</f>
        <v>-0.2744471334388337</v>
      </c>
      <c r="F54" s="225">
        <f t="shared" ref="F54" si="102">SUM(F52:F53)</f>
        <v>1.4422125448102174</v>
      </c>
      <c r="G54" s="225">
        <f t="shared" ref="G54:H54" si="103">SUM(G52:G53)</f>
        <v>0.67229867038262792</v>
      </c>
      <c r="H54" s="144">
        <f t="shared" si="103"/>
        <v>0.41904265183124711</v>
      </c>
      <c r="I54" s="144">
        <f t="shared" ref="I54:J54" si="104">SUM(I52:I53)</f>
        <v>0.44252590034533795</v>
      </c>
      <c r="J54" s="144">
        <f t="shared" si="104"/>
        <v>0.11216121902989415</v>
      </c>
      <c r="K54" s="144">
        <f t="shared" ref="K54:M54" si="105">SUM(K52:K53)</f>
        <v>1.6465704914226003</v>
      </c>
      <c r="L54" s="144">
        <f t="shared" si="105"/>
        <v>0.42749090909090909</v>
      </c>
      <c r="M54" s="144">
        <f t="shared" si="105"/>
        <v>0.36468129571577845</v>
      </c>
      <c r="N54" s="144">
        <f t="shared" ref="N54:S54" si="106">SUM(N52:N53)</f>
        <v>0.55486277023483477</v>
      </c>
      <c r="O54" s="144">
        <f t="shared" si="106"/>
        <v>0.62347823548302339</v>
      </c>
      <c r="P54" s="144">
        <f t="shared" si="106"/>
        <v>1.9696943231441049</v>
      </c>
      <c r="Q54" s="144">
        <f t="shared" si="106"/>
        <v>0.65144468344863671</v>
      </c>
      <c r="R54" s="144">
        <f t="shared" ref="R54" si="107">SUM(R52:R53)</f>
        <v>0.24441802470567767</v>
      </c>
      <c r="S54" s="144">
        <f t="shared" si="106"/>
        <v>0.76959827541002712</v>
      </c>
      <c r="AL54" s="27"/>
      <c r="AM54" s="27"/>
      <c r="AN54" s="27"/>
      <c r="AO54" s="27"/>
      <c r="AP54" s="27"/>
      <c r="AQ54" s="27"/>
      <c r="AR54" s="27"/>
      <c r="AS54" s="27"/>
      <c r="AT54" s="27"/>
      <c r="AU54" s="27"/>
      <c r="AV54" s="27"/>
      <c r="AW54" s="27"/>
      <c r="AX54" s="27"/>
      <c r="AY54" s="27"/>
      <c r="AZ54" s="27"/>
      <c r="BA54" s="27"/>
      <c r="BB54" s="27"/>
    </row>
    <row r="55" spans="1:54" x14ac:dyDescent="0.2">
      <c r="A55" s="89" t="s">
        <v>98</v>
      </c>
      <c r="B55" s="224"/>
      <c r="C55" s="212"/>
      <c r="D55" s="212"/>
      <c r="E55" s="212"/>
      <c r="F55" s="212"/>
      <c r="G55" s="212"/>
      <c r="AL55" s="27"/>
      <c r="AM55" s="27"/>
      <c r="AN55" s="27"/>
      <c r="AO55" s="27"/>
      <c r="AP55" s="27"/>
      <c r="AQ55" s="27"/>
      <c r="AR55" s="27"/>
      <c r="AS55" s="27"/>
      <c r="AT55" s="27"/>
      <c r="AU55" s="27"/>
      <c r="AV55" s="27"/>
      <c r="AW55" s="27"/>
      <c r="AX55" s="27"/>
      <c r="AY55" s="27"/>
      <c r="AZ55" s="27"/>
      <c r="BA55" s="27"/>
      <c r="BB55" s="27"/>
    </row>
    <row r="56" spans="1:54" x14ac:dyDescent="0.2">
      <c r="A56" s="90" t="s">
        <v>99</v>
      </c>
      <c r="B56" s="223">
        <f t="shared" ref="B56" si="108">B43/B61</f>
        <v>0.47816959822303656</v>
      </c>
      <c r="C56" s="223">
        <f t="shared" ref="C56" si="109">C43/C61</f>
        <v>0.58234128152395892</v>
      </c>
      <c r="D56" s="223">
        <f t="shared" ref="D56" si="110">D43/D61</f>
        <v>0.60144411941537002</v>
      </c>
      <c r="E56" s="223">
        <f t="shared" ref="E56" si="111">E43/E61</f>
        <v>-0.2744471334388337</v>
      </c>
      <c r="F56" s="223">
        <f t="shared" ref="F56" si="112">F43/F61</f>
        <v>1.3924154699406848</v>
      </c>
      <c r="G56" s="223">
        <f t="shared" ref="G56:H56" si="113">G43/G61</f>
        <v>0.65597824547488881</v>
      </c>
      <c r="H56" s="32">
        <f t="shared" si="113"/>
        <v>0.41153036252916736</v>
      </c>
      <c r="I56" s="32">
        <f t="shared" ref="I56:J56" si="114">I43/I61</f>
        <v>0.43311179277436945</v>
      </c>
      <c r="J56" s="32">
        <f t="shared" si="114"/>
        <v>0.11044929984822886</v>
      </c>
      <c r="K56" s="32">
        <f t="shared" ref="K56:M56" si="115">K43/K61</f>
        <v>1.6193086123718992</v>
      </c>
      <c r="L56" s="32">
        <f t="shared" si="115"/>
        <v>0.42187006574225588</v>
      </c>
      <c r="M56" s="32">
        <f t="shared" si="115"/>
        <v>0.3620436273521021</v>
      </c>
      <c r="N56" s="32">
        <f t="shared" ref="N56:P56" si="116">N43/N61</f>
        <v>0.54883426035332428</v>
      </c>
      <c r="O56" s="32">
        <f t="shared" si="116"/>
        <v>0.61549989912672565</v>
      </c>
      <c r="P56" s="32">
        <f t="shared" si="116"/>
        <v>1.9479745487000835</v>
      </c>
      <c r="Q56" s="32">
        <f t="shared" ref="Q56" si="117">Q43/Q61</f>
        <v>0.64545952017511021</v>
      </c>
      <c r="R56" s="32">
        <f>R43/R61</f>
        <v>0.2436267992369501</v>
      </c>
      <c r="S56" s="32">
        <f>S43/S61</f>
        <v>0.76494093120222373</v>
      </c>
      <c r="AL56" s="27"/>
      <c r="AM56" s="27"/>
      <c r="AN56" s="27"/>
      <c r="AO56" s="27"/>
      <c r="AP56" s="27"/>
      <c r="AQ56" s="27"/>
      <c r="AR56" s="27"/>
      <c r="AS56" s="27"/>
      <c r="AT56" s="27"/>
      <c r="AU56" s="27"/>
      <c r="AV56" s="27"/>
      <c r="AW56" s="27"/>
      <c r="AX56" s="27"/>
      <c r="AY56" s="27"/>
      <c r="AZ56" s="27"/>
      <c r="BA56" s="27"/>
      <c r="BB56" s="27"/>
    </row>
    <row r="57" spans="1:54" x14ac:dyDescent="0.2">
      <c r="A57" s="90" t="s">
        <v>100</v>
      </c>
      <c r="B57" s="224">
        <f t="shared" ref="B57:D57" si="118">B44/B61</f>
        <v>0</v>
      </c>
      <c r="C57" s="224">
        <f t="shared" si="118"/>
        <v>0</v>
      </c>
      <c r="D57" s="224">
        <f t="shared" si="118"/>
        <v>0</v>
      </c>
      <c r="E57" s="224">
        <f t="shared" ref="E57" si="119">E44/E61</f>
        <v>0</v>
      </c>
      <c r="F57" s="224">
        <f t="shared" ref="F57" si="120">F44/F61</f>
        <v>0</v>
      </c>
      <c r="G57" s="224">
        <f t="shared" ref="G57:H57" si="121">G44/G61</f>
        <v>0</v>
      </c>
      <c r="H57" s="78">
        <f t="shared" si="121"/>
        <v>0</v>
      </c>
      <c r="I57" s="78">
        <f t="shared" ref="I57:J57" si="122">I44/I61</f>
        <v>0</v>
      </c>
      <c r="J57" s="78">
        <f t="shared" si="122"/>
        <v>0</v>
      </c>
      <c r="K57" s="78">
        <f t="shared" ref="K57:M57" si="123">K44/K61</f>
        <v>0</v>
      </c>
      <c r="L57" s="78">
        <f t="shared" si="123"/>
        <v>0</v>
      </c>
      <c r="M57" s="78">
        <f t="shared" si="123"/>
        <v>0</v>
      </c>
      <c r="N57" s="78">
        <f t="shared" ref="N57:P57" si="124">N44/N61</f>
        <v>0</v>
      </c>
      <c r="O57" s="78">
        <f t="shared" si="124"/>
        <v>0</v>
      </c>
      <c r="P57" s="78">
        <f t="shared" si="124"/>
        <v>0</v>
      </c>
      <c r="Q57" s="78">
        <f t="shared" ref="Q57:S57" si="125">Q44/Q61</f>
        <v>0</v>
      </c>
      <c r="R57" s="78">
        <f t="shared" ref="R57" si="126">R44/R61</f>
        <v>0</v>
      </c>
      <c r="S57" s="78">
        <f t="shared" si="125"/>
        <v>0</v>
      </c>
      <c r="AL57" s="27"/>
      <c r="AM57" s="27"/>
      <c r="AN57" s="27"/>
      <c r="AO57" s="27"/>
      <c r="AP57" s="27"/>
      <c r="AQ57" s="27"/>
      <c r="AR57" s="27"/>
      <c r="AS57" s="27"/>
      <c r="AT57" s="27"/>
      <c r="AU57" s="27"/>
      <c r="AV57" s="27"/>
      <c r="AW57" s="27"/>
      <c r="AX57" s="27"/>
      <c r="AY57" s="27"/>
      <c r="AZ57" s="27"/>
      <c r="BA57" s="27"/>
      <c r="BB57" s="27"/>
    </row>
    <row r="58" spans="1:54" x14ac:dyDescent="0.2">
      <c r="A58" s="92" t="s">
        <v>102</v>
      </c>
      <c r="B58" s="225">
        <f t="shared" ref="B58" si="127">SUM(B56:B57)</f>
        <v>0.47816959822303656</v>
      </c>
      <c r="C58" s="225">
        <f t="shared" ref="C58" si="128">SUM(C56:C57)</f>
        <v>0.58234128152395892</v>
      </c>
      <c r="D58" s="225">
        <f t="shared" ref="D58" si="129">SUM(D56:D57)</f>
        <v>0.60144411941537002</v>
      </c>
      <c r="E58" s="225">
        <f t="shared" ref="E58" si="130">SUM(E56:E57)</f>
        <v>-0.2744471334388337</v>
      </c>
      <c r="F58" s="225">
        <f t="shared" ref="F58" si="131">SUM(F56:F57)</f>
        <v>1.3924154699406848</v>
      </c>
      <c r="G58" s="225">
        <f t="shared" ref="G58:H58" si="132">SUM(G56:G57)</f>
        <v>0.65597824547488881</v>
      </c>
      <c r="H58" s="144">
        <f t="shared" si="132"/>
        <v>0.41153036252916736</v>
      </c>
      <c r="I58" s="144">
        <f t="shared" ref="I58:J58" si="133">SUM(I56:I57)</f>
        <v>0.43311179277436945</v>
      </c>
      <c r="J58" s="144">
        <f t="shared" si="133"/>
        <v>0.11044929984822886</v>
      </c>
      <c r="K58" s="144">
        <f t="shared" ref="K58:M58" si="134">SUM(K56:K57)</f>
        <v>1.6193086123718992</v>
      </c>
      <c r="L58" s="144">
        <f t="shared" si="134"/>
        <v>0.42187006574225588</v>
      </c>
      <c r="M58" s="144">
        <f t="shared" si="134"/>
        <v>0.3620436273521021</v>
      </c>
      <c r="N58" s="144">
        <f t="shared" ref="N58:P58" si="135">SUM(N56:N57)</f>
        <v>0.54883426035332428</v>
      </c>
      <c r="O58" s="144">
        <f t="shared" si="135"/>
        <v>0.61549989912672565</v>
      </c>
      <c r="P58" s="144">
        <f t="shared" si="135"/>
        <v>1.9479745487000835</v>
      </c>
      <c r="Q58" s="144">
        <f t="shared" ref="Q58:S58" si="136">SUM(Q56:Q57)</f>
        <v>0.64545952017511021</v>
      </c>
      <c r="R58" s="144">
        <f t="shared" ref="R58" si="137">SUM(R56:R57)</f>
        <v>0.2436267992369501</v>
      </c>
      <c r="S58" s="144">
        <f t="shared" si="136"/>
        <v>0.76494093120222373</v>
      </c>
      <c r="AL58" s="27"/>
      <c r="AM58" s="27"/>
      <c r="AN58" s="27"/>
      <c r="AO58" s="27"/>
      <c r="AP58" s="27"/>
      <c r="AQ58" s="27"/>
      <c r="AR58" s="27"/>
      <c r="AS58" s="27"/>
      <c r="AT58" s="27"/>
      <c r="AU58" s="27"/>
      <c r="AV58" s="27"/>
      <c r="AW58" s="27"/>
      <c r="AX58" s="27"/>
      <c r="AY58" s="27"/>
      <c r="AZ58" s="27"/>
      <c r="BA58" s="27"/>
      <c r="BB58" s="27"/>
    </row>
    <row r="59" spans="1:54" x14ac:dyDescent="0.2">
      <c r="A59" s="64" t="s">
        <v>103</v>
      </c>
      <c r="B59" s="226"/>
      <c r="C59" s="212"/>
      <c r="D59" s="212"/>
      <c r="E59" s="212"/>
      <c r="F59" s="212"/>
      <c r="G59" s="212"/>
      <c r="AL59" s="27"/>
      <c r="AM59" s="27"/>
      <c r="AN59" s="27"/>
      <c r="AO59" s="27"/>
      <c r="AP59" s="27"/>
      <c r="AQ59" s="27"/>
      <c r="AR59" s="27"/>
      <c r="AS59" s="27"/>
      <c r="AT59" s="27"/>
      <c r="AU59" s="27"/>
      <c r="AV59" s="27"/>
      <c r="AW59" s="27"/>
      <c r="AX59" s="27"/>
      <c r="AY59" s="27"/>
      <c r="AZ59" s="27"/>
      <c r="BA59" s="27"/>
      <c r="BB59" s="27"/>
    </row>
    <row r="60" spans="1:54" x14ac:dyDescent="0.2">
      <c r="A60" s="61" t="s">
        <v>101</v>
      </c>
      <c r="B60" s="215">
        <v>33844.897259999983</v>
      </c>
      <c r="C60" s="215">
        <v>33819.319705494512</v>
      </c>
      <c r="D60" s="215">
        <v>33838.373978260854</v>
      </c>
      <c r="E60" s="215">
        <v>34086.710554347832</v>
      </c>
      <c r="F60" s="215">
        <v>33897.916209315204</v>
      </c>
      <c r="G60" s="215">
        <v>34446</v>
      </c>
      <c r="H60" s="28">
        <v>34512</v>
      </c>
      <c r="I60" s="28">
        <v>34459</v>
      </c>
      <c r="J60" s="28">
        <v>34388</v>
      </c>
      <c r="K60" s="28">
        <v>34451</v>
      </c>
      <c r="L60" s="28">
        <v>34375</v>
      </c>
      <c r="M60" s="28">
        <v>34452</v>
      </c>
      <c r="N60" s="28">
        <v>34322</v>
      </c>
      <c r="O60" s="28">
        <v>34253</v>
      </c>
      <c r="P60" s="28">
        <v>34350</v>
      </c>
      <c r="Q60" s="28">
        <v>34402</v>
      </c>
      <c r="R60" s="28">
        <v>34486</v>
      </c>
      <c r="S60" s="28">
        <v>34327</v>
      </c>
      <c r="AL60" s="27"/>
      <c r="AM60" s="27"/>
      <c r="AN60" s="27"/>
      <c r="AO60" s="27"/>
      <c r="AP60" s="27"/>
      <c r="AQ60" s="27"/>
      <c r="AR60" s="27"/>
      <c r="AS60" s="27"/>
      <c r="AT60" s="27"/>
      <c r="AU60" s="27"/>
      <c r="AV60" s="27"/>
      <c r="AW60" s="27"/>
      <c r="AX60" s="27"/>
      <c r="AY60" s="27"/>
      <c r="AZ60" s="27"/>
      <c r="BA60" s="27"/>
      <c r="BB60" s="27"/>
    </row>
    <row r="61" spans="1:54" ht="13.5" thickBot="1" x14ac:dyDescent="0.25">
      <c r="A61" s="91" t="s">
        <v>98</v>
      </c>
      <c r="B61" s="227">
        <v>35108.881999999998</v>
      </c>
      <c r="C61" s="227">
        <v>34993.225873789612</v>
      </c>
      <c r="D61" s="227">
        <v>35043.987162910104</v>
      </c>
      <c r="E61" s="227">
        <v>34086.710554347832</v>
      </c>
      <c r="F61" s="227">
        <v>35110.210318248312</v>
      </c>
      <c r="G61" s="227">
        <v>35303</v>
      </c>
      <c r="H61" s="76">
        <v>35142</v>
      </c>
      <c r="I61" s="76">
        <v>35208</v>
      </c>
      <c r="J61" s="76">
        <v>34921</v>
      </c>
      <c r="K61" s="76">
        <v>35031</v>
      </c>
      <c r="L61" s="76">
        <v>34833</v>
      </c>
      <c r="M61" s="76">
        <v>34703</v>
      </c>
      <c r="N61" s="76">
        <v>34699</v>
      </c>
      <c r="O61" s="76">
        <v>34697</v>
      </c>
      <c r="P61" s="76">
        <v>34733</v>
      </c>
      <c r="Q61" s="76">
        <v>34721</v>
      </c>
      <c r="R61" s="76">
        <v>34598</v>
      </c>
      <c r="S61" s="76">
        <v>34536</v>
      </c>
      <c r="AL61" s="27"/>
      <c r="AM61" s="27"/>
      <c r="AN61" s="27"/>
      <c r="AO61" s="27"/>
      <c r="AP61" s="27"/>
      <c r="AQ61" s="27"/>
      <c r="AR61" s="27"/>
      <c r="AS61" s="27"/>
      <c r="AT61" s="27"/>
      <c r="AU61" s="27"/>
      <c r="AV61" s="27"/>
      <c r="AW61" s="27"/>
      <c r="AX61" s="27"/>
      <c r="AY61" s="27"/>
      <c r="AZ61" s="27"/>
      <c r="BA61" s="27"/>
      <c r="BB61" s="27"/>
    </row>
    <row r="62" spans="1:54" ht="6" customHeight="1" x14ac:dyDescent="0.2">
      <c r="A62" s="64"/>
      <c r="B62" s="215"/>
      <c r="C62" s="212"/>
      <c r="D62" s="212"/>
      <c r="E62" s="212"/>
      <c r="F62" s="212"/>
      <c r="G62" s="212"/>
      <c r="AL62" s="27"/>
      <c r="AM62" s="27"/>
      <c r="AN62" s="27"/>
      <c r="AO62" s="27"/>
      <c r="AP62" s="27"/>
      <c r="AQ62" s="27"/>
      <c r="AR62" s="27"/>
      <c r="AS62" s="27"/>
      <c r="AT62" s="27"/>
      <c r="AU62" s="27"/>
      <c r="AV62" s="27"/>
      <c r="AW62" s="27"/>
      <c r="AX62" s="27"/>
      <c r="AY62" s="27"/>
      <c r="AZ62" s="27"/>
      <c r="BA62" s="27"/>
      <c r="BB62" s="27"/>
    </row>
    <row r="63" spans="1:54" x14ac:dyDescent="0.2">
      <c r="A63" s="62" t="s">
        <v>91</v>
      </c>
      <c r="B63" s="215"/>
      <c r="C63" s="212"/>
      <c r="D63" s="212"/>
      <c r="E63" s="212"/>
      <c r="F63" s="212"/>
      <c r="G63" s="212"/>
      <c r="AL63" s="27"/>
      <c r="AM63" s="27"/>
      <c r="AN63" s="27"/>
      <c r="AO63" s="27"/>
      <c r="AP63" s="27"/>
      <c r="AQ63" s="27"/>
      <c r="AR63" s="27"/>
      <c r="AS63" s="27"/>
      <c r="AT63" s="27"/>
      <c r="AU63" s="27"/>
      <c r="AV63" s="27"/>
      <c r="AW63" s="27"/>
      <c r="AX63" s="27"/>
      <c r="AY63" s="27"/>
      <c r="AZ63" s="27"/>
      <c r="BA63" s="27"/>
      <c r="BB63" s="27"/>
    </row>
    <row r="64" spans="1:54" x14ac:dyDescent="0.2">
      <c r="A64" s="59" t="s">
        <v>1</v>
      </c>
      <c r="B64" s="218">
        <f t="shared" ref="B64:K64" si="138">B8</f>
        <v>183033</v>
      </c>
      <c r="C64" s="218">
        <f t="shared" si="138"/>
        <v>189057</v>
      </c>
      <c r="D64" s="218">
        <f t="shared" si="138"/>
        <v>192345</v>
      </c>
      <c r="E64" s="213">
        <f t="shared" si="138"/>
        <v>197875</v>
      </c>
      <c r="F64" s="218">
        <f t="shared" si="138"/>
        <v>762310</v>
      </c>
      <c r="G64" s="218">
        <f t="shared" si="138"/>
        <v>206973</v>
      </c>
      <c r="H64" s="42">
        <f t="shared" si="138"/>
        <v>210112</v>
      </c>
      <c r="I64" s="42">
        <f t="shared" si="138"/>
        <v>231124</v>
      </c>
      <c r="J64" s="42">
        <f t="shared" si="138"/>
        <v>234903</v>
      </c>
      <c r="K64" s="42">
        <f t="shared" si="138"/>
        <v>883112</v>
      </c>
      <c r="L64" s="42">
        <f t="shared" ref="L64:M64" si="139">L8</f>
        <v>239573</v>
      </c>
      <c r="M64" s="42">
        <f t="shared" si="139"/>
        <v>243509</v>
      </c>
      <c r="N64" s="42">
        <f t="shared" ref="N64:S64" si="140">N8</f>
        <v>251392</v>
      </c>
      <c r="O64" s="42">
        <f t="shared" si="140"/>
        <v>256872</v>
      </c>
      <c r="P64" s="42">
        <f t="shared" si="140"/>
        <v>991346</v>
      </c>
      <c r="Q64" s="42">
        <f t="shared" si="140"/>
        <v>245990</v>
      </c>
      <c r="R64" s="42">
        <f t="shared" ref="R64" si="141">R8</f>
        <v>222473</v>
      </c>
      <c r="S64" s="42">
        <f t="shared" si="140"/>
        <v>241018</v>
      </c>
      <c r="AL64" s="27"/>
      <c r="AM64" s="27"/>
      <c r="AN64" s="27"/>
      <c r="AO64" s="27"/>
      <c r="AP64" s="27"/>
      <c r="AQ64" s="27"/>
      <c r="AR64" s="27"/>
      <c r="AS64" s="27"/>
      <c r="AT64" s="27"/>
      <c r="AU64" s="27"/>
      <c r="AV64" s="27"/>
      <c r="AW64" s="27"/>
      <c r="AX64" s="27"/>
      <c r="AY64" s="27"/>
      <c r="AZ64" s="27"/>
      <c r="BA64" s="27"/>
      <c r="BB64" s="27"/>
    </row>
    <row r="65" spans="1:54" x14ac:dyDescent="0.2">
      <c r="A65" s="63" t="s">
        <v>154</v>
      </c>
      <c r="B65" s="215">
        <v>0</v>
      </c>
      <c r="C65" s="215"/>
      <c r="D65" s="215">
        <v>0</v>
      </c>
      <c r="E65" s="215">
        <v>0</v>
      </c>
      <c r="F65" s="215">
        <v>0</v>
      </c>
      <c r="G65" s="215">
        <v>0</v>
      </c>
      <c r="H65" s="28">
        <v>0</v>
      </c>
      <c r="I65" s="28">
        <v>0</v>
      </c>
      <c r="J65" s="28">
        <v>0</v>
      </c>
      <c r="K65" s="28">
        <v>0</v>
      </c>
      <c r="L65" s="28">
        <v>0</v>
      </c>
      <c r="M65" s="28">
        <v>0</v>
      </c>
      <c r="N65" s="28">
        <v>0</v>
      </c>
      <c r="O65" s="28">
        <v>0</v>
      </c>
      <c r="P65" s="28">
        <v>0</v>
      </c>
      <c r="Q65" s="28">
        <v>0</v>
      </c>
      <c r="R65" s="28">
        <v>0</v>
      </c>
      <c r="S65" s="28">
        <v>0</v>
      </c>
      <c r="AL65" s="27"/>
      <c r="AM65" s="27"/>
      <c r="AN65" s="27"/>
      <c r="AO65" s="27"/>
      <c r="AP65" s="27"/>
      <c r="AQ65" s="27"/>
      <c r="AR65" s="27"/>
      <c r="AS65" s="27"/>
      <c r="AT65" s="27"/>
      <c r="AU65" s="27"/>
      <c r="AV65" s="27"/>
      <c r="AW65" s="27"/>
      <c r="AX65" s="27"/>
      <c r="AY65" s="27"/>
      <c r="AZ65" s="27"/>
      <c r="BA65" s="27"/>
      <c r="BB65" s="27"/>
    </row>
    <row r="66" spans="1:54" ht="13.5" customHeight="1" x14ac:dyDescent="0.2">
      <c r="A66" s="59" t="s">
        <v>155</v>
      </c>
      <c r="B66" s="218">
        <f t="shared" ref="B66" si="142">B64+B65</f>
        <v>183033</v>
      </c>
      <c r="C66" s="218">
        <f t="shared" ref="C66" si="143">C64+C65</f>
        <v>189057</v>
      </c>
      <c r="D66" s="218">
        <f t="shared" ref="D66" si="144">D64+D65</f>
        <v>192345</v>
      </c>
      <c r="E66" s="213">
        <f t="shared" ref="E66" si="145">E64+E65</f>
        <v>197875</v>
      </c>
      <c r="F66" s="218">
        <f t="shared" ref="F66" si="146">F64+F65</f>
        <v>762310</v>
      </c>
      <c r="G66" s="218">
        <f t="shared" ref="G66:H66" si="147">G64+G65</f>
        <v>206973</v>
      </c>
      <c r="H66" s="42">
        <f t="shared" si="147"/>
        <v>210112</v>
      </c>
      <c r="I66" s="42">
        <f t="shared" ref="I66:J66" si="148">I64+I65</f>
        <v>231124</v>
      </c>
      <c r="J66" s="42">
        <f t="shared" si="148"/>
        <v>234903</v>
      </c>
      <c r="K66" s="42">
        <f t="shared" ref="K66:M66" si="149">K64+K65</f>
        <v>883112</v>
      </c>
      <c r="L66" s="42">
        <f t="shared" si="149"/>
        <v>239573</v>
      </c>
      <c r="M66" s="42">
        <f t="shared" si="149"/>
        <v>243509</v>
      </c>
      <c r="N66" s="42">
        <f t="shared" ref="N66:S66" si="150">N64+N65</f>
        <v>251392</v>
      </c>
      <c r="O66" s="42">
        <f t="shared" si="150"/>
        <v>256872</v>
      </c>
      <c r="P66" s="42">
        <f t="shared" si="150"/>
        <v>991346</v>
      </c>
      <c r="Q66" s="42">
        <f t="shared" si="150"/>
        <v>245990</v>
      </c>
      <c r="R66" s="42">
        <f t="shared" ref="R66" si="151">R64+R65</f>
        <v>222473</v>
      </c>
      <c r="S66" s="42">
        <f t="shared" si="150"/>
        <v>241018</v>
      </c>
      <c r="AL66" s="27"/>
      <c r="AM66" s="27"/>
      <c r="AN66" s="27"/>
      <c r="AO66" s="27"/>
      <c r="AP66" s="27"/>
      <c r="AQ66" s="27"/>
      <c r="AR66" s="27"/>
      <c r="AS66" s="27"/>
      <c r="AT66" s="27"/>
      <c r="AU66" s="27"/>
      <c r="AV66" s="27"/>
      <c r="AW66" s="27"/>
      <c r="AX66" s="27"/>
      <c r="AY66" s="27"/>
      <c r="AZ66" s="27"/>
      <c r="BA66" s="27"/>
      <c r="BB66" s="27"/>
    </row>
    <row r="67" spans="1:54" ht="6.75" customHeight="1" x14ac:dyDescent="0.2">
      <c r="A67" s="62"/>
      <c r="B67" s="215"/>
      <c r="C67" s="212"/>
      <c r="D67" s="212"/>
      <c r="E67" s="212"/>
      <c r="F67" s="212"/>
      <c r="G67" s="212"/>
      <c r="AL67" s="27"/>
      <c r="AM67" s="27"/>
      <c r="AN67" s="27"/>
      <c r="AO67" s="27"/>
      <c r="AP67" s="27"/>
      <c r="AQ67" s="27"/>
      <c r="AR67" s="27"/>
      <c r="AS67" s="27"/>
      <c r="AT67" s="27"/>
      <c r="AU67" s="27"/>
      <c r="AV67" s="27"/>
      <c r="AW67" s="27"/>
      <c r="AX67" s="27"/>
      <c r="AY67" s="27"/>
      <c r="AZ67" s="27"/>
      <c r="BA67" s="27"/>
      <c r="BB67" s="27"/>
    </row>
    <row r="68" spans="1:54" s="27" customFormat="1" x14ac:dyDescent="0.2">
      <c r="A68" s="59" t="s">
        <v>70</v>
      </c>
      <c r="B68" s="213">
        <f>B31</f>
        <v>17212</v>
      </c>
      <c r="C68" s="218">
        <f t="shared" ref="C68" si="152">C31</f>
        <v>18268</v>
      </c>
      <c r="D68" s="218">
        <f t="shared" ref="D68" si="153">D31</f>
        <v>20945</v>
      </c>
      <c r="E68" s="213">
        <f t="shared" ref="E68" si="154">E31</f>
        <v>16300</v>
      </c>
      <c r="F68" s="218">
        <f t="shared" ref="F68" si="155">F31</f>
        <v>72725</v>
      </c>
      <c r="G68" s="218">
        <f t="shared" ref="G68:H68" si="156">G31</f>
        <v>15150</v>
      </c>
      <c r="H68" s="42">
        <f t="shared" si="156"/>
        <v>17090</v>
      </c>
      <c r="I68" s="42">
        <f t="shared" ref="I68:J68" si="157">I31</f>
        <v>19674</v>
      </c>
      <c r="J68" s="42">
        <f t="shared" si="157"/>
        <v>-2093</v>
      </c>
      <c r="K68" s="42">
        <f t="shared" ref="K68:M68" si="158">K31</f>
        <v>49821</v>
      </c>
      <c r="L68" s="42">
        <f t="shared" si="158"/>
        <v>16861</v>
      </c>
      <c r="M68" s="42">
        <f t="shared" si="158"/>
        <v>13856</v>
      </c>
      <c r="N68" s="42">
        <f t="shared" ref="N68:S68" si="159">N31</f>
        <v>22422</v>
      </c>
      <c r="O68" s="42">
        <f t="shared" si="159"/>
        <v>23314</v>
      </c>
      <c r="P68" s="42">
        <f t="shared" si="159"/>
        <v>76453</v>
      </c>
      <c r="Q68" s="42">
        <f t="shared" si="159"/>
        <v>27487</v>
      </c>
      <c r="R68" s="42">
        <f t="shared" ref="R68" si="160">R31</f>
        <v>9866</v>
      </c>
      <c r="S68" s="42">
        <f t="shared" si="159"/>
        <v>34406</v>
      </c>
      <c r="U68" s="26"/>
    </row>
    <row r="69" spans="1:54" x14ac:dyDescent="0.2">
      <c r="A69" s="63" t="s">
        <v>189</v>
      </c>
      <c r="B69" s="220">
        <v>3498</v>
      </c>
      <c r="C69" s="220">
        <v>3507</v>
      </c>
      <c r="D69" s="220">
        <v>3487</v>
      </c>
      <c r="E69" s="215">
        <f>+F69-SUM(B69,C69,D69)</f>
        <v>3483</v>
      </c>
      <c r="F69" s="220">
        <v>13975</v>
      </c>
      <c r="G69" s="220">
        <v>3947</v>
      </c>
      <c r="H69" s="58">
        <v>3761</v>
      </c>
      <c r="I69" s="28">
        <v>6718</v>
      </c>
      <c r="J69" s="189">
        <f t="shared" ref="J69" si="161">+K69-SUM(G69:I69)</f>
        <v>5951</v>
      </c>
      <c r="K69" s="58">
        <v>20377</v>
      </c>
      <c r="L69" s="58">
        <v>5528</v>
      </c>
      <c r="M69" s="58">
        <v>5554</v>
      </c>
      <c r="N69" s="58">
        <v>5502</v>
      </c>
      <c r="O69" s="189">
        <f>+P69-SUM(L69:N69)</f>
        <v>4974</v>
      </c>
      <c r="P69" s="58">
        <v>21558</v>
      </c>
      <c r="Q69" s="58">
        <v>4153</v>
      </c>
      <c r="R69" s="359">
        <v>3430</v>
      </c>
      <c r="S69" s="359">
        <v>3413</v>
      </c>
      <c r="T69" s="28"/>
      <c r="AL69" s="27"/>
      <c r="AM69" s="27"/>
      <c r="AN69" s="27"/>
      <c r="AO69" s="27"/>
      <c r="AP69" s="27"/>
      <c r="AQ69" s="27"/>
      <c r="AR69" s="27"/>
      <c r="AS69" s="27"/>
      <c r="AT69" s="27"/>
      <c r="AU69" s="27"/>
      <c r="AV69" s="27"/>
      <c r="AW69" s="27"/>
      <c r="AX69" s="27"/>
      <c r="AY69" s="27"/>
      <c r="AZ69" s="27"/>
      <c r="BA69" s="27"/>
      <c r="BB69" s="27"/>
    </row>
    <row r="70" spans="1:54" x14ac:dyDescent="0.2">
      <c r="A70" s="63" t="s">
        <v>190</v>
      </c>
      <c r="B70" s="220">
        <v>5956</v>
      </c>
      <c r="C70" s="220">
        <v>5107</v>
      </c>
      <c r="D70" s="220">
        <v>5708</v>
      </c>
      <c r="E70" s="215">
        <f>+F70-SUM(B70,C70,D70)</f>
        <v>6270</v>
      </c>
      <c r="F70" s="220">
        <v>23041</v>
      </c>
      <c r="G70" s="220">
        <v>5074</v>
      </c>
      <c r="H70" s="58">
        <v>6893</v>
      </c>
      <c r="I70" s="28">
        <v>5344</v>
      </c>
      <c r="J70" s="189">
        <f>+K70-SUM(G70:I70)</f>
        <v>6590</v>
      </c>
      <c r="K70" s="58">
        <v>23901</v>
      </c>
      <c r="L70" s="58">
        <v>6956</v>
      </c>
      <c r="M70" s="58">
        <v>7155</v>
      </c>
      <c r="N70" s="58">
        <v>7427</v>
      </c>
      <c r="O70" s="189">
        <f t="shared" ref="O70" si="162">+P70-SUM(L70:N70)</f>
        <v>4532</v>
      </c>
      <c r="P70" s="58">
        <v>26070</v>
      </c>
      <c r="Q70" s="58">
        <v>4778</v>
      </c>
      <c r="R70" s="359">
        <v>7726</v>
      </c>
      <c r="S70" s="359">
        <v>8346</v>
      </c>
      <c r="T70" s="28"/>
      <c r="AL70" s="27"/>
      <c r="AM70" s="27"/>
      <c r="AN70" s="27"/>
      <c r="AO70" s="27"/>
      <c r="AP70" s="27"/>
      <c r="AQ70" s="27"/>
      <c r="AR70" s="27"/>
      <c r="AS70" s="27"/>
      <c r="AT70" s="27"/>
      <c r="AU70" s="27"/>
      <c r="AV70" s="27"/>
      <c r="AW70" s="27"/>
      <c r="AX70" s="27"/>
      <c r="AY70" s="27"/>
      <c r="AZ70" s="27"/>
      <c r="BA70" s="27"/>
      <c r="BB70" s="27"/>
    </row>
    <row r="71" spans="1:54" x14ac:dyDescent="0.2">
      <c r="A71" s="63" t="s">
        <v>196</v>
      </c>
      <c r="B71" s="228">
        <v>0</v>
      </c>
      <c r="C71" s="228">
        <v>0</v>
      </c>
      <c r="D71" s="228">
        <v>0</v>
      </c>
      <c r="E71" s="228">
        <v>0</v>
      </c>
      <c r="F71" s="228">
        <v>0</v>
      </c>
      <c r="G71" s="228">
        <v>2400</v>
      </c>
      <c r="H71" s="284">
        <v>0</v>
      </c>
      <c r="I71" s="284">
        <v>0</v>
      </c>
      <c r="J71" s="284">
        <v>0</v>
      </c>
      <c r="K71" s="105">
        <f>SUM(G71:J71)</f>
        <v>2400</v>
      </c>
      <c r="L71" s="105">
        <v>0</v>
      </c>
      <c r="M71" s="105">
        <v>0</v>
      </c>
      <c r="N71" s="105">
        <v>0</v>
      </c>
      <c r="O71" s="105">
        <v>0</v>
      </c>
      <c r="P71" s="105">
        <f>SUM(L71:O71)</f>
        <v>0</v>
      </c>
      <c r="Q71" s="105">
        <v>0</v>
      </c>
      <c r="R71" s="284">
        <v>0</v>
      </c>
      <c r="S71" s="284">
        <v>0</v>
      </c>
      <c r="T71" s="28"/>
      <c r="AL71" s="27"/>
      <c r="AM71" s="27"/>
      <c r="AN71" s="27"/>
      <c r="AO71" s="27"/>
      <c r="AP71" s="27"/>
      <c r="AQ71" s="27"/>
      <c r="AR71" s="27"/>
      <c r="AS71" s="27"/>
      <c r="AT71" s="27"/>
      <c r="AU71" s="27"/>
      <c r="AV71" s="27"/>
      <c r="AW71" s="27"/>
      <c r="AX71" s="27"/>
      <c r="AY71" s="27"/>
      <c r="AZ71" s="27"/>
      <c r="BA71" s="27"/>
      <c r="BB71" s="27"/>
    </row>
    <row r="72" spans="1:54" x14ac:dyDescent="0.2">
      <c r="A72" s="63" t="s">
        <v>202</v>
      </c>
      <c r="B72" s="228">
        <v>0</v>
      </c>
      <c r="C72" s="228">
        <v>48</v>
      </c>
      <c r="D72" s="228">
        <v>457</v>
      </c>
      <c r="E72" s="228">
        <v>321</v>
      </c>
      <c r="F72" s="228">
        <v>826</v>
      </c>
      <c r="G72" s="228">
        <v>363</v>
      </c>
      <c r="H72" s="284">
        <v>841</v>
      </c>
      <c r="I72" s="284">
        <v>855</v>
      </c>
      <c r="J72" s="189">
        <f t="shared" ref="J72:J73" si="163">+K72-SUM(G72:I72)</f>
        <v>236</v>
      </c>
      <c r="K72" s="284">
        <v>2295</v>
      </c>
      <c r="L72" s="284">
        <v>0</v>
      </c>
      <c r="M72" s="284">
        <v>0</v>
      </c>
      <c r="N72" s="284">
        <v>0</v>
      </c>
      <c r="O72" s="189">
        <f t="shared" ref="O72:O73" si="164">+P72-SUM(L72:N72)</f>
        <v>0</v>
      </c>
      <c r="P72" s="284">
        <v>0</v>
      </c>
      <c r="Q72" s="284">
        <v>0</v>
      </c>
      <c r="R72" s="284">
        <v>0</v>
      </c>
      <c r="S72" s="284">
        <v>0</v>
      </c>
      <c r="T72" s="28"/>
      <c r="AL72" s="27"/>
      <c r="AM72" s="27"/>
      <c r="AN72" s="27"/>
      <c r="AO72" s="27"/>
      <c r="AP72" s="27"/>
      <c r="AQ72" s="27"/>
      <c r="AR72" s="27"/>
      <c r="AS72" s="27"/>
      <c r="AT72" s="27"/>
      <c r="AU72" s="27"/>
      <c r="AV72" s="27"/>
      <c r="AW72" s="27"/>
      <c r="AX72" s="27"/>
      <c r="AY72" s="27"/>
      <c r="AZ72" s="27"/>
      <c r="BA72" s="27"/>
      <c r="BB72" s="27"/>
    </row>
    <row r="73" spans="1:54" ht="25.5" x14ac:dyDescent="0.2">
      <c r="A73" s="310" t="s">
        <v>219</v>
      </c>
      <c r="B73" s="312">
        <v>0</v>
      </c>
      <c r="C73" s="312">
        <v>0</v>
      </c>
      <c r="D73" s="312">
        <v>0</v>
      </c>
      <c r="E73" s="312">
        <v>0</v>
      </c>
      <c r="F73" s="312">
        <v>0</v>
      </c>
      <c r="G73" s="312">
        <v>0</v>
      </c>
      <c r="H73" s="314">
        <v>0</v>
      </c>
      <c r="I73" s="314">
        <v>0</v>
      </c>
      <c r="J73" s="316">
        <f t="shared" si="163"/>
        <v>20056</v>
      </c>
      <c r="K73" s="314">
        <v>20056</v>
      </c>
      <c r="L73" s="314">
        <f>-L26</f>
        <v>1227</v>
      </c>
      <c r="M73" s="314">
        <f>-M26</f>
        <v>5580</v>
      </c>
      <c r="N73" s="314">
        <f>-N26</f>
        <v>489</v>
      </c>
      <c r="O73" s="316">
        <f t="shared" si="164"/>
        <v>1375</v>
      </c>
      <c r="P73" s="314">
        <f>-P26</f>
        <v>8671</v>
      </c>
      <c r="Q73" s="314">
        <f>-Q26</f>
        <v>0</v>
      </c>
      <c r="R73" s="314">
        <f>-R26</f>
        <v>0</v>
      </c>
      <c r="S73" s="314">
        <f>-S26</f>
        <v>0</v>
      </c>
      <c r="T73" s="28"/>
      <c r="AL73" s="27"/>
      <c r="AM73" s="27"/>
      <c r="AN73" s="27"/>
      <c r="AO73" s="27"/>
      <c r="AP73" s="27"/>
      <c r="AQ73" s="27"/>
      <c r="AR73" s="27"/>
      <c r="AS73" s="27"/>
      <c r="AT73" s="27"/>
      <c r="AU73" s="27"/>
      <c r="AV73" s="27"/>
      <c r="AW73" s="27"/>
      <c r="AX73" s="27"/>
      <c r="AY73" s="27"/>
      <c r="AZ73" s="27"/>
      <c r="BA73" s="27"/>
      <c r="BB73" s="27"/>
    </row>
    <row r="74" spans="1:54" s="27" customFormat="1" x14ac:dyDescent="0.2">
      <c r="A74" s="59" t="s">
        <v>71</v>
      </c>
      <c r="B74" s="218">
        <f t="shared" ref="B74:Q74" si="165">SUM(B68:B73)</f>
        <v>26666</v>
      </c>
      <c r="C74" s="218">
        <f t="shared" si="165"/>
        <v>26930</v>
      </c>
      <c r="D74" s="218">
        <f t="shared" si="165"/>
        <v>30597</v>
      </c>
      <c r="E74" s="218">
        <f t="shared" si="165"/>
        <v>26374</v>
      </c>
      <c r="F74" s="218">
        <f t="shared" si="165"/>
        <v>110567</v>
      </c>
      <c r="G74" s="218">
        <f t="shared" si="165"/>
        <v>26934</v>
      </c>
      <c r="H74" s="42">
        <f t="shared" si="165"/>
        <v>28585</v>
      </c>
      <c r="I74" s="42">
        <f t="shared" si="165"/>
        <v>32591</v>
      </c>
      <c r="J74" s="42">
        <f t="shared" si="165"/>
        <v>30740</v>
      </c>
      <c r="K74" s="42">
        <f t="shared" si="165"/>
        <v>118850</v>
      </c>
      <c r="L74" s="42">
        <f t="shared" si="165"/>
        <v>30572</v>
      </c>
      <c r="M74" s="42">
        <f t="shared" si="165"/>
        <v>32145</v>
      </c>
      <c r="N74" s="42">
        <f t="shared" si="165"/>
        <v>35840</v>
      </c>
      <c r="O74" s="42">
        <f t="shared" si="165"/>
        <v>34195</v>
      </c>
      <c r="P74" s="42">
        <f t="shared" si="165"/>
        <v>132752</v>
      </c>
      <c r="Q74" s="42">
        <f t="shared" si="165"/>
        <v>36418</v>
      </c>
      <c r="R74" s="42">
        <f>SUM(R68:R73)</f>
        <v>21022</v>
      </c>
      <c r="S74" s="42">
        <f>SUM(S68:S73)</f>
        <v>46165</v>
      </c>
      <c r="U74" s="26"/>
    </row>
    <row r="75" spans="1:54" x14ac:dyDescent="0.2">
      <c r="A75" s="360" t="s">
        <v>62</v>
      </c>
      <c r="B75" s="229">
        <v>0.14568957510394301</v>
      </c>
      <c r="C75" s="229">
        <v>0.14244381324150918</v>
      </c>
      <c r="D75" s="229">
        <v>0.15907353973329175</v>
      </c>
      <c r="E75" s="229">
        <v>0.13328616550852812</v>
      </c>
      <c r="F75" s="229">
        <v>0.14504204326323936</v>
      </c>
      <c r="G75" s="229">
        <f t="shared" ref="G75:S75" si="166">IF(G74/G66&lt;0, "NM",G74/G66)</f>
        <v>0.13013291588757953</v>
      </c>
      <c r="H75" s="107">
        <f t="shared" si="166"/>
        <v>0.13604648949131892</v>
      </c>
      <c r="I75" s="107">
        <f t="shared" si="166"/>
        <v>0.14101088593136152</v>
      </c>
      <c r="J75" s="107">
        <f t="shared" si="166"/>
        <v>0.13086252623423286</v>
      </c>
      <c r="K75" s="107">
        <f t="shared" si="166"/>
        <v>0.13458089121198671</v>
      </c>
      <c r="L75" s="107">
        <f t="shared" si="166"/>
        <v>0.12761037345610732</v>
      </c>
      <c r="M75" s="107">
        <f t="shared" si="166"/>
        <v>0.13200744120340521</v>
      </c>
      <c r="N75" s="322">
        <f t="shared" si="166"/>
        <v>0.1425661914460285</v>
      </c>
      <c r="O75" s="322">
        <f t="shared" si="166"/>
        <v>0.13312077610638762</v>
      </c>
      <c r="P75" s="107">
        <f t="shared" si="166"/>
        <v>0.13391086462244262</v>
      </c>
      <c r="Q75" s="107">
        <f t="shared" si="166"/>
        <v>0.14804666856376275</v>
      </c>
      <c r="R75" s="107">
        <f t="shared" ref="R75" si="167">IF(R74/R66&lt;0, "NM",R74/R66)</f>
        <v>9.4492365365684824E-2</v>
      </c>
      <c r="S75" s="107">
        <f t="shared" si="166"/>
        <v>0.1915417105776332</v>
      </c>
      <c r="AL75" s="27"/>
      <c r="AM75" s="27"/>
      <c r="AN75" s="27"/>
      <c r="AO75" s="27"/>
      <c r="AP75" s="27"/>
      <c r="AQ75" s="27"/>
      <c r="AR75" s="27"/>
      <c r="AS75" s="27"/>
      <c r="AT75" s="27"/>
      <c r="AU75" s="27"/>
      <c r="AV75" s="27"/>
      <c r="AW75" s="27"/>
      <c r="AX75" s="27"/>
      <c r="AY75" s="27"/>
      <c r="AZ75" s="27"/>
      <c r="BA75" s="27"/>
      <c r="BB75" s="27"/>
    </row>
    <row r="76" spans="1:54" s="27" customFormat="1" x14ac:dyDescent="0.2">
      <c r="A76" s="60" t="s">
        <v>131</v>
      </c>
      <c r="B76" s="214">
        <v>0.16985268461194436</v>
      </c>
      <c r="C76" s="214">
        <v>9.900247506187565E-3</v>
      </c>
      <c r="D76" s="214">
        <v>0.13616784255477166</v>
      </c>
      <c r="E76" s="214">
        <v>-0.13802006732686212</v>
      </c>
      <c r="F76" s="221" t="s">
        <v>83</v>
      </c>
      <c r="G76" s="214">
        <f>G74/E74-1</f>
        <v>2.123303253203912E-2</v>
      </c>
      <c r="H76" s="35">
        <f>H74/G74-1</f>
        <v>6.1297987673572418E-2</v>
      </c>
      <c r="I76" s="35">
        <f>I74/H74-1</f>
        <v>0.14014343186986178</v>
      </c>
      <c r="J76" s="35">
        <f>J74/I74-1</f>
        <v>-5.6794820656009382E-2</v>
      </c>
      <c r="K76" s="35" t="s">
        <v>83</v>
      </c>
      <c r="L76" s="146">
        <f>L74/J74-1</f>
        <v>-5.4651919323357445E-3</v>
      </c>
      <c r="M76" s="146">
        <f>M74/L74-1</f>
        <v>5.1452309302629784E-2</v>
      </c>
      <c r="N76" s="146">
        <f>N74/M74-1</f>
        <v>0.1149478923627314</v>
      </c>
      <c r="O76" s="146">
        <f>O74/N74-1</f>
        <v>-4.58984375E-2</v>
      </c>
      <c r="P76" s="35" t="s">
        <v>83</v>
      </c>
      <c r="Q76" s="146">
        <f>Q74/O74-1</f>
        <v>6.5009504313496169E-2</v>
      </c>
      <c r="R76" s="146">
        <f>R74/Q74-1</f>
        <v>-0.42275797682464711</v>
      </c>
      <c r="S76" s="146">
        <f>S74/R74-1</f>
        <v>1.1960327276186851</v>
      </c>
      <c r="U76" s="26"/>
    </row>
    <row r="77" spans="1:54" ht="13.5" thickBot="1" x14ac:dyDescent="0.25">
      <c r="A77" s="111" t="s">
        <v>132</v>
      </c>
      <c r="B77" s="222">
        <v>6.767149662874905E-2</v>
      </c>
      <c r="C77" s="222">
        <v>0.15065800717826017</v>
      </c>
      <c r="D77" s="222">
        <v>0.23919646834879105</v>
      </c>
      <c r="E77" s="222">
        <v>0.1098067803816003</v>
      </c>
      <c r="F77" s="222">
        <v>0.12145007207428482</v>
      </c>
      <c r="G77" s="222">
        <f t="shared" ref="G77:K77" si="168">G74/B74-1</f>
        <v>1.0050251256281451E-2</v>
      </c>
      <c r="H77" s="79">
        <f t="shared" si="168"/>
        <v>6.1455625696249516E-2</v>
      </c>
      <c r="I77" s="79">
        <f t="shared" si="168"/>
        <v>6.5169787887701336E-2</v>
      </c>
      <c r="J77" s="79">
        <f t="shared" si="168"/>
        <v>0.16554182149086216</v>
      </c>
      <c r="K77" s="79">
        <f t="shared" si="168"/>
        <v>7.4913853138820707E-2</v>
      </c>
      <c r="L77" s="79">
        <f>L74/G74-1</f>
        <v>0.13507091408628491</v>
      </c>
      <c r="M77" s="79">
        <f>M74/H74-1</f>
        <v>0.12454084309952762</v>
      </c>
      <c r="N77" s="79">
        <f>N74/I74-1</f>
        <v>9.9690098493449009E-2</v>
      </c>
      <c r="O77" s="79">
        <f>O74/J74-1</f>
        <v>0.11239427456083284</v>
      </c>
      <c r="P77" s="79">
        <f t="shared" ref="P77" si="169">P74/K74-1</f>
        <v>0.11697097181320992</v>
      </c>
      <c r="Q77" s="79">
        <f>Q74/L74-1</f>
        <v>0.19122072484626451</v>
      </c>
      <c r="R77" s="79">
        <f>R74/M74-1</f>
        <v>-0.34602582050085551</v>
      </c>
      <c r="S77" s="79">
        <f>S74/N74-1</f>
        <v>0.2880859375</v>
      </c>
      <c r="AL77" s="27"/>
      <c r="AM77" s="27"/>
      <c r="AN77" s="27"/>
      <c r="AO77" s="27"/>
      <c r="AP77" s="27"/>
      <c r="AQ77" s="27"/>
      <c r="AR77" s="27"/>
      <c r="AS77" s="27"/>
      <c r="AT77" s="27"/>
      <c r="AU77" s="27"/>
      <c r="AV77" s="27"/>
      <c r="AW77" s="27"/>
      <c r="AX77" s="27"/>
      <c r="AY77" s="27"/>
      <c r="AZ77" s="27"/>
      <c r="BA77" s="27"/>
      <c r="BB77" s="27"/>
    </row>
    <row r="78" spans="1:54" ht="6" customHeight="1" x14ac:dyDescent="0.2">
      <c r="A78" s="112"/>
      <c r="B78" s="214"/>
      <c r="C78" s="212"/>
      <c r="D78" s="212"/>
      <c r="E78" s="212"/>
      <c r="F78" s="212"/>
      <c r="G78" s="212"/>
      <c r="AL78" s="27"/>
      <c r="AM78" s="27"/>
      <c r="AN78" s="27"/>
      <c r="AO78" s="27"/>
      <c r="AP78" s="27"/>
      <c r="AQ78" s="27"/>
      <c r="AR78" s="27"/>
      <c r="AS78" s="27"/>
      <c r="AT78" s="27"/>
      <c r="AU78" s="27"/>
      <c r="AV78" s="27"/>
      <c r="AW78" s="27"/>
      <c r="AX78" s="27"/>
      <c r="AY78" s="27"/>
      <c r="AZ78" s="27"/>
      <c r="BA78" s="27"/>
      <c r="BB78" s="27"/>
    </row>
    <row r="79" spans="1:54" x14ac:dyDescent="0.2">
      <c r="A79" s="59" t="s">
        <v>70</v>
      </c>
      <c r="B79" s="218">
        <f t="shared" ref="B79:S79" si="170">B68</f>
        <v>17212</v>
      </c>
      <c r="C79" s="218">
        <f t="shared" si="170"/>
        <v>18268</v>
      </c>
      <c r="D79" s="218">
        <f t="shared" si="170"/>
        <v>20945</v>
      </c>
      <c r="E79" s="213">
        <f t="shared" si="170"/>
        <v>16300</v>
      </c>
      <c r="F79" s="218">
        <f t="shared" si="170"/>
        <v>72725</v>
      </c>
      <c r="G79" s="218">
        <f t="shared" si="170"/>
        <v>15150</v>
      </c>
      <c r="H79" s="42">
        <f t="shared" si="170"/>
        <v>17090</v>
      </c>
      <c r="I79" s="42">
        <f t="shared" si="170"/>
        <v>19674</v>
      </c>
      <c r="J79" s="42">
        <f t="shared" si="170"/>
        <v>-2093</v>
      </c>
      <c r="K79" s="42">
        <f t="shared" si="170"/>
        <v>49821</v>
      </c>
      <c r="L79" s="42">
        <f t="shared" si="170"/>
        <v>16861</v>
      </c>
      <c r="M79" s="42">
        <f t="shared" si="170"/>
        <v>13856</v>
      </c>
      <c r="N79" s="42">
        <f t="shared" si="170"/>
        <v>22422</v>
      </c>
      <c r="O79" s="42">
        <f t="shared" si="170"/>
        <v>23314</v>
      </c>
      <c r="P79" s="42">
        <f t="shared" si="170"/>
        <v>76453</v>
      </c>
      <c r="Q79" s="42">
        <f t="shared" si="170"/>
        <v>27487</v>
      </c>
      <c r="R79" s="42">
        <f t="shared" ref="R79" si="171">R68</f>
        <v>9866</v>
      </c>
      <c r="S79" s="42">
        <f t="shared" si="170"/>
        <v>34406</v>
      </c>
      <c r="AL79" s="27"/>
      <c r="AM79" s="27"/>
      <c r="AN79" s="27"/>
      <c r="AO79" s="27"/>
      <c r="AP79" s="27"/>
      <c r="AQ79" s="27"/>
      <c r="AR79" s="27"/>
      <c r="AS79" s="27"/>
      <c r="AT79" s="27"/>
      <c r="AU79" s="27"/>
      <c r="AV79" s="27"/>
      <c r="AW79" s="27"/>
      <c r="AX79" s="27"/>
      <c r="AY79" s="27"/>
      <c r="AZ79" s="27"/>
      <c r="BA79" s="27"/>
      <c r="BB79" s="27"/>
    </row>
    <row r="80" spans="1:54" x14ac:dyDescent="0.2">
      <c r="A80" s="63" t="s">
        <v>128</v>
      </c>
      <c r="B80" s="230">
        <f t="shared" ref="B80:S80" si="172">-B23-B69</f>
        <v>5874</v>
      </c>
      <c r="C80" s="230">
        <f t="shared" si="172"/>
        <v>6028</v>
      </c>
      <c r="D80" s="230">
        <f t="shared" si="172"/>
        <v>6095</v>
      </c>
      <c r="E80" s="215">
        <f t="shared" si="172"/>
        <v>6577</v>
      </c>
      <c r="F80" s="230">
        <f t="shared" si="172"/>
        <v>24574</v>
      </c>
      <c r="G80" s="230">
        <f t="shared" si="172"/>
        <v>6557</v>
      </c>
      <c r="H80" s="86">
        <f t="shared" si="172"/>
        <v>6821</v>
      </c>
      <c r="I80" s="28">
        <f t="shared" si="172"/>
        <v>7381</v>
      </c>
      <c r="J80" s="28">
        <f t="shared" si="172"/>
        <v>7430</v>
      </c>
      <c r="K80" s="86">
        <f t="shared" si="172"/>
        <v>28189</v>
      </c>
      <c r="L80" s="86">
        <f t="shared" si="172"/>
        <v>8139</v>
      </c>
      <c r="M80" s="86">
        <f t="shared" si="172"/>
        <v>7198</v>
      </c>
      <c r="N80" s="86">
        <f t="shared" si="172"/>
        <v>7545</v>
      </c>
      <c r="O80" s="86">
        <f t="shared" si="172"/>
        <v>7541</v>
      </c>
      <c r="P80" s="86">
        <f t="shared" si="172"/>
        <v>30423</v>
      </c>
      <c r="Q80" s="86">
        <f t="shared" si="172"/>
        <v>8297</v>
      </c>
      <c r="R80" s="86">
        <f t="shared" ref="R80" si="173">-R23-R69</f>
        <v>8975</v>
      </c>
      <c r="S80" s="86">
        <f t="shared" si="172"/>
        <v>9012</v>
      </c>
      <c r="T80" s="28"/>
      <c r="AL80" s="27"/>
      <c r="AM80" s="27"/>
      <c r="AN80" s="27"/>
      <c r="AO80" s="27"/>
      <c r="AP80" s="27"/>
      <c r="AQ80" s="27"/>
      <c r="AR80" s="27"/>
      <c r="AS80" s="27"/>
      <c r="AT80" s="27"/>
      <c r="AU80" s="27"/>
      <c r="AV80" s="27"/>
      <c r="AW80" s="27"/>
      <c r="AX80" s="27"/>
      <c r="AY80" s="27"/>
      <c r="AZ80" s="27"/>
      <c r="BA80" s="27"/>
      <c r="BB80" s="27"/>
    </row>
    <row r="81" spans="1:54" x14ac:dyDescent="0.2">
      <c r="A81" s="63" t="s">
        <v>189</v>
      </c>
      <c r="B81" s="230">
        <f t="shared" ref="B81:S81" si="174">B69</f>
        <v>3498</v>
      </c>
      <c r="C81" s="230">
        <f t="shared" si="174"/>
        <v>3507</v>
      </c>
      <c r="D81" s="230">
        <f t="shared" si="174"/>
        <v>3487</v>
      </c>
      <c r="E81" s="215">
        <f t="shared" si="174"/>
        <v>3483</v>
      </c>
      <c r="F81" s="230">
        <f t="shared" si="174"/>
        <v>13975</v>
      </c>
      <c r="G81" s="230">
        <f t="shared" si="174"/>
        <v>3947</v>
      </c>
      <c r="H81" s="86">
        <f t="shared" si="174"/>
        <v>3761</v>
      </c>
      <c r="I81" s="28">
        <f t="shared" si="174"/>
        <v>6718</v>
      </c>
      <c r="J81" s="28">
        <f t="shared" si="174"/>
        <v>5951</v>
      </c>
      <c r="K81" s="86">
        <f t="shared" si="174"/>
        <v>20377</v>
      </c>
      <c r="L81" s="86">
        <f t="shared" si="174"/>
        <v>5528</v>
      </c>
      <c r="M81" s="86">
        <f t="shared" si="174"/>
        <v>5554</v>
      </c>
      <c r="N81" s="86">
        <f t="shared" si="174"/>
        <v>5502</v>
      </c>
      <c r="O81" s="86">
        <f t="shared" si="174"/>
        <v>4974</v>
      </c>
      <c r="P81" s="86">
        <f t="shared" si="174"/>
        <v>21558</v>
      </c>
      <c r="Q81" s="86">
        <f t="shared" si="174"/>
        <v>4153</v>
      </c>
      <c r="R81" s="86">
        <f t="shared" ref="R81" si="175">R69</f>
        <v>3430</v>
      </c>
      <c r="S81" s="86">
        <f t="shared" si="174"/>
        <v>3413</v>
      </c>
      <c r="T81" s="28"/>
      <c r="AL81" s="27"/>
      <c r="AM81" s="27"/>
      <c r="AN81" s="27"/>
      <c r="AO81" s="27"/>
      <c r="AP81" s="27"/>
      <c r="AQ81" s="27"/>
      <c r="AR81" s="27"/>
      <c r="AS81" s="27"/>
      <c r="AT81" s="27"/>
      <c r="AU81" s="27"/>
      <c r="AV81" s="27"/>
      <c r="AW81" s="27"/>
      <c r="AX81" s="27"/>
      <c r="AY81" s="27"/>
      <c r="AZ81" s="27"/>
      <c r="BA81" s="27"/>
      <c r="BB81" s="27"/>
    </row>
    <row r="82" spans="1:54" x14ac:dyDescent="0.2">
      <c r="A82" s="63" t="s">
        <v>190</v>
      </c>
      <c r="B82" s="230">
        <f t="shared" ref="B82:S82" si="176">B70</f>
        <v>5956</v>
      </c>
      <c r="C82" s="230">
        <f t="shared" si="176"/>
        <v>5107</v>
      </c>
      <c r="D82" s="230">
        <f t="shared" si="176"/>
        <v>5708</v>
      </c>
      <c r="E82" s="215">
        <f t="shared" si="176"/>
        <v>6270</v>
      </c>
      <c r="F82" s="230">
        <f t="shared" si="176"/>
        <v>23041</v>
      </c>
      <c r="G82" s="230">
        <f t="shared" si="176"/>
        <v>5074</v>
      </c>
      <c r="H82" s="86">
        <f t="shared" si="176"/>
        <v>6893</v>
      </c>
      <c r="I82" s="28">
        <f t="shared" si="176"/>
        <v>5344</v>
      </c>
      <c r="J82" s="28">
        <f t="shared" si="176"/>
        <v>6590</v>
      </c>
      <c r="K82" s="86">
        <f t="shared" si="176"/>
        <v>23901</v>
      </c>
      <c r="L82" s="86">
        <f t="shared" si="176"/>
        <v>6956</v>
      </c>
      <c r="M82" s="86">
        <f t="shared" si="176"/>
        <v>7155</v>
      </c>
      <c r="N82" s="86">
        <f t="shared" si="176"/>
        <v>7427</v>
      </c>
      <c r="O82" s="86">
        <f t="shared" si="176"/>
        <v>4532</v>
      </c>
      <c r="P82" s="86">
        <f t="shared" si="176"/>
        <v>26070</v>
      </c>
      <c r="Q82" s="86">
        <f t="shared" si="176"/>
        <v>4778</v>
      </c>
      <c r="R82" s="86">
        <f t="shared" ref="R82" si="177">R70</f>
        <v>7726</v>
      </c>
      <c r="S82" s="86">
        <f t="shared" si="176"/>
        <v>8346</v>
      </c>
      <c r="T82" s="28"/>
      <c r="AL82" s="27"/>
      <c r="AM82" s="27"/>
      <c r="AN82" s="27"/>
      <c r="AO82" s="27"/>
      <c r="AP82" s="27"/>
      <c r="AQ82" s="27"/>
      <c r="AR82" s="27"/>
      <c r="AS82" s="27"/>
      <c r="AT82" s="27"/>
      <c r="AU82" s="27"/>
      <c r="AV82" s="27"/>
      <c r="AW82" s="27"/>
      <c r="AX82" s="27"/>
      <c r="AY82" s="27"/>
      <c r="AZ82" s="27"/>
      <c r="BA82" s="27"/>
      <c r="BB82" s="27"/>
    </row>
    <row r="83" spans="1:54" x14ac:dyDescent="0.2">
      <c r="A83" s="63" t="s">
        <v>195</v>
      </c>
      <c r="B83" s="226">
        <v>0</v>
      </c>
      <c r="C83" s="226">
        <v>0</v>
      </c>
      <c r="D83" s="226">
        <v>0</v>
      </c>
      <c r="E83" s="215">
        <v>0</v>
      </c>
      <c r="F83" s="226">
        <v>0</v>
      </c>
      <c r="G83" s="215">
        <f t="shared" ref="G83:Q83" si="178">G71</f>
        <v>2400</v>
      </c>
      <c r="H83" s="28">
        <f t="shared" si="178"/>
        <v>0</v>
      </c>
      <c r="I83" s="28">
        <f t="shared" si="178"/>
        <v>0</v>
      </c>
      <c r="J83" s="28">
        <f t="shared" si="178"/>
        <v>0</v>
      </c>
      <c r="K83" s="28">
        <f t="shared" si="178"/>
        <v>2400</v>
      </c>
      <c r="L83" s="28">
        <f t="shared" si="178"/>
        <v>0</v>
      </c>
      <c r="M83" s="28">
        <f t="shared" si="178"/>
        <v>0</v>
      </c>
      <c r="N83" s="28">
        <f t="shared" si="178"/>
        <v>0</v>
      </c>
      <c r="O83" s="28">
        <f t="shared" si="178"/>
        <v>0</v>
      </c>
      <c r="P83" s="28">
        <f t="shared" si="178"/>
        <v>0</v>
      </c>
      <c r="Q83" s="28">
        <f t="shared" si="178"/>
        <v>0</v>
      </c>
      <c r="R83" s="28">
        <f t="shared" ref="R83:S83" si="179">R71</f>
        <v>0</v>
      </c>
      <c r="S83" s="28">
        <f t="shared" si="179"/>
        <v>0</v>
      </c>
      <c r="T83" s="28"/>
      <c r="AL83" s="27"/>
      <c r="AM83" s="27"/>
      <c r="AN83" s="27"/>
      <c r="AO83" s="27"/>
      <c r="AP83" s="27"/>
      <c r="AQ83" s="27"/>
      <c r="AR83" s="27"/>
      <c r="AS83" s="27"/>
      <c r="AT83" s="27"/>
      <c r="AU83" s="27"/>
      <c r="AV83" s="27"/>
      <c r="AW83" s="27"/>
      <c r="AX83" s="27"/>
      <c r="AY83" s="27"/>
      <c r="AZ83" s="27"/>
      <c r="BA83" s="27"/>
      <c r="BB83" s="27"/>
    </row>
    <row r="84" spans="1:54" x14ac:dyDescent="0.2">
      <c r="A84" s="63" t="s">
        <v>202</v>
      </c>
      <c r="B84" s="228">
        <v>0</v>
      </c>
      <c r="C84" s="215">
        <f>C72</f>
        <v>48</v>
      </c>
      <c r="D84" s="228">
        <f>D72</f>
        <v>457</v>
      </c>
      <c r="E84" s="228">
        <f>E72</f>
        <v>321</v>
      </c>
      <c r="F84" s="228">
        <f>F72</f>
        <v>826</v>
      </c>
      <c r="G84" s="228">
        <f t="shared" ref="G84:Q84" si="180">G72</f>
        <v>363</v>
      </c>
      <c r="H84" s="284">
        <f t="shared" si="180"/>
        <v>841</v>
      </c>
      <c r="I84" s="284">
        <f t="shared" si="180"/>
        <v>855</v>
      </c>
      <c r="J84" s="284">
        <f t="shared" si="180"/>
        <v>236</v>
      </c>
      <c r="K84" s="28">
        <f t="shared" si="180"/>
        <v>2295</v>
      </c>
      <c r="L84" s="28">
        <f t="shared" si="180"/>
        <v>0</v>
      </c>
      <c r="M84" s="28">
        <f t="shared" si="180"/>
        <v>0</v>
      </c>
      <c r="N84" s="28">
        <f t="shared" si="180"/>
        <v>0</v>
      </c>
      <c r="O84" s="28">
        <f t="shared" si="180"/>
        <v>0</v>
      </c>
      <c r="P84" s="28">
        <f t="shared" si="180"/>
        <v>0</v>
      </c>
      <c r="Q84" s="28">
        <f t="shared" si="180"/>
        <v>0</v>
      </c>
      <c r="R84" s="28">
        <f t="shared" ref="R84:S84" si="181">R72</f>
        <v>0</v>
      </c>
      <c r="S84" s="28">
        <f t="shared" si="181"/>
        <v>0</v>
      </c>
      <c r="T84" s="28"/>
      <c r="AL84" s="27"/>
      <c r="AM84" s="27"/>
      <c r="AN84" s="27"/>
      <c r="AO84" s="27"/>
      <c r="AP84" s="27"/>
      <c r="AQ84" s="27"/>
      <c r="AR84" s="27"/>
      <c r="AS84" s="27"/>
      <c r="AT84" s="27"/>
      <c r="AU84" s="27"/>
      <c r="AV84" s="27"/>
      <c r="AW84" s="27"/>
      <c r="AX84" s="27"/>
      <c r="AY84" s="27"/>
      <c r="AZ84" s="27"/>
      <c r="BA84" s="27"/>
      <c r="BB84" s="27"/>
    </row>
    <row r="85" spans="1:54" ht="25.5" x14ac:dyDescent="0.2">
      <c r="A85" s="310" t="s">
        <v>216</v>
      </c>
      <c r="B85" s="312">
        <v>0</v>
      </c>
      <c r="C85" s="313">
        <v>0</v>
      </c>
      <c r="D85" s="312">
        <v>0</v>
      </c>
      <c r="E85" s="312">
        <v>0</v>
      </c>
      <c r="F85" s="312">
        <v>0</v>
      </c>
      <c r="G85" s="312">
        <v>0</v>
      </c>
      <c r="H85" s="314">
        <v>0</v>
      </c>
      <c r="I85" s="314">
        <v>0</v>
      </c>
      <c r="J85" s="314">
        <f t="shared" ref="J85:S85" si="182">J73</f>
        <v>20056</v>
      </c>
      <c r="K85" s="315">
        <f t="shared" si="182"/>
        <v>20056</v>
      </c>
      <c r="L85" s="315">
        <f t="shared" si="182"/>
        <v>1227</v>
      </c>
      <c r="M85" s="315">
        <f t="shared" si="182"/>
        <v>5580</v>
      </c>
      <c r="N85" s="315">
        <f t="shared" si="182"/>
        <v>489</v>
      </c>
      <c r="O85" s="315">
        <f t="shared" si="182"/>
        <v>1375</v>
      </c>
      <c r="P85" s="315">
        <f t="shared" si="182"/>
        <v>8671</v>
      </c>
      <c r="Q85" s="315">
        <f t="shared" si="182"/>
        <v>0</v>
      </c>
      <c r="R85" s="315">
        <f t="shared" ref="R85" si="183">R73</f>
        <v>0</v>
      </c>
      <c r="S85" s="315">
        <f t="shared" si="182"/>
        <v>0</v>
      </c>
      <c r="T85" s="28"/>
      <c r="AL85" s="27"/>
      <c r="AM85" s="27"/>
      <c r="AN85" s="27"/>
      <c r="AO85" s="27"/>
      <c r="AP85" s="27"/>
      <c r="AQ85" s="27"/>
      <c r="AR85" s="27"/>
      <c r="AS85" s="27"/>
      <c r="AT85" s="27"/>
      <c r="AU85" s="27"/>
      <c r="AV85" s="27"/>
      <c r="AW85" s="27"/>
      <c r="AX85" s="27"/>
      <c r="AY85" s="27"/>
      <c r="AZ85" s="27"/>
      <c r="BA85" s="27"/>
      <c r="BB85" s="27"/>
    </row>
    <row r="86" spans="1:54" x14ac:dyDescent="0.2">
      <c r="A86" s="59" t="s">
        <v>125</v>
      </c>
      <c r="B86" s="218">
        <f t="shared" ref="B86:S86" si="184">SUM(B79:B85)</f>
        <v>32540</v>
      </c>
      <c r="C86" s="218">
        <f t="shared" si="184"/>
        <v>32958</v>
      </c>
      <c r="D86" s="218">
        <f t="shared" si="184"/>
        <v>36692</v>
      </c>
      <c r="E86" s="218">
        <f t="shared" si="184"/>
        <v>32951</v>
      </c>
      <c r="F86" s="218">
        <f t="shared" si="184"/>
        <v>135141</v>
      </c>
      <c r="G86" s="218">
        <f t="shared" si="184"/>
        <v>33491</v>
      </c>
      <c r="H86" s="42">
        <f t="shared" si="184"/>
        <v>35406</v>
      </c>
      <c r="I86" s="42">
        <f t="shared" si="184"/>
        <v>39972</v>
      </c>
      <c r="J86" s="42">
        <f t="shared" si="184"/>
        <v>38170</v>
      </c>
      <c r="K86" s="42">
        <f t="shared" si="184"/>
        <v>147039</v>
      </c>
      <c r="L86" s="42">
        <f t="shared" si="184"/>
        <v>38711</v>
      </c>
      <c r="M86" s="42">
        <f t="shared" si="184"/>
        <v>39343</v>
      </c>
      <c r="N86" s="42">
        <f t="shared" si="184"/>
        <v>43385</v>
      </c>
      <c r="O86" s="42">
        <f t="shared" si="184"/>
        <v>41736</v>
      </c>
      <c r="P86" s="42">
        <f t="shared" si="184"/>
        <v>163175</v>
      </c>
      <c r="Q86" s="42">
        <f t="shared" si="184"/>
        <v>44715</v>
      </c>
      <c r="R86" s="42">
        <f t="shared" ref="R86" si="185">SUM(R79:R85)</f>
        <v>29997</v>
      </c>
      <c r="S86" s="42">
        <f t="shared" si="184"/>
        <v>55177</v>
      </c>
      <c r="AL86" s="27"/>
      <c r="AM86" s="27"/>
      <c r="AN86" s="27"/>
      <c r="AO86" s="27"/>
      <c r="AP86" s="27"/>
      <c r="AQ86" s="27"/>
      <c r="AR86" s="27"/>
      <c r="AS86" s="27"/>
      <c r="AT86" s="27"/>
      <c r="AU86" s="27"/>
      <c r="AV86" s="27"/>
      <c r="AW86" s="27"/>
      <c r="AX86" s="27"/>
      <c r="AY86" s="27"/>
      <c r="AZ86" s="27"/>
      <c r="BA86" s="27"/>
      <c r="BB86" s="27"/>
    </row>
    <row r="87" spans="1:54" x14ac:dyDescent="0.2">
      <c r="A87" s="109" t="s">
        <v>126</v>
      </c>
      <c r="B87" s="231">
        <v>0.1777821485743008</v>
      </c>
      <c r="C87" s="231">
        <v>0.17432837715609578</v>
      </c>
      <c r="D87" s="231">
        <v>0.19076139228989575</v>
      </c>
      <c r="E87" s="231">
        <v>0.16652432090966518</v>
      </c>
      <c r="F87" s="231">
        <v>0.1772782726187509</v>
      </c>
      <c r="G87" s="231">
        <f t="shared" ref="G87:S87" si="186">IF(G86/G66&lt;0, "NM",G86/G66)</f>
        <v>0.16181337662400411</v>
      </c>
      <c r="H87" s="104">
        <f t="shared" si="186"/>
        <v>0.16851012793176973</v>
      </c>
      <c r="I87" s="104">
        <f t="shared" si="186"/>
        <v>0.17294612415846039</v>
      </c>
      <c r="J87" s="104">
        <f t="shared" si="186"/>
        <v>0.1624926033298851</v>
      </c>
      <c r="K87" s="104">
        <f t="shared" si="186"/>
        <v>0.1665009647700405</v>
      </c>
      <c r="L87" s="104">
        <f t="shared" si="186"/>
        <v>0.16158331698480213</v>
      </c>
      <c r="M87" s="104">
        <f t="shared" si="186"/>
        <v>0.16156692360446637</v>
      </c>
      <c r="N87" s="104">
        <f t="shared" si="186"/>
        <v>0.17257907968431771</v>
      </c>
      <c r="O87" s="104">
        <f t="shared" si="186"/>
        <v>0.16247780995982436</v>
      </c>
      <c r="P87" s="104">
        <f t="shared" si="186"/>
        <v>0.16459944358478271</v>
      </c>
      <c r="Q87" s="104">
        <f t="shared" si="186"/>
        <v>0.18177568193829016</v>
      </c>
      <c r="R87" s="104">
        <f t="shared" ref="R87" si="187">IF(R86/R66&lt;0, "NM",R86/R66)</f>
        <v>0.13483433944793299</v>
      </c>
      <c r="S87" s="104">
        <f t="shared" si="186"/>
        <v>0.22893310873046827</v>
      </c>
      <c r="AL87" s="27"/>
      <c r="AM87" s="27"/>
      <c r="AN87" s="27"/>
      <c r="AO87" s="27"/>
      <c r="AP87" s="27"/>
      <c r="AQ87" s="27"/>
      <c r="AR87" s="27"/>
      <c r="AS87" s="27"/>
      <c r="AT87" s="27"/>
      <c r="AU87" s="27"/>
      <c r="AV87" s="27"/>
      <c r="AW87" s="27"/>
      <c r="AX87" s="27"/>
      <c r="AY87" s="27"/>
      <c r="AZ87" s="27"/>
      <c r="BA87" s="27"/>
      <c r="BB87" s="27"/>
    </row>
    <row r="88" spans="1:54" x14ac:dyDescent="0.2">
      <c r="A88" s="60" t="s">
        <v>131</v>
      </c>
      <c r="B88" s="229">
        <v>0.13055895498265579</v>
      </c>
      <c r="C88" s="229">
        <v>1.2845728334357709E-2</v>
      </c>
      <c r="D88" s="229">
        <v>0.11329570969112202</v>
      </c>
      <c r="E88" s="229">
        <v>-0.10195682982666521</v>
      </c>
      <c r="F88" s="231" t="s">
        <v>83</v>
      </c>
      <c r="G88" s="231">
        <f>G86/E86-1</f>
        <v>1.6387970016084497E-2</v>
      </c>
      <c r="H88" s="104">
        <f>H86/G86-1</f>
        <v>5.7179540772147819E-2</v>
      </c>
      <c r="I88" s="104">
        <f>I86/H86-1</f>
        <v>0.12896119301813247</v>
      </c>
      <c r="J88" s="104">
        <f>J86/I86-1</f>
        <v>-4.5081557089962976E-2</v>
      </c>
      <c r="K88" s="104" t="s">
        <v>83</v>
      </c>
      <c r="L88" s="305">
        <f>L86/J86-1</f>
        <v>1.4173434634529691E-2</v>
      </c>
      <c r="M88" s="305">
        <f>M86/L86-1</f>
        <v>1.6326108857947386E-2</v>
      </c>
      <c r="N88" s="305">
        <f>N86/M86-1</f>
        <v>0.10273746282693241</v>
      </c>
      <c r="O88" s="305">
        <f>O86/N86-1</f>
        <v>-3.8008528293188903E-2</v>
      </c>
      <c r="P88" s="104" t="s">
        <v>83</v>
      </c>
      <c r="Q88" s="305">
        <f>Q86/O86-1</f>
        <v>7.1377228292121897E-2</v>
      </c>
      <c r="R88" s="305">
        <f>R86/Q86-1</f>
        <v>-0.32915129151291511</v>
      </c>
      <c r="S88" s="305">
        <f>S86/R86-1</f>
        <v>0.83941727506083952</v>
      </c>
      <c r="AL88" s="27"/>
      <c r="AM88" s="27"/>
      <c r="AN88" s="27"/>
      <c r="AO88" s="27"/>
      <c r="AP88" s="27"/>
      <c r="AQ88" s="27"/>
      <c r="AR88" s="27"/>
      <c r="AS88" s="27"/>
      <c r="AT88" s="27"/>
      <c r="AU88" s="27"/>
      <c r="AV88" s="27"/>
      <c r="AW88" s="27"/>
      <c r="AX88" s="27"/>
      <c r="AY88" s="27"/>
      <c r="AZ88" s="27"/>
      <c r="BA88" s="27"/>
      <c r="BB88" s="27"/>
    </row>
    <row r="89" spans="1:54" ht="13.5" thickBot="1" x14ac:dyDescent="0.25">
      <c r="A89" s="111" t="s">
        <v>132</v>
      </c>
      <c r="B89" s="222">
        <v>7.0611428224670814E-2</v>
      </c>
      <c r="C89" s="222">
        <v>0.1382096974720266</v>
      </c>
      <c r="D89" s="222">
        <v>0.20538764783180019</v>
      </c>
      <c r="E89" s="222">
        <v>0.1093888417996709</v>
      </c>
      <c r="F89" s="222">
        <v>0.11520663955659449</v>
      </c>
      <c r="G89" s="222">
        <f t="shared" ref="G89:R89" si="188">G86/B86-1</f>
        <v>2.9225568531038748E-2</v>
      </c>
      <c r="H89" s="79">
        <f t="shared" si="188"/>
        <v>7.4276351720371281E-2</v>
      </c>
      <c r="I89" s="79">
        <f t="shared" si="188"/>
        <v>8.939278316799304E-2</v>
      </c>
      <c r="J89" s="79">
        <f t="shared" si="188"/>
        <v>0.15838669539619432</v>
      </c>
      <c r="K89" s="79">
        <f t="shared" si="188"/>
        <v>8.804137900415121E-2</v>
      </c>
      <c r="L89" s="79">
        <f t="shared" si="188"/>
        <v>0.1558627691021468</v>
      </c>
      <c r="M89" s="79">
        <f t="shared" si="188"/>
        <v>0.11119584251256853</v>
      </c>
      <c r="N89" s="79">
        <f t="shared" si="188"/>
        <v>8.5384769338537003E-2</v>
      </c>
      <c r="O89" s="79">
        <f t="shared" si="188"/>
        <v>9.3424155095624739E-2</v>
      </c>
      <c r="P89" s="79">
        <f t="shared" si="188"/>
        <v>0.10973959289712254</v>
      </c>
      <c r="Q89" s="79">
        <f t="shared" si="188"/>
        <v>0.15509803415049994</v>
      </c>
      <c r="R89" s="79">
        <f t="shared" si="188"/>
        <v>-0.23755178811986888</v>
      </c>
      <c r="S89" s="79">
        <f>S86/N86-1</f>
        <v>0.27179900887403474</v>
      </c>
      <c r="AL89" s="27"/>
      <c r="AM89" s="27"/>
      <c r="AN89" s="27"/>
      <c r="AO89" s="27"/>
      <c r="AP89" s="27"/>
      <c r="AQ89" s="27"/>
      <c r="AR89" s="27"/>
      <c r="AS89" s="27"/>
      <c r="AT89" s="27"/>
      <c r="AU89" s="27"/>
      <c r="AV89" s="27"/>
      <c r="AW89" s="27"/>
      <c r="AX89" s="27"/>
      <c r="AY89" s="27"/>
      <c r="AZ89" s="27"/>
      <c r="BA89" s="27"/>
      <c r="BB89" s="27"/>
    </row>
    <row r="90" spans="1:54" ht="6" customHeight="1" x14ac:dyDescent="0.2">
      <c r="A90" s="109"/>
      <c r="B90" s="231"/>
      <c r="C90" s="212"/>
      <c r="D90" s="212"/>
      <c r="E90" s="212"/>
      <c r="F90" s="212"/>
      <c r="G90" s="212"/>
      <c r="AL90" s="27"/>
      <c r="AM90" s="27"/>
      <c r="AN90" s="27"/>
      <c r="AO90" s="27"/>
      <c r="AP90" s="27"/>
      <c r="AQ90" s="27"/>
      <c r="AR90" s="27"/>
      <c r="AS90" s="27"/>
      <c r="AT90" s="27"/>
      <c r="AU90" s="27"/>
      <c r="AV90" s="27"/>
      <c r="AW90" s="27"/>
      <c r="AX90" s="27"/>
      <c r="AY90" s="27"/>
      <c r="AZ90" s="27"/>
      <c r="BA90" s="27"/>
      <c r="BB90" s="27"/>
    </row>
    <row r="91" spans="1:54" x14ac:dyDescent="0.2">
      <c r="A91" s="59" t="s">
        <v>127</v>
      </c>
      <c r="B91" s="213">
        <f t="shared" ref="B91:S91" si="189">B46</f>
        <v>16788</v>
      </c>
      <c r="C91" s="213">
        <f t="shared" si="189"/>
        <v>20378</v>
      </c>
      <c r="D91" s="213">
        <f t="shared" si="189"/>
        <v>21077</v>
      </c>
      <c r="E91" s="213">
        <f t="shared" si="189"/>
        <v>-9355</v>
      </c>
      <c r="F91" s="213">
        <f t="shared" si="189"/>
        <v>48888</v>
      </c>
      <c r="G91" s="213">
        <f t="shared" si="189"/>
        <v>23158</v>
      </c>
      <c r="H91" s="106">
        <f t="shared" si="189"/>
        <v>14462</v>
      </c>
      <c r="I91" s="106">
        <f t="shared" si="189"/>
        <v>15249</v>
      </c>
      <c r="J91" s="106">
        <f t="shared" si="189"/>
        <v>3857</v>
      </c>
      <c r="K91" s="106">
        <f t="shared" si="189"/>
        <v>56726</v>
      </c>
      <c r="L91" s="106">
        <f t="shared" si="189"/>
        <v>14695</v>
      </c>
      <c r="M91" s="106">
        <f t="shared" si="189"/>
        <v>12564</v>
      </c>
      <c r="N91" s="106">
        <f t="shared" si="189"/>
        <v>19044</v>
      </c>
      <c r="O91" s="106">
        <f t="shared" si="189"/>
        <v>21356</v>
      </c>
      <c r="P91" s="106">
        <f t="shared" si="189"/>
        <v>67659</v>
      </c>
      <c r="Q91" s="106">
        <f t="shared" si="189"/>
        <v>22411</v>
      </c>
      <c r="R91" s="106">
        <f t="shared" ref="R91" si="190">R46</f>
        <v>8429</v>
      </c>
      <c r="S91" s="106">
        <f t="shared" si="189"/>
        <v>26418</v>
      </c>
      <c r="AL91" s="27"/>
      <c r="AM91" s="27"/>
      <c r="AN91" s="27"/>
      <c r="AO91" s="27"/>
      <c r="AP91" s="27"/>
      <c r="AQ91" s="27"/>
      <c r="AR91" s="27"/>
      <c r="AS91" s="27"/>
      <c r="AT91" s="27"/>
      <c r="AU91" s="27"/>
      <c r="AV91" s="27"/>
      <c r="AW91" s="27"/>
      <c r="AX91" s="27"/>
      <c r="AY91" s="27"/>
      <c r="AZ91" s="27"/>
      <c r="BA91" s="27"/>
      <c r="BB91" s="27"/>
    </row>
    <row r="92" spans="1:54" x14ac:dyDescent="0.2">
      <c r="A92" s="63" t="s">
        <v>190</v>
      </c>
      <c r="B92" s="228">
        <f t="shared" ref="B92:S92" si="191">B70</f>
        <v>5956</v>
      </c>
      <c r="C92" s="228">
        <f t="shared" si="191"/>
        <v>5107</v>
      </c>
      <c r="D92" s="228">
        <f t="shared" si="191"/>
        <v>5708</v>
      </c>
      <c r="E92" s="228">
        <f t="shared" si="191"/>
        <v>6270</v>
      </c>
      <c r="F92" s="228">
        <f t="shared" si="191"/>
        <v>23041</v>
      </c>
      <c r="G92" s="228">
        <f t="shared" si="191"/>
        <v>5074</v>
      </c>
      <c r="H92" s="105">
        <f t="shared" si="191"/>
        <v>6893</v>
      </c>
      <c r="I92" s="105">
        <f t="shared" si="191"/>
        <v>5344</v>
      </c>
      <c r="J92" s="105">
        <f t="shared" si="191"/>
        <v>6590</v>
      </c>
      <c r="K92" s="105">
        <f t="shared" si="191"/>
        <v>23901</v>
      </c>
      <c r="L92" s="105">
        <f t="shared" si="191"/>
        <v>6956</v>
      </c>
      <c r="M92" s="105">
        <f t="shared" si="191"/>
        <v>7155</v>
      </c>
      <c r="N92" s="105">
        <f t="shared" si="191"/>
        <v>7427</v>
      </c>
      <c r="O92" s="105">
        <f t="shared" si="191"/>
        <v>4532</v>
      </c>
      <c r="P92" s="284">
        <f t="shared" si="191"/>
        <v>26070</v>
      </c>
      <c r="Q92" s="105">
        <f t="shared" si="191"/>
        <v>4778</v>
      </c>
      <c r="R92" s="105">
        <f t="shared" ref="R92" si="192">R70</f>
        <v>7726</v>
      </c>
      <c r="S92" s="105">
        <f t="shared" si="191"/>
        <v>8346</v>
      </c>
      <c r="T92" s="28"/>
      <c r="AL92" s="27"/>
      <c r="AM92" s="27"/>
      <c r="AN92" s="27"/>
      <c r="AO92" s="27"/>
      <c r="AP92" s="27"/>
      <c r="AQ92" s="27"/>
      <c r="AR92" s="27"/>
      <c r="AS92" s="27"/>
      <c r="AT92" s="27"/>
      <c r="AU92" s="27"/>
      <c r="AV92" s="27"/>
      <c r="AW92" s="27"/>
      <c r="AX92" s="27"/>
      <c r="AY92" s="27"/>
      <c r="AZ92" s="27"/>
      <c r="BA92" s="27"/>
      <c r="BB92" s="27"/>
    </row>
    <row r="93" spans="1:54" x14ac:dyDescent="0.2">
      <c r="A93" s="63" t="s">
        <v>189</v>
      </c>
      <c r="B93" s="228">
        <f t="shared" ref="B93:S93" si="193">B69</f>
        <v>3498</v>
      </c>
      <c r="C93" s="228">
        <f t="shared" si="193"/>
        <v>3507</v>
      </c>
      <c r="D93" s="228">
        <f t="shared" si="193"/>
        <v>3487</v>
      </c>
      <c r="E93" s="228">
        <f t="shared" si="193"/>
        <v>3483</v>
      </c>
      <c r="F93" s="228">
        <f t="shared" si="193"/>
        <v>13975</v>
      </c>
      <c r="G93" s="228">
        <f t="shared" si="193"/>
        <v>3947</v>
      </c>
      <c r="H93" s="105">
        <f t="shared" si="193"/>
        <v>3761</v>
      </c>
      <c r="I93" s="105">
        <f t="shared" si="193"/>
        <v>6718</v>
      </c>
      <c r="J93" s="105">
        <f t="shared" si="193"/>
        <v>5951</v>
      </c>
      <c r="K93" s="105">
        <f t="shared" si="193"/>
        <v>20377</v>
      </c>
      <c r="L93" s="105">
        <f t="shared" si="193"/>
        <v>5528</v>
      </c>
      <c r="M93" s="105">
        <f t="shared" si="193"/>
        <v>5554</v>
      </c>
      <c r="N93" s="105">
        <f t="shared" si="193"/>
        <v>5502</v>
      </c>
      <c r="O93" s="105">
        <f t="shared" si="193"/>
        <v>4974</v>
      </c>
      <c r="P93" s="284">
        <f t="shared" si="193"/>
        <v>21558</v>
      </c>
      <c r="Q93" s="105">
        <f t="shared" si="193"/>
        <v>4153</v>
      </c>
      <c r="R93" s="105">
        <f t="shared" ref="R93" si="194">R69</f>
        <v>3430</v>
      </c>
      <c r="S93" s="105">
        <f t="shared" si="193"/>
        <v>3413</v>
      </c>
      <c r="T93" s="28"/>
      <c r="AL93" s="27"/>
      <c r="AM93" s="27"/>
      <c r="AN93" s="27"/>
      <c r="AO93" s="27"/>
      <c r="AP93" s="27"/>
      <c r="AQ93" s="27"/>
      <c r="AR93" s="27"/>
      <c r="AS93" s="27"/>
      <c r="AT93" s="27"/>
      <c r="AU93" s="27"/>
      <c r="AV93" s="27"/>
      <c r="AW93" s="27"/>
      <c r="AX93" s="27"/>
      <c r="AY93" s="27"/>
      <c r="AZ93" s="27"/>
      <c r="BA93" s="27"/>
      <c r="BB93" s="27"/>
    </row>
    <row r="94" spans="1:54" x14ac:dyDescent="0.2">
      <c r="A94" s="63" t="s">
        <v>195</v>
      </c>
      <c r="B94" s="232">
        <v>0</v>
      </c>
      <c r="C94" s="232">
        <v>0</v>
      </c>
      <c r="D94" s="232">
        <v>0</v>
      </c>
      <c r="E94" s="215">
        <f>+F94-SUM(B94,C94,D94)</f>
        <v>0</v>
      </c>
      <c r="F94" s="232">
        <v>0</v>
      </c>
      <c r="G94" s="228">
        <f>G83</f>
        <v>2400</v>
      </c>
      <c r="H94" s="105">
        <v>0</v>
      </c>
      <c r="I94" s="105">
        <v>0</v>
      </c>
      <c r="J94" s="105">
        <v>0</v>
      </c>
      <c r="K94" s="105">
        <f>SUM(G94:J94)</f>
        <v>2400</v>
      </c>
      <c r="L94" s="105">
        <v>0</v>
      </c>
      <c r="M94" s="105">
        <v>0</v>
      </c>
      <c r="N94" s="105">
        <v>0</v>
      </c>
      <c r="O94" s="105">
        <v>0</v>
      </c>
      <c r="P94" s="105">
        <f>SUM(L94:O94)</f>
        <v>0</v>
      </c>
      <c r="Q94" s="105">
        <v>0</v>
      </c>
      <c r="R94" s="105">
        <v>0</v>
      </c>
      <c r="S94" s="105">
        <v>0</v>
      </c>
      <c r="T94" s="28"/>
      <c r="AL94" s="27"/>
      <c r="AM94" s="27"/>
      <c r="AN94" s="27"/>
      <c r="AO94" s="27"/>
      <c r="AP94" s="27"/>
      <c r="AQ94" s="27"/>
      <c r="AR94" s="27"/>
      <c r="AS94" s="27"/>
      <c r="AT94" s="27"/>
      <c r="AU94" s="27"/>
      <c r="AV94" s="27"/>
      <c r="AW94" s="27"/>
      <c r="AX94" s="27"/>
      <c r="AY94" s="27"/>
      <c r="AZ94" s="27"/>
      <c r="BA94" s="27"/>
      <c r="BB94" s="27"/>
    </row>
    <row r="95" spans="1:54" x14ac:dyDescent="0.2">
      <c r="A95" s="63" t="s">
        <v>213</v>
      </c>
      <c r="B95" s="232">
        <v>0</v>
      </c>
      <c r="C95" s="232">
        <v>0</v>
      </c>
      <c r="D95" s="232">
        <v>0</v>
      </c>
      <c r="E95" s="215">
        <f>+F95-SUM(B95,C95,D95)</f>
        <v>29185</v>
      </c>
      <c r="F95" s="228">
        <v>29185</v>
      </c>
      <c r="G95" s="228">
        <v>-4836</v>
      </c>
      <c r="H95" s="105">
        <v>0</v>
      </c>
      <c r="I95" s="105">
        <v>0</v>
      </c>
      <c r="J95" s="189">
        <f t="shared" ref="J95" si="195">+K95-SUM(G95:I95)</f>
        <v>-2974</v>
      </c>
      <c r="K95" s="105">
        <v>-7810</v>
      </c>
      <c r="L95" s="105">
        <v>0</v>
      </c>
      <c r="M95" s="105">
        <v>0</v>
      </c>
      <c r="N95" s="105">
        <v>0</v>
      </c>
      <c r="O95" s="189">
        <f t="shared" ref="O95" si="196">+P95-SUM(L95:N95)</f>
        <v>0</v>
      </c>
      <c r="P95" s="105">
        <v>0</v>
      </c>
      <c r="Q95" s="105">
        <v>0</v>
      </c>
      <c r="R95" s="105">
        <v>0</v>
      </c>
      <c r="S95" s="105">
        <v>0</v>
      </c>
      <c r="T95" s="28"/>
      <c r="AL95" s="27"/>
      <c r="AM95" s="27"/>
      <c r="AN95" s="27"/>
      <c r="AO95" s="27"/>
      <c r="AP95" s="27"/>
      <c r="AQ95" s="27"/>
      <c r="AR95" s="27"/>
      <c r="AS95" s="27"/>
      <c r="AT95" s="27"/>
      <c r="AU95" s="27"/>
      <c r="AV95" s="27"/>
      <c r="AW95" s="27"/>
      <c r="AX95" s="27"/>
      <c r="AY95" s="27"/>
      <c r="AZ95" s="27"/>
      <c r="BA95" s="27"/>
      <c r="BB95" s="27"/>
    </row>
    <row r="96" spans="1:54" x14ac:dyDescent="0.2">
      <c r="A96" s="63" t="s">
        <v>212</v>
      </c>
      <c r="B96" s="228">
        <v>0</v>
      </c>
      <c r="C96" s="228">
        <f>C72</f>
        <v>48</v>
      </c>
      <c r="D96" s="228">
        <f>D84</f>
        <v>457</v>
      </c>
      <c r="E96" s="228">
        <f>E72</f>
        <v>321</v>
      </c>
      <c r="F96" s="228">
        <f>F72</f>
        <v>826</v>
      </c>
      <c r="G96" s="228">
        <f>G72</f>
        <v>363</v>
      </c>
      <c r="H96" s="284">
        <f>H72</f>
        <v>841</v>
      </c>
      <c r="I96" s="284">
        <f>I72</f>
        <v>855</v>
      </c>
      <c r="J96" s="189">
        <f t="shared" ref="J96:J99" si="197">+K96-SUM(G96:I96)</f>
        <v>-1014</v>
      </c>
      <c r="K96" s="284">
        <v>1045</v>
      </c>
      <c r="L96" s="284">
        <v>0</v>
      </c>
      <c r="M96" s="284">
        <v>0</v>
      </c>
      <c r="N96" s="284">
        <v>-761</v>
      </c>
      <c r="O96" s="189">
        <f t="shared" ref="O96" si="198">+P96-SUM(L96:N96)</f>
        <v>0</v>
      </c>
      <c r="P96" s="284">
        <v>-761</v>
      </c>
      <c r="Q96" s="284">
        <v>0</v>
      </c>
      <c r="R96" s="284">
        <v>0</v>
      </c>
      <c r="S96" s="284">
        <v>0</v>
      </c>
      <c r="T96" s="28"/>
      <c r="AL96" s="27"/>
      <c r="AM96" s="27"/>
      <c r="AN96" s="27"/>
      <c r="AO96" s="27"/>
      <c r="AP96" s="27"/>
      <c r="AQ96" s="27"/>
      <c r="AR96" s="27"/>
      <c r="AS96" s="27"/>
      <c r="AT96" s="27"/>
      <c r="AU96" s="27"/>
      <c r="AV96" s="27"/>
      <c r="AW96" s="27"/>
      <c r="AX96" s="27"/>
      <c r="AY96" s="27"/>
      <c r="AZ96" s="27"/>
      <c r="BA96" s="27"/>
      <c r="BB96" s="27"/>
    </row>
    <row r="97" spans="1:54" x14ac:dyDescent="0.2">
      <c r="A97" s="63" t="s">
        <v>207</v>
      </c>
      <c r="B97" s="228">
        <v>0</v>
      </c>
      <c r="C97" s="228">
        <v>0</v>
      </c>
      <c r="D97" s="228">
        <v>0</v>
      </c>
      <c r="E97" s="228">
        <v>0</v>
      </c>
      <c r="F97" s="228">
        <v>0</v>
      </c>
      <c r="G97" s="228">
        <v>0</v>
      </c>
      <c r="H97" s="284">
        <v>0</v>
      </c>
      <c r="I97" s="284">
        <v>0</v>
      </c>
      <c r="J97" s="189">
        <f t="shared" si="197"/>
        <v>600</v>
      </c>
      <c r="K97" s="284">
        <v>600</v>
      </c>
      <c r="L97" s="284">
        <v>600</v>
      </c>
      <c r="M97" s="284">
        <v>618</v>
      </c>
      <c r="N97" s="284">
        <v>618</v>
      </c>
      <c r="O97" s="189">
        <f>+P97-SUM(L97:N97)</f>
        <v>636</v>
      </c>
      <c r="P97" s="284">
        <v>2472</v>
      </c>
      <c r="Q97" s="189">
        <v>636</v>
      </c>
      <c r="R97" s="189">
        <v>654</v>
      </c>
      <c r="S97" s="189">
        <v>654</v>
      </c>
      <c r="T97" s="28"/>
      <c r="AL97" s="27"/>
      <c r="AM97" s="27"/>
      <c r="AN97" s="27"/>
      <c r="AO97" s="27"/>
      <c r="AP97" s="27"/>
      <c r="AQ97" s="27"/>
      <c r="AR97" s="27"/>
      <c r="AS97" s="27"/>
      <c r="AT97" s="27"/>
      <c r="AU97" s="27"/>
      <c r="AV97" s="27"/>
      <c r="AW97" s="27"/>
      <c r="AX97" s="27"/>
      <c r="AY97" s="27"/>
      <c r="AZ97" s="27"/>
      <c r="BA97" s="27"/>
      <c r="BB97" s="27"/>
    </row>
    <row r="98" spans="1:54" ht="25.5" x14ac:dyDescent="0.2">
      <c r="A98" s="310" t="s">
        <v>216</v>
      </c>
      <c r="B98" s="312">
        <v>0</v>
      </c>
      <c r="C98" s="312">
        <v>0</v>
      </c>
      <c r="D98" s="312">
        <v>0</v>
      </c>
      <c r="E98" s="312">
        <v>0</v>
      </c>
      <c r="F98" s="312">
        <v>0</v>
      </c>
      <c r="G98" s="312">
        <v>0</v>
      </c>
      <c r="H98" s="314">
        <v>0</v>
      </c>
      <c r="I98" s="314">
        <v>0</v>
      </c>
      <c r="J98" s="314">
        <f>J85</f>
        <v>20056</v>
      </c>
      <c r="K98" s="314">
        <f>K85</f>
        <v>20056</v>
      </c>
      <c r="L98" s="314">
        <f>L85</f>
        <v>1227</v>
      </c>
      <c r="M98" s="314">
        <v>5580</v>
      </c>
      <c r="N98" s="314">
        <f t="shared" ref="N98:S98" si="199">N85</f>
        <v>489</v>
      </c>
      <c r="O98" s="314">
        <f t="shared" si="199"/>
        <v>1375</v>
      </c>
      <c r="P98" s="314">
        <f t="shared" si="199"/>
        <v>8671</v>
      </c>
      <c r="Q98" s="284">
        <f t="shared" si="199"/>
        <v>0</v>
      </c>
      <c r="R98" s="284">
        <f t="shared" si="199"/>
        <v>0</v>
      </c>
      <c r="S98" s="284">
        <f t="shared" si="199"/>
        <v>0</v>
      </c>
      <c r="T98" s="28"/>
      <c r="AL98" s="27"/>
      <c r="AM98" s="27"/>
      <c r="AN98" s="27"/>
      <c r="AO98" s="27"/>
      <c r="AP98" s="27"/>
      <c r="AQ98" s="27"/>
      <c r="AR98" s="27"/>
      <c r="AS98" s="27"/>
      <c r="AT98" s="27"/>
      <c r="AU98" s="27"/>
      <c r="AV98" s="27"/>
      <c r="AW98" s="27"/>
      <c r="AX98" s="27"/>
      <c r="AY98" s="27"/>
      <c r="AZ98" s="27"/>
      <c r="BA98" s="27"/>
      <c r="BB98" s="27"/>
    </row>
    <row r="99" spans="1:54" x14ac:dyDescent="0.2">
      <c r="A99" s="63" t="s">
        <v>261</v>
      </c>
      <c r="B99" s="228"/>
      <c r="C99" s="228"/>
      <c r="D99" s="228"/>
      <c r="E99" s="228"/>
      <c r="F99" s="228">
        <v>0</v>
      </c>
      <c r="G99" s="228">
        <v>0</v>
      </c>
      <c r="H99" s="284">
        <v>0</v>
      </c>
      <c r="I99" s="284">
        <v>0</v>
      </c>
      <c r="J99" s="284">
        <f t="shared" si="197"/>
        <v>0</v>
      </c>
      <c r="K99" s="284">
        <v>0</v>
      </c>
      <c r="L99" s="284">
        <v>0</v>
      </c>
      <c r="M99" s="284">
        <v>0</v>
      </c>
      <c r="N99" s="284">
        <v>0</v>
      </c>
      <c r="O99" s="284">
        <v>0</v>
      </c>
      <c r="P99" s="284">
        <v>0</v>
      </c>
      <c r="Q99" s="284">
        <v>0</v>
      </c>
      <c r="R99" s="284">
        <v>-556</v>
      </c>
      <c r="S99" s="284">
        <v>0</v>
      </c>
      <c r="T99" s="28"/>
      <c r="AL99" s="27"/>
      <c r="AM99" s="27"/>
      <c r="AN99" s="27"/>
      <c r="AO99" s="27"/>
      <c r="AP99" s="27"/>
      <c r="AQ99" s="27"/>
      <c r="AR99" s="27"/>
      <c r="AS99" s="27"/>
      <c r="AT99" s="27"/>
      <c r="AU99" s="27"/>
      <c r="AV99" s="27"/>
      <c r="AW99" s="27"/>
      <c r="AX99" s="27"/>
      <c r="AY99" s="27"/>
      <c r="AZ99" s="27"/>
      <c r="BA99" s="27"/>
      <c r="BB99" s="27"/>
    </row>
    <row r="100" spans="1:54" x14ac:dyDescent="0.2">
      <c r="A100" s="63" t="s">
        <v>129</v>
      </c>
      <c r="B100" s="215">
        <v>-4260.3999999999996</v>
      </c>
      <c r="C100" s="215">
        <v>-3483.4</v>
      </c>
      <c r="D100" s="215">
        <v>-5563.7</v>
      </c>
      <c r="E100" s="215">
        <f>ROUND(+F100-SUM(B100,C100,D100),0)</f>
        <v>-5063</v>
      </c>
      <c r="F100" s="215">
        <v>-18370</v>
      </c>
      <c r="G100" s="215">
        <v>-5913.4848000000002</v>
      </c>
      <c r="H100" s="28">
        <v>-1891</v>
      </c>
      <c r="I100" s="28">
        <v>-1460</v>
      </c>
      <c r="J100" s="189">
        <f>+K100-SUM(G100:I100)</f>
        <v>-2836.5151999999998</v>
      </c>
      <c r="K100" s="28">
        <v>-12101</v>
      </c>
      <c r="L100" s="28">
        <v>-2481</v>
      </c>
      <c r="M100" s="28">
        <v>-1571</v>
      </c>
      <c r="N100" s="28">
        <v>-1790</v>
      </c>
      <c r="O100" s="189">
        <f>+P100-SUM(L100:N100)</f>
        <v>-2144</v>
      </c>
      <c r="P100" s="28">
        <v>-7986</v>
      </c>
      <c r="Q100" s="189">
        <v>-2733</v>
      </c>
      <c r="R100" s="189">
        <v>-1662</v>
      </c>
      <c r="S100" s="189">
        <v>-1836</v>
      </c>
      <c r="T100" s="28"/>
      <c r="AL100" s="27"/>
      <c r="AM100" s="27"/>
      <c r="AN100" s="27"/>
      <c r="AO100" s="27"/>
      <c r="AP100" s="27"/>
      <c r="AQ100" s="27"/>
      <c r="AR100" s="27"/>
      <c r="AS100" s="27"/>
      <c r="AT100" s="27"/>
      <c r="AU100" s="27"/>
      <c r="AV100" s="27"/>
      <c r="AW100" s="27"/>
      <c r="AX100" s="27"/>
      <c r="AY100" s="27"/>
      <c r="AZ100" s="27"/>
      <c r="BA100" s="27"/>
      <c r="BB100" s="27"/>
    </row>
    <row r="101" spans="1:54" x14ac:dyDescent="0.2">
      <c r="A101" s="63" t="s">
        <v>191</v>
      </c>
      <c r="B101" s="215">
        <v>-951</v>
      </c>
      <c r="C101" s="215">
        <v>-948.89</v>
      </c>
      <c r="D101" s="215">
        <v>-942.49</v>
      </c>
      <c r="E101" s="215">
        <f>ROUND(+F101-SUM(B101,C101,D101),0)</f>
        <v>-947</v>
      </c>
      <c r="F101" s="215">
        <v>-3789</v>
      </c>
      <c r="G101" s="215">
        <v>-725.53359999999998</v>
      </c>
      <c r="H101" s="28">
        <v>-679</v>
      </c>
      <c r="I101" s="28">
        <v>-1435</v>
      </c>
      <c r="J101" s="189">
        <f t="shared" ref="J101" si="200">+K101-SUM(G101:I101)</f>
        <v>-1511.4664000000002</v>
      </c>
      <c r="K101" s="28">
        <v>-4351</v>
      </c>
      <c r="L101" s="28">
        <v>-1193</v>
      </c>
      <c r="M101" s="28">
        <v>-1198</v>
      </c>
      <c r="N101" s="28">
        <v>-1188</v>
      </c>
      <c r="O101" s="189">
        <f t="shared" ref="O101" si="201">+P101-SUM(L101:N101)</f>
        <v>-1042</v>
      </c>
      <c r="P101" s="28">
        <v>-4621</v>
      </c>
      <c r="Q101" s="189">
        <v>-897.048</v>
      </c>
      <c r="R101" s="189">
        <v>-880.15879999999993</v>
      </c>
      <c r="S101" s="189">
        <v>-798.30714506593904</v>
      </c>
      <c r="T101" s="28"/>
      <c r="AL101" s="27"/>
      <c r="AM101" s="27"/>
      <c r="AN101" s="27"/>
      <c r="AO101" s="27"/>
      <c r="AP101" s="27"/>
      <c r="AQ101" s="27"/>
      <c r="AR101" s="27"/>
      <c r="AS101" s="27"/>
      <c r="AT101" s="27"/>
      <c r="AU101" s="27"/>
      <c r="AV101" s="27"/>
      <c r="AW101" s="27"/>
      <c r="AX101" s="27"/>
      <c r="AY101" s="27"/>
      <c r="AZ101" s="27"/>
      <c r="BA101" s="27"/>
      <c r="BB101" s="27"/>
    </row>
    <row r="102" spans="1:54" x14ac:dyDescent="0.2">
      <c r="A102" s="63" t="s">
        <v>164</v>
      </c>
      <c r="B102" s="228">
        <v>0</v>
      </c>
      <c r="C102" s="228">
        <v>0</v>
      </c>
      <c r="D102" s="228">
        <v>0</v>
      </c>
      <c r="E102" s="215">
        <f>+F102-SUM(B102,C102,D102)</f>
        <v>0</v>
      </c>
      <c r="F102" s="228">
        <v>0</v>
      </c>
      <c r="G102" s="228">
        <v>0</v>
      </c>
      <c r="H102" s="105">
        <v>0</v>
      </c>
      <c r="I102" s="105">
        <v>0</v>
      </c>
      <c r="J102" s="105">
        <v>0</v>
      </c>
      <c r="K102" s="105">
        <v>0</v>
      </c>
      <c r="L102" s="105">
        <v>0</v>
      </c>
      <c r="M102" s="105">
        <v>0</v>
      </c>
      <c r="N102" s="105">
        <v>0</v>
      </c>
      <c r="O102" s="105">
        <v>0</v>
      </c>
      <c r="P102" s="105">
        <v>0</v>
      </c>
      <c r="Q102" s="105">
        <v>0</v>
      </c>
      <c r="R102" s="105"/>
      <c r="S102" s="105"/>
      <c r="T102" s="28"/>
      <c r="AL102" s="27"/>
      <c r="AM102" s="27"/>
      <c r="AN102" s="27"/>
      <c r="AO102" s="27"/>
      <c r="AP102" s="27"/>
      <c r="AQ102" s="27"/>
      <c r="AR102" s="27"/>
      <c r="AS102" s="27"/>
      <c r="AT102" s="27"/>
      <c r="AU102" s="27"/>
      <c r="AV102" s="27"/>
      <c r="AW102" s="27"/>
      <c r="AX102" s="27"/>
      <c r="AY102" s="27"/>
      <c r="AZ102" s="27"/>
      <c r="BA102" s="27"/>
      <c r="BB102" s="27"/>
    </row>
    <row r="103" spans="1:54" x14ac:dyDescent="0.2">
      <c r="A103" s="63" t="s">
        <v>204</v>
      </c>
      <c r="B103" s="228">
        <v>0</v>
      </c>
      <c r="C103" s="228">
        <v>0</v>
      </c>
      <c r="D103" s="228">
        <v>0</v>
      </c>
      <c r="E103" s="215">
        <v>0</v>
      </c>
      <c r="F103" s="228">
        <v>0</v>
      </c>
      <c r="G103" s="228">
        <f>-G94*25.5%</f>
        <v>-612</v>
      </c>
      <c r="H103" s="105">
        <v>0</v>
      </c>
      <c r="I103" s="105">
        <v>0</v>
      </c>
      <c r="J103" s="105">
        <v>0</v>
      </c>
      <c r="K103" s="105">
        <f>SUM(G103:J103)</f>
        <v>-612</v>
      </c>
      <c r="L103" s="105">
        <v>0</v>
      </c>
      <c r="M103" s="105">
        <v>0</v>
      </c>
      <c r="N103" s="105">
        <v>0</v>
      </c>
      <c r="O103" s="105">
        <v>0</v>
      </c>
      <c r="P103" s="105">
        <f>SUM(L103:O103)</f>
        <v>0</v>
      </c>
      <c r="Q103" s="105">
        <v>0</v>
      </c>
      <c r="R103" s="105">
        <v>0</v>
      </c>
      <c r="S103" s="105">
        <v>0</v>
      </c>
      <c r="T103" s="28"/>
      <c r="AL103" s="27"/>
      <c r="AM103" s="27"/>
      <c r="AN103" s="27"/>
      <c r="AO103" s="27"/>
      <c r="AP103" s="27"/>
      <c r="AQ103" s="27"/>
      <c r="AR103" s="27"/>
      <c r="AS103" s="27"/>
      <c r="AT103" s="27"/>
      <c r="AU103" s="27"/>
      <c r="AV103" s="27"/>
      <c r="AW103" s="27"/>
      <c r="AX103" s="27"/>
      <c r="AY103" s="27"/>
      <c r="AZ103" s="27"/>
      <c r="BA103" s="27"/>
      <c r="BB103" s="27"/>
    </row>
    <row r="104" spans="1:54" x14ac:dyDescent="0.2">
      <c r="A104" s="63" t="s">
        <v>262</v>
      </c>
      <c r="B104" s="228">
        <v>0</v>
      </c>
      <c r="C104" s="228">
        <f>-ROUND(C96*40%,0)</f>
        <v>-19</v>
      </c>
      <c r="D104" s="228">
        <f>-ROUND(D96*40%,0)</f>
        <v>-183</v>
      </c>
      <c r="E104" s="228">
        <f>-ROUND(E96*40%,0)</f>
        <v>-128</v>
      </c>
      <c r="F104" s="228">
        <f>-ROUND(F96*40%,0)</f>
        <v>-330</v>
      </c>
      <c r="G104" s="228">
        <v>-38</v>
      </c>
      <c r="H104" s="284">
        <v>-12</v>
      </c>
      <c r="I104" s="284">
        <v>-218</v>
      </c>
      <c r="J104" s="189">
        <f t="shared" ref="J104:J108" si="202">+K104-SUM(G104:I104)</f>
        <v>253</v>
      </c>
      <c r="K104" s="105">
        <v>-15</v>
      </c>
      <c r="L104" s="105">
        <v>0</v>
      </c>
      <c r="M104" s="105">
        <v>0</v>
      </c>
      <c r="N104" s="105">
        <v>186</v>
      </c>
      <c r="O104" s="189">
        <f t="shared" ref="O104:O105" si="203">+P104-SUM(L104:N104)</f>
        <v>0</v>
      </c>
      <c r="P104" s="105">
        <v>186</v>
      </c>
      <c r="Q104" s="105">
        <v>0</v>
      </c>
      <c r="R104" s="105">
        <v>137</v>
      </c>
      <c r="S104" s="105">
        <v>0</v>
      </c>
      <c r="T104" s="28"/>
      <c r="AL104" s="27"/>
      <c r="AM104" s="27"/>
      <c r="AN104" s="27"/>
      <c r="AO104" s="27"/>
      <c r="AP104" s="27"/>
      <c r="AQ104" s="27"/>
      <c r="AR104" s="27"/>
      <c r="AS104" s="27"/>
      <c r="AT104" s="27"/>
      <c r="AU104" s="27"/>
      <c r="AV104" s="27"/>
      <c r="AW104" s="27"/>
      <c r="AX104" s="27"/>
      <c r="AY104" s="27"/>
      <c r="AZ104" s="27"/>
      <c r="BA104" s="27"/>
      <c r="BB104" s="27"/>
    </row>
    <row r="105" spans="1:54" x14ac:dyDescent="0.2">
      <c r="A105" s="63" t="s">
        <v>208</v>
      </c>
      <c r="B105" s="228">
        <v>0</v>
      </c>
      <c r="C105" s="228">
        <v>0</v>
      </c>
      <c r="D105" s="228">
        <v>0</v>
      </c>
      <c r="E105" s="228">
        <v>0</v>
      </c>
      <c r="F105" s="228">
        <v>0</v>
      </c>
      <c r="G105" s="228">
        <v>0</v>
      </c>
      <c r="H105" s="284">
        <v>0</v>
      </c>
      <c r="I105" s="284">
        <v>0</v>
      </c>
      <c r="J105" s="189">
        <f t="shared" si="202"/>
        <v>-150</v>
      </c>
      <c r="K105" s="105">
        <v>-150</v>
      </c>
      <c r="L105" s="105">
        <v>-147</v>
      </c>
      <c r="M105" s="105">
        <v>-150</v>
      </c>
      <c r="N105" s="105">
        <v>-150</v>
      </c>
      <c r="O105" s="189">
        <f t="shared" si="203"/>
        <v>-159</v>
      </c>
      <c r="P105" s="105">
        <v>-606</v>
      </c>
      <c r="Q105" s="189">
        <v>-156</v>
      </c>
      <c r="R105" s="189">
        <v>-162</v>
      </c>
      <c r="S105" s="189">
        <v>-162</v>
      </c>
      <c r="T105" s="28"/>
      <c r="AL105" s="27"/>
      <c r="AM105" s="27"/>
      <c r="AN105" s="27"/>
      <c r="AO105" s="27"/>
      <c r="AP105" s="27"/>
      <c r="AQ105" s="27"/>
      <c r="AR105" s="27"/>
      <c r="AS105" s="27"/>
      <c r="AT105" s="27"/>
      <c r="AU105" s="27"/>
      <c r="AV105" s="27"/>
      <c r="AW105" s="27"/>
      <c r="AX105" s="27"/>
      <c r="AY105" s="27"/>
      <c r="AZ105" s="27"/>
      <c r="BA105" s="27"/>
      <c r="BB105" s="27"/>
    </row>
    <row r="106" spans="1:54" x14ac:dyDescent="0.2">
      <c r="A106" s="63" t="s">
        <v>263</v>
      </c>
      <c r="B106" s="228">
        <v>0</v>
      </c>
      <c r="C106" s="228">
        <v>0</v>
      </c>
      <c r="D106" s="228">
        <v>0</v>
      </c>
      <c r="E106" s="228">
        <v>0</v>
      </c>
      <c r="F106" s="228">
        <v>0</v>
      </c>
      <c r="G106" s="228">
        <v>0</v>
      </c>
      <c r="H106" s="284">
        <v>0</v>
      </c>
      <c r="I106" s="284">
        <v>0</v>
      </c>
      <c r="J106" s="189">
        <f t="shared" si="202"/>
        <v>0</v>
      </c>
      <c r="K106" s="105">
        <v>0</v>
      </c>
      <c r="L106" s="105">
        <v>0</v>
      </c>
      <c r="M106" s="105">
        <v>-1471</v>
      </c>
      <c r="N106" s="105">
        <v>0</v>
      </c>
      <c r="O106" s="189">
        <f>+P106-SUM(L106:N106)</f>
        <v>-1663</v>
      </c>
      <c r="P106" s="105">
        <v>-3134</v>
      </c>
      <c r="Q106" s="105">
        <v>0</v>
      </c>
      <c r="R106" s="105">
        <v>1320.2116463969007</v>
      </c>
      <c r="S106" s="105">
        <v>0</v>
      </c>
      <c r="T106" s="28"/>
      <c r="AL106" s="27"/>
      <c r="AM106" s="27"/>
      <c r="AN106" s="27"/>
      <c r="AO106" s="27"/>
      <c r="AP106" s="27"/>
      <c r="AQ106" s="27"/>
      <c r="AR106" s="27"/>
      <c r="AS106" s="27"/>
      <c r="AT106" s="27"/>
      <c r="AU106" s="27"/>
      <c r="AV106" s="27"/>
      <c r="AW106" s="27"/>
      <c r="AX106" s="27"/>
      <c r="AY106" s="27"/>
      <c r="AZ106" s="27"/>
      <c r="BA106" s="27"/>
      <c r="BB106" s="27"/>
    </row>
    <row r="107" spans="1:54" ht="25.5" x14ac:dyDescent="0.2">
      <c r="A107" s="310" t="s">
        <v>217</v>
      </c>
      <c r="B107" s="312">
        <v>0</v>
      </c>
      <c r="C107" s="312">
        <v>0</v>
      </c>
      <c r="D107" s="312">
        <v>0</v>
      </c>
      <c r="E107" s="312">
        <v>0</v>
      </c>
      <c r="F107" s="312">
        <v>0</v>
      </c>
      <c r="G107" s="312">
        <v>0</v>
      </c>
      <c r="H107" s="314">
        <v>0</v>
      </c>
      <c r="I107" s="314">
        <v>0</v>
      </c>
      <c r="J107" s="316">
        <f t="shared" si="202"/>
        <v>-3072</v>
      </c>
      <c r="K107" s="311">
        <v>-3072</v>
      </c>
      <c r="L107" s="311">
        <f>-L98*24.5%</f>
        <v>-300.61500000000001</v>
      </c>
      <c r="M107" s="311">
        <v>-1367</v>
      </c>
      <c r="N107" s="311">
        <v>-120</v>
      </c>
      <c r="O107" s="316">
        <f t="shared" ref="O107" si="204">+P107-SUM(L107:N107)</f>
        <v>-352.38499999999999</v>
      </c>
      <c r="P107" s="311">
        <v>-2140</v>
      </c>
      <c r="Q107" s="210">
        <f>-Q98*24.5%</f>
        <v>0</v>
      </c>
      <c r="R107" s="210">
        <f>-R98*24.5%</f>
        <v>0</v>
      </c>
      <c r="S107" s="210">
        <f>-S98*24.5%</f>
        <v>0</v>
      </c>
      <c r="T107" s="28"/>
      <c r="AL107" s="27"/>
      <c r="AM107" s="27"/>
      <c r="AN107" s="27"/>
      <c r="AO107" s="27"/>
      <c r="AP107" s="27"/>
      <c r="AQ107" s="27"/>
      <c r="AR107" s="27"/>
      <c r="AS107" s="27"/>
      <c r="AT107" s="27"/>
      <c r="AU107" s="27"/>
      <c r="AV107" s="27"/>
      <c r="AW107" s="27"/>
      <c r="AX107" s="27"/>
      <c r="AY107" s="27"/>
      <c r="AZ107" s="27"/>
      <c r="BA107" s="27"/>
      <c r="BB107" s="27"/>
    </row>
    <row r="108" spans="1:54" x14ac:dyDescent="0.2">
      <c r="A108" s="63" t="s">
        <v>211</v>
      </c>
      <c r="B108" s="228">
        <v>0</v>
      </c>
      <c r="C108" s="228">
        <v>0</v>
      </c>
      <c r="D108" s="228">
        <v>0</v>
      </c>
      <c r="E108" s="228">
        <v>0</v>
      </c>
      <c r="F108" s="228">
        <v>0</v>
      </c>
      <c r="G108" s="228">
        <v>0</v>
      </c>
      <c r="H108" s="284">
        <v>0</v>
      </c>
      <c r="I108" s="284">
        <v>0</v>
      </c>
      <c r="J108" s="189">
        <f t="shared" si="202"/>
        <v>0</v>
      </c>
      <c r="K108" s="105">
        <v>0</v>
      </c>
      <c r="L108" s="105">
        <v>0</v>
      </c>
      <c r="M108" s="105">
        <v>0</v>
      </c>
      <c r="N108" s="105">
        <v>0</v>
      </c>
      <c r="O108" s="105">
        <v>0</v>
      </c>
      <c r="P108" s="105">
        <v>0</v>
      </c>
      <c r="Q108" s="105">
        <v>0</v>
      </c>
      <c r="R108" s="105">
        <v>0</v>
      </c>
      <c r="S108" s="105">
        <v>0</v>
      </c>
      <c r="AL108" s="27"/>
      <c r="AM108" s="27"/>
      <c r="AN108" s="27"/>
      <c r="AO108" s="27"/>
      <c r="AP108" s="27"/>
      <c r="AQ108" s="27"/>
      <c r="AR108" s="27"/>
      <c r="AS108" s="27"/>
      <c r="AT108" s="27"/>
      <c r="AU108" s="27"/>
      <c r="AV108" s="27"/>
      <c r="AW108" s="27"/>
      <c r="AX108" s="27"/>
      <c r="AY108" s="27"/>
      <c r="AZ108" s="27"/>
      <c r="BA108" s="27"/>
      <c r="BB108" s="27"/>
    </row>
    <row r="109" spans="1:54" x14ac:dyDescent="0.2">
      <c r="A109" s="59" t="s">
        <v>134</v>
      </c>
      <c r="B109" s="213">
        <f t="shared" ref="B109:S109" si="205">SUM(B91:B108)</f>
        <v>21030.6</v>
      </c>
      <c r="C109" s="213">
        <f t="shared" si="205"/>
        <v>24588.71</v>
      </c>
      <c r="D109" s="213">
        <f t="shared" si="205"/>
        <v>24039.809999999998</v>
      </c>
      <c r="E109" s="213">
        <f t="shared" si="205"/>
        <v>23766</v>
      </c>
      <c r="F109" s="213">
        <f t="shared" si="205"/>
        <v>93426</v>
      </c>
      <c r="G109" s="213">
        <f t="shared" si="205"/>
        <v>22816.981600000003</v>
      </c>
      <c r="H109" s="106">
        <f t="shared" si="205"/>
        <v>23375</v>
      </c>
      <c r="I109" s="106">
        <f t="shared" si="205"/>
        <v>25053</v>
      </c>
      <c r="J109" s="106">
        <f t="shared" si="205"/>
        <v>25749.018399999997</v>
      </c>
      <c r="K109" s="106">
        <f t="shared" si="205"/>
        <v>96994</v>
      </c>
      <c r="L109" s="106">
        <f t="shared" si="205"/>
        <v>24884.384999999998</v>
      </c>
      <c r="M109" s="106">
        <f t="shared" si="205"/>
        <v>25714</v>
      </c>
      <c r="N109" s="106">
        <f t="shared" si="205"/>
        <v>29257</v>
      </c>
      <c r="O109" s="106">
        <f t="shared" si="205"/>
        <v>27512.615000000002</v>
      </c>
      <c r="P109" s="106">
        <f t="shared" si="205"/>
        <v>107368</v>
      </c>
      <c r="Q109" s="106">
        <f t="shared" si="205"/>
        <v>28191.952000000001</v>
      </c>
      <c r="R109" s="106">
        <f t="shared" ref="R109" si="206">SUM(R91:R108)</f>
        <v>18436.052846396899</v>
      </c>
      <c r="S109" s="106">
        <f t="shared" si="205"/>
        <v>36034.692854934059</v>
      </c>
      <c r="T109" s="27"/>
      <c r="AL109" s="27"/>
      <c r="AM109" s="27"/>
      <c r="AN109" s="27"/>
      <c r="AO109" s="27"/>
      <c r="AP109" s="27"/>
      <c r="AQ109" s="27"/>
      <c r="AR109" s="27"/>
      <c r="AS109" s="27"/>
      <c r="AT109" s="27"/>
      <c r="AU109" s="27"/>
      <c r="AV109" s="27"/>
      <c r="AW109" s="27"/>
      <c r="AX109" s="27"/>
      <c r="AY109" s="27"/>
      <c r="AZ109" s="27"/>
      <c r="BA109" s="27"/>
      <c r="BB109" s="27"/>
    </row>
    <row r="110" spans="1:54" x14ac:dyDescent="0.2">
      <c r="A110" s="109" t="s">
        <v>135</v>
      </c>
      <c r="B110" s="231">
        <v>0.11490059169657929</v>
      </c>
      <c r="C110" s="231">
        <v>0.13005977033381466</v>
      </c>
      <c r="D110" s="231">
        <v>0.12498276534352334</v>
      </c>
      <c r="E110" s="231">
        <v>0.12010612760581175</v>
      </c>
      <c r="F110" s="231">
        <v>0.122556440293319</v>
      </c>
      <c r="G110" s="231">
        <f t="shared" ref="G110:S110" si="207">IF(G109/G66&lt;0, "NM",G109/G66)</f>
        <v>0.11024134355688908</v>
      </c>
      <c r="H110" s="104">
        <f t="shared" si="207"/>
        <v>0.11125019037465733</v>
      </c>
      <c r="I110" s="104">
        <f t="shared" si="207"/>
        <v>0.10839635866461293</v>
      </c>
      <c r="J110" s="104">
        <f t="shared" si="207"/>
        <v>0.10961553662575615</v>
      </c>
      <c r="K110" s="104">
        <f t="shared" si="207"/>
        <v>0.10983204848309161</v>
      </c>
      <c r="L110" s="104">
        <f t="shared" si="207"/>
        <v>0.10386973907744194</v>
      </c>
      <c r="M110" s="104">
        <f t="shared" si="207"/>
        <v>0.10559773971393255</v>
      </c>
      <c r="N110" s="104">
        <f t="shared" si="207"/>
        <v>0.11637999618126273</v>
      </c>
      <c r="O110" s="104">
        <f t="shared" si="207"/>
        <v>0.10710632143635741</v>
      </c>
      <c r="P110" s="104">
        <f t="shared" si="207"/>
        <v>0.10830527383980972</v>
      </c>
      <c r="Q110" s="104">
        <f t="shared" si="207"/>
        <v>0.11460608967844221</v>
      </c>
      <c r="R110" s="104">
        <f t="shared" ref="R110" si="208">IF(R109/R66&lt;0, "NM",R109/R66)</f>
        <v>8.286872045774947E-2</v>
      </c>
      <c r="S110" s="104">
        <f t="shared" si="207"/>
        <v>0.14951038036550821</v>
      </c>
      <c r="AL110" s="27"/>
      <c r="AM110" s="27"/>
      <c r="AN110" s="27"/>
      <c r="AO110" s="27"/>
      <c r="AP110" s="27"/>
      <c r="AQ110" s="27"/>
      <c r="AR110" s="27"/>
      <c r="AS110" s="27"/>
      <c r="AT110" s="27"/>
      <c r="AU110" s="27"/>
      <c r="AV110" s="27"/>
      <c r="AW110" s="27"/>
      <c r="AX110" s="27"/>
      <c r="AY110" s="27"/>
      <c r="AZ110" s="27"/>
      <c r="BA110" s="27"/>
      <c r="BB110" s="27"/>
    </row>
    <row r="111" spans="1:54" ht="6" customHeight="1" x14ac:dyDescent="0.2">
      <c r="A111" s="109"/>
      <c r="B111" s="231"/>
      <c r="C111" s="212"/>
      <c r="D111" s="212"/>
      <c r="E111" s="212"/>
      <c r="F111" s="212"/>
      <c r="G111" s="212"/>
      <c r="AL111" s="27"/>
      <c r="AM111" s="27"/>
      <c r="AN111" s="27"/>
      <c r="AO111" s="27"/>
      <c r="AP111" s="27"/>
      <c r="AQ111" s="27"/>
      <c r="AR111" s="27"/>
      <c r="AS111" s="27"/>
      <c r="AT111" s="27"/>
      <c r="AU111" s="27"/>
      <c r="AV111" s="27"/>
      <c r="AW111" s="27"/>
      <c r="AX111" s="27"/>
      <c r="AY111" s="27"/>
      <c r="AZ111" s="27"/>
      <c r="BA111" s="27"/>
      <c r="BB111" s="27"/>
    </row>
    <row r="112" spans="1:54" x14ac:dyDescent="0.2">
      <c r="A112" s="110" t="s">
        <v>136</v>
      </c>
      <c r="B112" s="233">
        <f>ROUND(B109/B61,2)</f>
        <v>0.6</v>
      </c>
      <c r="C112" s="233">
        <f>ROUND(C109/C61,2)</f>
        <v>0.7</v>
      </c>
      <c r="D112" s="233">
        <f>ROUND(D109/D61,2)</f>
        <v>0.69</v>
      </c>
      <c r="E112" s="233">
        <f>ROUND(E109/35293,2)</f>
        <v>0.67</v>
      </c>
      <c r="F112" s="233">
        <f t="shared" ref="F112:S112" si="209">ROUND(F109/F61,2)</f>
        <v>2.66</v>
      </c>
      <c r="G112" s="233">
        <f t="shared" si="209"/>
        <v>0.65</v>
      </c>
      <c r="H112" s="282">
        <f t="shared" si="209"/>
        <v>0.67</v>
      </c>
      <c r="I112" s="282">
        <f t="shared" si="209"/>
        <v>0.71</v>
      </c>
      <c r="J112" s="282">
        <f t="shared" si="209"/>
        <v>0.74</v>
      </c>
      <c r="K112" s="108">
        <f t="shared" si="209"/>
        <v>2.77</v>
      </c>
      <c r="L112" s="108">
        <f t="shared" si="209"/>
        <v>0.71</v>
      </c>
      <c r="M112" s="108">
        <f t="shared" si="209"/>
        <v>0.74</v>
      </c>
      <c r="N112" s="108">
        <f t="shared" si="209"/>
        <v>0.84</v>
      </c>
      <c r="O112" s="108">
        <f t="shared" si="209"/>
        <v>0.79</v>
      </c>
      <c r="P112" s="108">
        <f t="shared" si="209"/>
        <v>3.09</v>
      </c>
      <c r="Q112" s="108">
        <f t="shared" si="209"/>
        <v>0.81</v>
      </c>
      <c r="R112" s="108">
        <f t="shared" ref="R112" si="210">ROUND(R109/R61,2)</f>
        <v>0.53</v>
      </c>
      <c r="S112" s="108">
        <f t="shared" si="209"/>
        <v>1.04</v>
      </c>
      <c r="AL112" s="27"/>
      <c r="AM112" s="27"/>
      <c r="AN112" s="27"/>
      <c r="AO112" s="27"/>
      <c r="AP112" s="27"/>
      <c r="AQ112" s="27"/>
      <c r="AR112" s="27"/>
      <c r="AS112" s="27"/>
      <c r="AT112" s="27"/>
      <c r="AU112" s="27"/>
      <c r="AV112" s="27"/>
      <c r="AW112" s="27"/>
      <c r="AX112" s="27"/>
      <c r="AY112" s="27"/>
      <c r="AZ112" s="27"/>
      <c r="BA112" s="27"/>
      <c r="BB112" s="27"/>
    </row>
    <row r="113" spans="1:54" x14ac:dyDescent="0.2">
      <c r="A113" s="116" t="s">
        <v>131</v>
      </c>
      <c r="B113" s="234">
        <v>-1.6393442622950838E-2</v>
      </c>
      <c r="C113" s="234">
        <v>0.16666666666666674</v>
      </c>
      <c r="D113" s="234">
        <v>-1.4285714285714346E-2</v>
      </c>
      <c r="E113" s="234">
        <v>-2.8985507246376718E-2</v>
      </c>
      <c r="F113" s="259" t="s">
        <v>83</v>
      </c>
      <c r="G113" s="234">
        <f>G112/E112-1</f>
        <v>-2.9850746268656692E-2</v>
      </c>
      <c r="H113" s="87">
        <f>H112/G112-1</f>
        <v>3.0769230769230882E-2</v>
      </c>
      <c r="I113" s="87">
        <f>I112/H112-1</f>
        <v>5.9701492537313383E-2</v>
      </c>
      <c r="J113" s="87">
        <f>J112/I112-1</f>
        <v>4.2253521126760507E-2</v>
      </c>
      <c r="K113" s="87" t="s">
        <v>83</v>
      </c>
      <c r="L113" s="149">
        <f>L112/J112-1</f>
        <v>-4.0540540540540571E-2</v>
      </c>
      <c r="M113" s="149">
        <f>M112/L112-1</f>
        <v>4.2253521126760507E-2</v>
      </c>
      <c r="N113" s="149">
        <f>N112/M112-1</f>
        <v>0.13513513513513509</v>
      </c>
      <c r="O113" s="149">
        <f>O112/N112-1</f>
        <v>-5.9523809523809423E-2</v>
      </c>
      <c r="P113" s="87" t="s">
        <v>83</v>
      </c>
      <c r="Q113" s="149">
        <f>Q112/O112-1</f>
        <v>2.5316455696202445E-2</v>
      </c>
      <c r="R113" s="149">
        <f>R112/Q112-1</f>
        <v>-0.34567901234567899</v>
      </c>
      <c r="S113" s="149">
        <f>S112/R112-1</f>
        <v>0.96226415094339623</v>
      </c>
      <c r="AL113" s="27"/>
      <c r="AM113" s="27"/>
      <c r="AN113" s="27"/>
      <c r="AO113" s="27"/>
      <c r="AP113" s="27"/>
      <c r="AQ113" s="27"/>
      <c r="AR113" s="27"/>
      <c r="AS113" s="27"/>
      <c r="AT113" s="27"/>
      <c r="AU113" s="27"/>
      <c r="AV113" s="27"/>
      <c r="AW113" s="27"/>
      <c r="AX113" s="27"/>
      <c r="AY113" s="27"/>
      <c r="AZ113" s="27"/>
      <c r="BA113" s="27"/>
      <c r="BB113" s="27"/>
    </row>
    <row r="114" spans="1:54" x14ac:dyDescent="0.2">
      <c r="A114" s="115" t="s">
        <v>132</v>
      </c>
      <c r="B114" s="214">
        <v>7.1428571428571397E-2</v>
      </c>
      <c r="C114" s="214">
        <v>0.27272727272727249</v>
      </c>
      <c r="D114" s="214">
        <v>0.13114754098360648</v>
      </c>
      <c r="E114" s="214">
        <v>9.8360655737705027E-2</v>
      </c>
      <c r="F114" s="214">
        <v>0.14163090128755362</v>
      </c>
      <c r="G114" s="214">
        <f t="shared" ref="G114:N114" si="211">G112/B112-1</f>
        <v>8.3333333333333481E-2</v>
      </c>
      <c r="H114" s="35">
        <f t="shared" si="211"/>
        <v>-4.2857142857142705E-2</v>
      </c>
      <c r="I114" s="35">
        <f t="shared" si="211"/>
        <v>2.898550724637694E-2</v>
      </c>
      <c r="J114" s="35">
        <f t="shared" si="211"/>
        <v>0.10447761194029836</v>
      </c>
      <c r="K114" s="34">
        <f t="shared" si="211"/>
        <v>4.1353383458646586E-2</v>
      </c>
      <c r="L114" s="34">
        <f t="shared" si="211"/>
        <v>9.2307692307692202E-2</v>
      </c>
      <c r="M114" s="34">
        <f t="shared" si="211"/>
        <v>0.10447761194029836</v>
      </c>
      <c r="N114" s="34">
        <f t="shared" si="211"/>
        <v>0.18309859154929575</v>
      </c>
      <c r="O114" s="34">
        <f>O112/J112-1</f>
        <v>6.7567567567567544E-2</v>
      </c>
      <c r="P114" s="34">
        <f>P112/K112-1</f>
        <v>0.11552346570397098</v>
      </c>
      <c r="Q114" s="34">
        <f t="shared" ref="Q114:R114" si="212">Q112/L112-1</f>
        <v>0.14084507042253525</v>
      </c>
      <c r="R114" s="34">
        <f t="shared" si="212"/>
        <v>-0.28378378378378377</v>
      </c>
      <c r="S114" s="34">
        <f>S112/N112-1</f>
        <v>0.23809523809523814</v>
      </c>
      <c r="AL114" s="27"/>
      <c r="AM114" s="27"/>
      <c r="AN114" s="27"/>
      <c r="AO114" s="27"/>
      <c r="AP114" s="27"/>
      <c r="AQ114" s="27"/>
      <c r="AR114" s="27"/>
      <c r="AS114" s="27"/>
      <c r="AT114" s="27"/>
      <c r="AU114" s="27"/>
      <c r="AV114" s="27"/>
      <c r="AW114" s="27"/>
      <c r="AX114" s="27"/>
      <c r="AY114" s="27"/>
      <c r="AZ114" s="27"/>
      <c r="BA114" s="27"/>
      <c r="BB114" s="27"/>
    </row>
    <row r="115" spans="1:54" x14ac:dyDescent="0.2">
      <c r="A115" s="115"/>
      <c r="B115" s="146"/>
      <c r="C115" s="210"/>
      <c r="D115" s="210"/>
      <c r="E115" s="210"/>
      <c r="F115" s="210"/>
      <c r="G115" s="210"/>
    </row>
    <row r="116" spans="1:54" x14ac:dyDescent="0.2">
      <c r="A116" s="137" t="s">
        <v>257</v>
      </c>
      <c r="B116" s="260"/>
      <c r="C116" s="31"/>
      <c r="D116" s="31"/>
      <c r="E116" s="31"/>
      <c r="F116" s="31"/>
      <c r="G116" s="31"/>
      <c r="O116" s="329"/>
    </row>
    <row r="117" spans="1:54" x14ac:dyDescent="0.2">
      <c r="A117" s="137"/>
      <c r="B117" s="260"/>
      <c r="C117" s="31"/>
      <c r="D117" s="31"/>
      <c r="E117" s="267"/>
      <c r="F117" s="267"/>
      <c r="G117" s="267"/>
      <c r="O117" s="102"/>
      <c r="P117" s="102"/>
      <c r="Q117" s="102"/>
      <c r="R117" s="102"/>
      <c r="S117" s="102"/>
    </row>
    <row r="118" spans="1:54" ht="11.25" customHeight="1" x14ac:dyDescent="0.2">
      <c r="A118" s="137" t="s">
        <v>250</v>
      </c>
      <c r="B118" s="260"/>
      <c r="C118" s="31"/>
      <c r="D118" s="31"/>
      <c r="E118" s="31"/>
      <c r="F118" s="31"/>
      <c r="G118" s="31"/>
    </row>
    <row r="119" spans="1:54" x14ac:dyDescent="0.2">
      <c r="A119" s="137" t="s">
        <v>248</v>
      </c>
      <c r="B119" s="31"/>
      <c r="C119" s="31"/>
      <c r="D119" s="31"/>
      <c r="E119" s="31"/>
      <c r="F119" s="31"/>
      <c r="G119" s="31"/>
    </row>
    <row r="121" spans="1:54" x14ac:dyDescent="0.2">
      <c r="A121" s="137" t="s">
        <v>251</v>
      </c>
    </row>
    <row r="122" spans="1:54" x14ac:dyDescent="0.2">
      <c r="A122" s="24" t="s">
        <v>249</v>
      </c>
    </row>
    <row r="124" spans="1:54" x14ac:dyDescent="0.2">
      <c r="B124" s="93"/>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phoneticPr fontId="0" type="noConversion"/>
  <pageMargins left="0.25" right="0" top="0.25" bottom="0" header="0.3" footer="0.3"/>
  <pageSetup paperSize="9" scale="42" orientation="portrait" r:id="rId2"/>
  <ignoredErrors>
    <ignoredError sqref="J8 J12 J17 J20 J23 J35:J36 J41:J42 J69:J70 J95 K71 J73 J26 J107 J97 J99 J101 J105 J108 J106 J104 J102:K103" formulaRange="1"/>
    <ignoredError sqref="J98:K98 O73 O96 N109"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G71"/>
  <sheetViews>
    <sheetView showGridLines="0" zoomScale="90" zoomScaleNormal="90" zoomScaleSheetLayoutView="80" workbookViewId="0">
      <pane xSplit="2" ySplit="4" topLeftCell="F49" activePane="bottomRight" state="frozen"/>
      <selection activeCell="I106" sqref="I106"/>
      <selection pane="topRight" activeCell="I106" sqref="I106"/>
      <selection pane="bottomLeft" activeCell="I106" sqref="I106"/>
      <selection pane="bottomRight" activeCell="Q71" sqref="Q71"/>
    </sheetView>
  </sheetViews>
  <sheetFormatPr defaultColWidth="9.140625" defaultRowHeight="12.75" outlineLevelCol="1" x14ac:dyDescent="0.2"/>
  <cols>
    <col min="1" max="1" width="47.140625" style="23" customWidth="1"/>
    <col min="2" max="2" width="3.140625" style="2" customWidth="1"/>
    <col min="3" max="3" width="10" style="2" hidden="1" customWidth="1" outlineLevel="1"/>
    <col min="4" max="4" width="11.28515625" style="2" hidden="1" customWidth="1" outlineLevel="1"/>
    <col min="5" max="5" width="10" style="2" hidden="1" customWidth="1" outlineLevel="1"/>
    <col min="6" max="6" width="11.5703125" style="2" bestFit="1" customWidth="1" collapsed="1"/>
    <col min="7" max="7" width="11.5703125" style="2" hidden="1" customWidth="1" outlineLevel="1"/>
    <col min="8" max="8" width="12.28515625" style="2" hidden="1" customWidth="1" outlineLevel="1"/>
    <col min="9" max="10" width="12" style="2" hidden="1" customWidth="1" outlineLevel="1"/>
    <col min="11" max="11" width="12" style="2" bestFit="1" customWidth="1" collapsed="1"/>
    <col min="12" max="14" width="12" style="2" bestFit="1" customWidth="1"/>
    <col min="15" max="17" width="11.5703125" style="2" bestFit="1" customWidth="1"/>
    <col min="18" max="16384" width="9.140625" style="2"/>
  </cols>
  <sheetData>
    <row r="1" spans="1:17" x14ac:dyDescent="0.2">
      <c r="A1" s="11"/>
    </row>
    <row r="2" spans="1:17" ht="45" customHeight="1" x14ac:dyDescent="0.2"/>
    <row r="3" spans="1:17" x14ac:dyDescent="0.2">
      <c r="A3" s="18" t="s">
        <v>15</v>
      </c>
      <c r="C3" s="3">
        <v>2017</v>
      </c>
      <c r="D3" s="3">
        <v>2017</v>
      </c>
      <c r="E3" s="3">
        <v>2017</v>
      </c>
      <c r="F3" s="3">
        <v>2017</v>
      </c>
      <c r="G3" s="3">
        <v>2018</v>
      </c>
      <c r="H3" s="3">
        <v>2018</v>
      </c>
      <c r="I3" s="3">
        <v>2018</v>
      </c>
      <c r="J3" s="3">
        <v>2018</v>
      </c>
      <c r="K3" s="3">
        <v>2019</v>
      </c>
      <c r="L3" s="3">
        <v>2019</v>
      </c>
      <c r="M3" s="3">
        <v>2019</v>
      </c>
      <c r="N3" s="3">
        <v>2019</v>
      </c>
      <c r="O3" s="3">
        <v>2020</v>
      </c>
      <c r="P3" s="3">
        <v>2020</v>
      </c>
      <c r="Q3" s="3">
        <v>2020</v>
      </c>
    </row>
    <row r="4" spans="1:17" s="8" customFormat="1" x14ac:dyDescent="0.2">
      <c r="A4" s="25" t="s">
        <v>66</v>
      </c>
      <c r="C4" s="77" t="s">
        <v>9</v>
      </c>
      <c r="D4" s="77" t="s">
        <v>10</v>
      </c>
      <c r="E4" s="77" t="s">
        <v>11</v>
      </c>
      <c r="F4" s="77" t="s">
        <v>12</v>
      </c>
      <c r="G4" s="77" t="s">
        <v>9</v>
      </c>
      <c r="H4" s="77" t="s">
        <v>10</v>
      </c>
      <c r="I4" s="77" t="s">
        <v>11</v>
      </c>
      <c r="J4" s="77" t="s">
        <v>12</v>
      </c>
      <c r="K4" s="77" t="s">
        <v>9</v>
      </c>
      <c r="L4" s="77" t="s">
        <v>10</v>
      </c>
      <c r="M4" s="77" t="s">
        <v>11</v>
      </c>
      <c r="N4" s="77" t="s">
        <v>12</v>
      </c>
      <c r="O4" s="77" t="s">
        <v>9</v>
      </c>
      <c r="P4" s="77" t="s">
        <v>10</v>
      </c>
      <c r="Q4" s="77" t="s">
        <v>11</v>
      </c>
    </row>
    <row r="5" spans="1:17" s="3" customFormat="1" x14ac:dyDescent="0.2">
      <c r="A5" s="18"/>
    </row>
    <row r="6" spans="1:17" s="38" customFormat="1" x14ac:dyDescent="0.2">
      <c r="A6" s="50" t="s">
        <v>17</v>
      </c>
      <c r="B6" s="38" t="s">
        <v>21</v>
      </c>
    </row>
    <row r="7" spans="1:17" x14ac:dyDescent="0.2">
      <c r="A7" s="67" t="s">
        <v>18</v>
      </c>
      <c r="B7" s="117" t="s">
        <v>21</v>
      </c>
    </row>
    <row r="8" spans="1:17" x14ac:dyDescent="0.2">
      <c r="A8" s="68" t="s">
        <v>105</v>
      </c>
      <c r="B8" s="126" t="s">
        <v>21</v>
      </c>
      <c r="C8" s="127">
        <v>91700</v>
      </c>
      <c r="D8" s="127">
        <v>89414</v>
      </c>
      <c r="E8" s="127">
        <v>87665</v>
      </c>
      <c r="F8" s="127">
        <v>86795</v>
      </c>
      <c r="G8" s="127">
        <v>69955</v>
      </c>
      <c r="H8" s="127">
        <v>84091</v>
      </c>
      <c r="I8" s="127">
        <v>97636</v>
      </c>
      <c r="J8" s="127">
        <v>95881</v>
      </c>
      <c r="K8" s="127">
        <v>86688</v>
      </c>
      <c r="L8" s="127">
        <v>84842</v>
      </c>
      <c r="M8" s="127">
        <v>101432</v>
      </c>
      <c r="N8" s="127">
        <v>119165</v>
      </c>
      <c r="O8" s="101">
        <v>224874</v>
      </c>
      <c r="P8" s="101">
        <v>163619</v>
      </c>
      <c r="Q8" s="101">
        <v>206423</v>
      </c>
    </row>
    <row r="9" spans="1:17" x14ac:dyDescent="0.2">
      <c r="A9" s="68" t="s">
        <v>104</v>
      </c>
      <c r="B9" s="126" t="s">
        <v>21</v>
      </c>
      <c r="C9" s="125">
        <v>126472</v>
      </c>
      <c r="D9" s="147">
        <v>147915</v>
      </c>
      <c r="E9" s="147">
        <v>161702</v>
      </c>
      <c r="F9" s="147">
        <v>178479</v>
      </c>
      <c r="G9" s="147">
        <v>169461</v>
      </c>
      <c r="H9" s="147">
        <v>149045</v>
      </c>
      <c r="I9" s="147">
        <v>144878</v>
      </c>
      <c r="J9" s="147">
        <v>184489</v>
      </c>
      <c r="K9" s="147">
        <v>216056</v>
      </c>
      <c r="L9" s="147">
        <v>168204</v>
      </c>
      <c r="M9" s="147">
        <v>179340</v>
      </c>
      <c r="N9" s="147">
        <v>202238</v>
      </c>
      <c r="O9" s="328">
        <v>142539</v>
      </c>
      <c r="P9" s="328">
        <v>171962</v>
      </c>
      <c r="Q9" s="328">
        <v>156175</v>
      </c>
    </row>
    <row r="10" spans="1:17" x14ac:dyDescent="0.2">
      <c r="A10" s="68" t="s">
        <v>19</v>
      </c>
      <c r="B10" s="126"/>
      <c r="C10" s="125">
        <v>2691</v>
      </c>
      <c r="D10" s="147">
        <v>1898</v>
      </c>
      <c r="E10" s="147">
        <v>1913</v>
      </c>
      <c r="F10" s="147">
        <v>3674</v>
      </c>
      <c r="G10" s="147">
        <v>2727</v>
      </c>
      <c r="H10" s="147">
        <v>2256</v>
      </c>
      <c r="I10" s="147">
        <v>4679</v>
      </c>
      <c r="J10" s="147">
        <v>5608</v>
      </c>
      <c r="K10" s="147">
        <v>5364</v>
      </c>
      <c r="L10" s="147">
        <v>4098</v>
      </c>
      <c r="M10" s="147">
        <v>5412</v>
      </c>
      <c r="N10" s="147">
        <v>5453</v>
      </c>
      <c r="O10" s="328">
        <v>6369</v>
      </c>
      <c r="P10" s="328">
        <v>4858</v>
      </c>
      <c r="Q10" s="328">
        <v>7312</v>
      </c>
    </row>
    <row r="11" spans="1:17" x14ac:dyDescent="0.2">
      <c r="A11" s="68" t="s">
        <v>177</v>
      </c>
      <c r="B11" s="126" t="s">
        <v>21</v>
      </c>
      <c r="C11" s="125">
        <v>119811</v>
      </c>
      <c r="D11" s="147">
        <v>123798</v>
      </c>
      <c r="E11" s="147">
        <v>133862</v>
      </c>
      <c r="F11" s="147">
        <v>135705</v>
      </c>
      <c r="G11" s="147">
        <v>137150</v>
      </c>
      <c r="H11" s="147">
        <v>147099</v>
      </c>
      <c r="I11" s="147">
        <v>164307</v>
      </c>
      <c r="J11" s="147">
        <v>164752</v>
      </c>
      <c r="K11" s="147">
        <v>176889</v>
      </c>
      <c r="L11" s="147">
        <v>180680</v>
      </c>
      <c r="M11" s="147">
        <v>179702</v>
      </c>
      <c r="N11" s="147">
        <v>171864</v>
      </c>
      <c r="O11" s="328">
        <v>187137</v>
      </c>
      <c r="P11" s="328">
        <v>157505</v>
      </c>
      <c r="Q11" s="328">
        <v>154983</v>
      </c>
    </row>
    <row r="12" spans="1:17" x14ac:dyDescent="0.2">
      <c r="A12" s="68" t="s">
        <v>180</v>
      </c>
      <c r="B12" s="126" t="s">
        <v>21</v>
      </c>
      <c r="C12" s="202">
        <v>0</v>
      </c>
      <c r="D12" s="203">
        <v>0</v>
      </c>
      <c r="E12" s="203">
        <v>0</v>
      </c>
      <c r="F12" s="203">
        <v>0</v>
      </c>
      <c r="G12" s="147">
        <v>0</v>
      </c>
      <c r="H12" s="147">
        <v>0</v>
      </c>
      <c r="I12" s="147">
        <v>0</v>
      </c>
      <c r="J12" s="147">
        <v>0</v>
      </c>
      <c r="K12" s="147">
        <v>0</v>
      </c>
      <c r="L12" s="147">
        <v>0</v>
      </c>
      <c r="M12" s="147">
        <v>0</v>
      </c>
      <c r="N12" s="147">
        <v>0</v>
      </c>
      <c r="O12" s="328">
        <v>0</v>
      </c>
      <c r="P12" s="328">
        <v>0</v>
      </c>
      <c r="Q12" s="328">
        <v>0</v>
      </c>
    </row>
    <row r="13" spans="1:17" x14ac:dyDescent="0.2">
      <c r="A13" s="68" t="s">
        <v>178</v>
      </c>
      <c r="B13" s="126" t="s">
        <v>21</v>
      </c>
      <c r="C13" s="125">
        <v>7687</v>
      </c>
      <c r="D13" s="147">
        <v>7337</v>
      </c>
      <c r="E13" s="147">
        <v>8821</v>
      </c>
      <c r="F13" s="147">
        <v>8801</v>
      </c>
      <c r="G13" s="147">
        <v>17802</v>
      </c>
      <c r="H13" s="147">
        <v>11278</v>
      </c>
      <c r="I13" s="147">
        <v>7700</v>
      </c>
      <c r="J13" s="147">
        <v>9639</v>
      </c>
      <c r="K13" s="147">
        <v>11334</v>
      </c>
      <c r="L13" s="147">
        <v>7906</v>
      </c>
      <c r="M13" s="147">
        <v>3002</v>
      </c>
      <c r="N13" s="147">
        <v>4698</v>
      </c>
      <c r="O13" s="328">
        <v>6024</v>
      </c>
      <c r="P13" s="328">
        <v>1003</v>
      </c>
      <c r="Q13" s="328">
        <v>1138</v>
      </c>
    </row>
    <row r="14" spans="1:17" x14ac:dyDescent="0.2">
      <c r="A14" s="68" t="s">
        <v>38</v>
      </c>
      <c r="B14" s="126" t="s">
        <v>21</v>
      </c>
      <c r="C14" s="125">
        <v>35137</v>
      </c>
      <c r="D14" s="147">
        <v>28238</v>
      </c>
      <c r="E14" s="147">
        <v>29291</v>
      </c>
      <c r="F14" s="147">
        <v>39363</v>
      </c>
      <c r="G14" s="147">
        <v>38878</v>
      </c>
      <c r="H14" s="147">
        <v>32965</v>
      </c>
      <c r="I14" s="147">
        <v>34627</v>
      </c>
      <c r="J14" s="147">
        <v>39566</v>
      </c>
      <c r="K14" s="147">
        <v>39727</v>
      </c>
      <c r="L14" s="147">
        <v>43345</v>
      </c>
      <c r="M14" s="147">
        <v>37338</v>
      </c>
      <c r="N14" s="147">
        <v>37840</v>
      </c>
      <c r="O14" s="328">
        <v>37949</v>
      </c>
      <c r="P14" s="328">
        <v>37593</v>
      </c>
      <c r="Q14" s="328">
        <v>39032</v>
      </c>
    </row>
    <row r="15" spans="1:17" x14ac:dyDescent="0.2">
      <c r="A15" s="51" t="s">
        <v>106</v>
      </c>
      <c r="B15" s="135" t="s">
        <v>21</v>
      </c>
      <c r="C15" s="134">
        <f t="shared" ref="C15:G15" si="0">SUM(C8:C14)</f>
        <v>383498</v>
      </c>
      <c r="D15" s="134">
        <f t="shared" si="0"/>
        <v>398600</v>
      </c>
      <c r="E15" s="134">
        <f t="shared" si="0"/>
        <v>423254</v>
      </c>
      <c r="F15" s="134">
        <f t="shared" si="0"/>
        <v>452817</v>
      </c>
      <c r="G15" s="134">
        <f t="shared" si="0"/>
        <v>435973</v>
      </c>
      <c r="H15" s="134">
        <f t="shared" ref="H15:I15" si="1">SUM(H8:H14)</f>
        <v>426734</v>
      </c>
      <c r="I15" s="134">
        <f t="shared" si="1"/>
        <v>453827</v>
      </c>
      <c r="J15" s="134">
        <f t="shared" ref="J15:L15" si="2">SUM(J8:J14)</f>
        <v>499935</v>
      </c>
      <c r="K15" s="134">
        <f t="shared" si="2"/>
        <v>536058</v>
      </c>
      <c r="L15" s="134">
        <f t="shared" si="2"/>
        <v>489075</v>
      </c>
      <c r="M15" s="134">
        <f t="shared" ref="M15" si="3">SUM(M8:M14)</f>
        <v>506226</v>
      </c>
      <c r="N15" s="134">
        <f>SUM(N8:N14)</f>
        <v>541258</v>
      </c>
      <c r="O15" s="134">
        <f>SUM(O8:O14)</f>
        <v>604892</v>
      </c>
      <c r="P15" s="134">
        <f>SUM(P8:P14)</f>
        <v>536540</v>
      </c>
      <c r="Q15" s="134">
        <f>SUM(Q8:Q14)</f>
        <v>565063</v>
      </c>
    </row>
    <row r="16" spans="1:17" x14ac:dyDescent="0.2">
      <c r="A16" s="19" t="s">
        <v>21</v>
      </c>
      <c r="B16" s="117" t="s">
        <v>21</v>
      </c>
      <c r="D16" s="147"/>
    </row>
    <row r="17" spans="1:44" x14ac:dyDescent="0.2">
      <c r="A17" s="69" t="s">
        <v>179</v>
      </c>
      <c r="B17" s="126" t="s">
        <v>21</v>
      </c>
      <c r="C17" s="127">
        <v>59220</v>
      </c>
      <c r="D17" s="147">
        <v>63978</v>
      </c>
      <c r="E17" s="147">
        <v>63729</v>
      </c>
      <c r="F17" s="147">
        <v>66757</v>
      </c>
      <c r="G17" s="147">
        <v>67748</v>
      </c>
      <c r="H17" s="147">
        <v>66112</v>
      </c>
      <c r="I17" s="147">
        <v>67675</v>
      </c>
      <c r="J17" s="147">
        <v>73510</v>
      </c>
      <c r="K17" s="147">
        <v>73447</v>
      </c>
      <c r="L17" s="147">
        <v>78083</v>
      </c>
      <c r="M17" s="147">
        <v>78471</v>
      </c>
      <c r="N17" s="147">
        <v>79142</v>
      </c>
      <c r="O17" s="328">
        <v>90513</v>
      </c>
      <c r="P17" s="328">
        <v>91848</v>
      </c>
      <c r="Q17" s="328">
        <v>94103</v>
      </c>
    </row>
    <row r="18" spans="1:44" x14ac:dyDescent="0.2">
      <c r="A18" s="69" t="s">
        <v>226</v>
      </c>
      <c r="B18" s="126"/>
      <c r="C18" s="127"/>
      <c r="D18" s="147"/>
      <c r="E18" s="147"/>
      <c r="F18" s="147">
        <v>0</v>
      </c>
      <c r="G18" s="147">
        <v>0</v>
      </c>
      <c r="H18" s="147">
        <v>0</v>
      </c>
      <c r="I18" s="147">
        <v>0</v>
      </c>
      <c r="J18" s="147">
        <v>0</v>
      </c>
      <c r="K18" s="147">
        <v>89835</v>
      </c>
      <c r="L18" s="147">
        <v>93162</v>
      </c>
      <c r="M18" s="147">
        <v>88753</v>
      </c>
      <c r="N18" s="147">
        <v>86396</v>
      </c>
      <c r="O18" s="328">
        <v>99940</v>
      </c>
      <c r="P18" s="328">
        <v>96789</v>
      </c>
      <c r="Q18" s="328">
        <v>95873</v>
      </c>
    </row>
    <row r="19" spans="1:44" x14ac:dyDescent="0.2">
      <c r="A19" s="69" t="s">
        <v>19</v>
      </c>
      <c r="B19" s="126"/>
      <c r="C19" s="127">
        <v>3657</v>
      </c>
      <c r="D19" s="147">
        <v>3692</v>
      </c>
      <c r="E19" s="147">
        <v>3710</v>
      </c>
      <c r="F19" s="147">
        <v>3808</v>
      </c>
      <c r="G19" s="285">
        <v>3783</v>
      </c>
      <c r="H19" s="147">
        <v>3645</v>
      </c>
      <c r="I19" s="147">
        <v>3499</v>
      </c>
      <c r="J19" s="147">
        <v>2642</v>
      </c>
      <c r="K19" s="147">
        <v>2575</v>
      </c>
      <c r="L19" s="147">
        <v>2507</v>
      </c>
      <c r="M19" s="147">
        <v>2441</v>
      </c>
      <c r="N19" s="147">
        <v>2426</v>
      </c>
      <c r="O19" s="328">
        <v>2291</v>
      </c>
      <c r="P19" s="328">
        <v>2298</v>
      </c>
      <c r="Q19" s="328">
        <v>2277</v>
      </c>
    </row>
    <row r="20" spans="1:44" x14ac:dyDescent="0.2">
      <c r="A20" s="69" t="s">
        <v>228</v>
      </c>
      <c r="B20" s="126" t="s">
        <v>21</v>
      </c>
      <c r="C20" s="125">
        <v>16392</v>
      </c>
      <c r="D20" s="147">
        <v>13959</v>
      </c>
      <c r="E20" s="147">
        <v>16118</v>
      </c>
      <c r="F20" s="147">
        <v>9280</v>
      </c>
      <c r="G20" s="147">
        <v>6518</v>
      </c>
      <c r="H20" s="147">
        <v>12702</v>
      </c>
      <c r="I20" s="147">
        <v>12201</v>
      </c>
      <c r="J20" s="147">
        <v>6602</v>
      </c>
      <c r="K20" s="147">
        <v>4570</v>
      </c>
      <c r="L20" s="147">
        <v>4200</v>
      </c>
      <c r="M20" s="147">
        <v>6190</v>
      </c>
      <c r="N20" s="147">
        <v>11855</v>
      </c>
      <c r="O20" s="328">
        <v>16640</v>
      </c>
      <c r="P20" s="328">
        <v>17070</v>
      </c>
      <c r="Q20" s="328">
        <v>13230</v>
      </c>
    </row>
    <row r="21" spans="1:44" x14ac:dyDescent="0.2">
      <c r="A21" s="70" t="s">
        <v>229</v>
      </c>
      <c r="B21" s="133"/>
      <c r="C21" s="125">
        <v>50356</v>
      </c>
      <c r="D21" s="147">
        <v>46973</v>
      </c>
      <c r="E21" s="147">
        <v>43568</v>
      </c>
      <c r="F21" s="147">
        <v>48958</v>
      </c>
      <c r="G21" s="147">
        <v>45104</v>
      </c>
      <c r="H21" s="147">
        <v>41170</v>
      </c>
      <c r="I21" s="147">
        <v>114799</v>
      </c>
      <c r="J21" s="147">
        <v>95495</v>
      </c>
      <c r="K21" s="147">
        <v>90008</v>
      </c>
      <c r="L21" s="147">
        <v>84402</v>
      </c>
      <c r="M21" s="147">
        <v>78845</v>
      </c>
      <c r="N21" s="147">
        <v>73982</v>
      </c>
      <c r="O21" s="328">
        <v>69734</v>
      </c>
      <c r="P21" s="328">
        <v>66296</v>
      </c>
      <c r="Q21" s="328">
        <v>62941</v>
      </c>
    </row>
    <row r="22" spans="1:44" x14ac:dyDescent="0.2">
      <c r="A22" s="69" t="s">
        <v>22</v>
      </c>
      <c r="B22" s="126" t="s">
        <v>21</v>
      </c>
      <c r="C22" s="125">
        <v>187952</v>
      </c>
      <c r="D22" s="147">
        <v>188154</v>
      </c>
      <c r="E22" s="147">
        <v>187953</v>
      </c>
      <c r="F22" s="147">
        <v>204481</v>
      </c>
      <c r="G22" s="147">
        <v>202337</v>
      </c>
      <c r="H22" s="147">
        <v>200981</v>
      </c>
      <c r="I22" s="147">
        <v>357533</v>
      </c>
      <c r="J22" s="147">
        <v>349984</v>
      </c>
      <c r="K22" s="147">
        <v>350239</v>
      </c>
      <c r="L22" s="147">
        <v>350220</v>
      </c>
      <c r="M22" s="147">
        <v>349530</v>
      </c>
      <c r="N22" s="147">
        <v>349529</v>
      </c>
      <c r="O22" s="328">
        <v>348076</v>
      </c>
      <c r="P22" s="328">
        <v>348110</v>
      </c>
      <c r="Q22" s="328">
        <v>348723</v>
      </c>
    </row>
    <row r="23" spans="1:44" x14ac:dyDescent="0.2">
      <c r="A23" s="69" t="s">
        <v>31</v>
      </c>
      <c r="B23" s="126" t="s">
        <v>21</v>
      </c>
      <c r="C23" s="125">
        <f>29275-C19</f>
        <v>25618</v>
      </c>
      <c r="D23" s="147">
        <f>35767-D19</f>
        <v>32075</v>
      </c>
      <c r="E23" s="147">
        <f>34382-E19</f>
        <v>30672</v>
      </c>
      <c r="F23" s="147">
        <f>40177-F19</f>
        <v>36369</v>
      </c>
      <c r="G23" s="147">
        <v>33863</v>
      </c>
      <c r="H23" s="147">
        <v>36033</v>
      </c>
      <c r="I23" s="147">
        <v>32779</v>
      </c>
      <c r="J23" s="147">
        <v>31015</v>
      </c>
      <c r="K23" s="147">
        <v>33164</v>
      </c>
      <c r="L23" s="147">
        <v>33194</v>
      </c>
      <c r="M23" s="147">
        <v>32967</v>
      </c>
      <c r="N23" s="147">
        <v>36016</v>
      </c>
      <c r="O23" s="328">
        <v>32045</v>
      </c>
      <c r="P23" s="328">
        <v>31599</v>
      </c>
      <c r="Q23" s="328">
        <v>34280</v>
      </c>
    </row>
    <row r="24" spans="1:44" x14ac:dyDescent="0.2">
      <c r="A24" s="69" t="s">
        <v>181</v>
      </c>
      <c r="B24" s="126"/>
      <c r="C24" s="202">
        <v>0</v>
      </c>
      <c r="D24" s="147">
        <v>0</v>
      </c>
      <c r="E24" s="147">
        <v>0</v>
      </c>
      <c r="F24" s="147">
        <v>3000</v>
      </c>
      <c r="G24" s="147">
        <v>2944</v>
      </c>
      <c r="H24" s="147">
        <v>2886</v>
      </c>
      <c r="I24" s="147">
        <v>2824</v>
      </c>
      <c r="J24" s="147">
        <v>2753</v>
      </c>
      <c r="K24" s="147">
        <v>2686</v>
      </c>
      <c r="L24" s="147">
        <v>2624</v>
      </c>
      <c r="M24" s="147">
        <v>2555</v>
      </c>
      <c r="N24" s="147">
        <v>2484</v>
      </c>
      <c r="O24" s="328">
        <v>3128</v>
      </c>
      <c r="P24" s="328">
        <v>3063</v>
      </c>
      <c r="Q24" s="328">
        <v>2991</v>
      </c>
    </row>
    <row r="25" spans="1:44" s="8" customFormat="1" x14ac:dyDescent="0.2">
      <c r="A25" s="47" t="s">
        <v>107</v>
      </c>
      <c r="B25" s="132" t="s">
        <v>21</v>
      </c>
      <c r="C25" s="118">
        <f t="shared" ref="C25:H25" si="4">SUM(C15:C24)</f>
        <v>726693</v>
      </c>
      <c r="D25" s="118">
        <f t="shared" si="4"/>
        <v>747431</v>
      </c>
      <c r="E25" s="118">
        <f t="shared" si="4"/>
        <v>769004</v>
      </c>
      <c r="F25" s="118">
        <f t="shared" si="4"/>
        <v>825470</v>
      </c>
      <c r="G25" s="118">
        <f t="shared" si="4"/>
        <v>798270</v>
      </c>
      <c r="H25" s="118">
        <f t="shared" si="4"/>
        <v>790263</v>
      </c>
      <c r="I25" s="118">
        <f t="shared" ref="I25:J25" si="5">SUM(I15:I24)</f>
        <v>1045137</v>
      </c>
      <c r="J25" s="118">
        <f t="shared" si="5"/>
        <v>1061936</v>
      </c>
      <c r="K25" s="118">
        <f t="shared" ref="K25:L25" si="6">SUM(K15:K24)</f>
        <v>1182582</v>
      </c>
      <c r="L25" s="118">
        <f t="shared" si="6"/>
        <v>1137467</v>
      </c>
      <c r="M25" s="118">
        <f t="shared" ref="M25:Q25" si="7">SUM(M15:M24)</f>
        <v>1145978</v>
      </c>
      <c r="N25" s="118">
        <f t="shared" si="7"/>
        <v>1183088</v>
      </c>
      <c r="O25" s="118">
        <f t="shared" si="7"/>
        <v>1267259</v>
      </c>
      <c r="P25" s="118">
        <f t="shared" ref="P25" si="8">SUM(P15:P24)</f>
        <v>1193613</v>
      </c>
      <c r="Q25" s="118">
        <f t="shared" si="7"/>
        <v>1219481</v>
      </c>
      <c r="AF25" s="2"/>
      <c r="AG25" s="2"/>
      <c r="AH25" s="2"/>
      <c r="AI25" s="2"/>
      <c r="AJ25" s="2"/>
      <c r="AK25" s="2"/>
      <c r="AL25" s="2"/>
      <c r="AM25" s="2"/>
      <c r="AN25" s="2"/>
      <c r="AO25" s="2"/>
      <c r="AP25" s="2"/>
      <c r="AQ25" s="2"/>
      <c r="AR25" s="2"/>
    </row>
    <row r="26" spans="1:44" x14ac:dyDescent="0.2">
      <c r="A26" s="22" t="s">
        <v>21</v>
      </c>
      <c r="B26" s="117" t="s">
        <v>21</v>
      </c>
      <c r="D26" s="147"/>
    </row>
    <row r="27" spans="1:44" s="38" customFormat="1" x14ac:dyDescent="0.2">
      <c r="A27" s="50" t="s">
        <v>23</v>
      </c>
      <c r="B27" s="131" t="s">
        <v>21</v>
      </c>
      <c r="D27" s="155"/>
      <c r="AF27" s="2"/>
      <c r="AG27" s="2"/>
      <c r="AH27" s="2"/>
      <c r="AI27" s="2"/>
      <c r="AJ27" s="2"/>
      <c r="AK27" s="2"/>
      <c r="AL27" s="2"/>
      <c r="AM27" s="2"/>
      <c r="AN27" s="2"/>
      <c r="AO27" s="2"/>
      <c r="AP27" s="2"/>
      <c r="AQ27" s="2"/>
      <c r="AR27" s="2"/>
    </row>
    <row r="28" spans="1:44" x14ac:dyDescent="0.2">
      <c r="A28" s="67" t="s">
        <v>24</v>
      </c>
      <c r="B28" s="117" t="s">
        <v>21</v>
      </c>
      <c r="D28" s="147"/>
    </row>
    <row r="29" spans="1:44" s="8" customFormat="1" x14ac:dyDescent="0.2">
      <c r="A29" s="68" t="s">
        <v>25</v>
      </c>
      <c r="B29" s="130" t="s">
        <v>21</v>
      </c>
      <c r="C29" s="127">
        <v>5286</v>
      </c>
      <c r="D29" s="147">
        <v>11661</v>
      </c>
      <c r="E29" s="147">
        <v>3834</v>
      </c>
      <c r="F29" s="147">
        <v>5918</v>
      </c>
      <c r="G29" s="147">
        <v>4114</v>
      </c>
      <c r="H29" s="147">
        <v>5428</v>
      </c>
      <c r="I29" s="147">
        <v>4310</v>
      </c>
      <c r="J29" s="147">
        <v>5653</v>
      </c>
      <c r="K29" s="147">
        <v>4560</v>
      </c>
      <c r="L29" s="147">
        <v>3269</v>
      </c>
      <c r="M29" s="147">
        <v>3658</v>
      </c>
      <c r="N29" s="147">
        <v>6564</v>
      </c>
      <c r="O29" s="328">
        <v>8048</v>
      </c>
      <c r="P29" s="328">
        <v>9048</v>
      </c>
      <c r="Q29" s="328">
        <v>6213</v>
      </c>
      <c r="AF29" s="2"/>
      <c r="AG29" s="2"/>
      <c r="AH29" s="2"/>
      <c r="AI29" s="2"/>
      <c r="AJ29" s="2"/>
      <c r="AK29" s="2"/>
      <c r="AL29" s="2"/>
      <c r="AM29" s="2"/>
      <c r="AN29" s="2"/>
      <c r="AO29" s="2"/>
      <c r="AP29" s="2"/>
      <c r="AQ29" s="2"/>
      <c r="AR29" s="2"/>
    </row>
    <row r="30" spans="1:44" s="8" customFormat="1" x14ac:dyDescent="0.2">
      <c r="A30" s="68" t="s">
        <v>182</v>
      </c>
      <c r="B30" s="130"/>
      <c r="C30" s="125">
        <v>10000</v>
      </c>
      <c r="D30" s="147">
        <v>10000</v>
      </c>
      <c r="E30" s="147">
        <v>0</v>
      </c>
      <c r="F30" s="147">
        <v>10318</v>
      </c>
      <c r="G30" s="147">
        <v>318</v>
      </c>
      <c r="H30" s="147">
        <v>10318</v>
      </c>
      <c r="I30" s="147">
        <v>12318</v>
      </c>
      <c r="J30" s="147">
        <v>21423</v>
      </c>
      <c r="K30" s="147">
        <v>20876</v>
      </c>
      <c r="L30" s="147">
        <v>20885</v>
      </c>
      <c r="M30" s="147">
        <v>20876</v>
      </c>
      <c r="N30" s="147">
        <v>40867</v>
      </c>
      <c r="O30" s="328">
        <v>100666</v>
      </c>
      <c r="P30" s="328">
        <v>20657</v>
      </c>
      <c r="Q30" s="328">
        <v>10474</v>
      </c>
      <c r="AF30" s="2"/>
      <c r="AG30" s="2"/>
      <c r="AH30" s="2"/>
      <c r="AI30" s="2"/>
      <c r="AJ30" s="2"/>
      <c r="AK30" s="2"/>
      <c r="AL30" s="2"/>
      <c r="AM30" s="2"/>
      <c r="AN30" s="2"/>
      <c r="AO30" s="2"/>
      <c r="AP30" s="2"/>
      <c r="AQ30" s="2"/>
      <c r="AR30" s="2"/>
    </row>
    <row r="31" spans="1:44" x14ac:dyDescent="0.2">
      <c r="A31" s="68" t="s">
        <v>26</v>
      </c>
      <c r="B31" s="128" t="s">
        <v>21</v>
      </c>
      <c r="C31" s="125">
        <v>17968</v>
      </c>
      <c r="D31" s="147">
        <v>14189</v>
      </c>
      <c r="E31" s="147">
        <v>8662</v>
      </c>
      <c r="F31" s="147">
        <v>10716</v>
      </c>
      <c r="G31" s="147">
        <v>11504</v>
      </c>
      <c r="H31" s="147">
        <v>10448</v>
      </c>
      <c r="I31" s="147">
        <v>7600</v>
      </c>
      <c r="J31" s="147">
        <v>7722</v>
      </c>
      <c r="K31" s="147">
        <v>11132</v>
      </c>
      <c r="L31" s="147">
        <v>11790</v>
      </c>
      <c r="M31" s="147">
        <v>9585</v>
      </c>
      <c r="N31" s="147">
        <v>13436</v>
      </c>
      <c r="O31" s="328">
        <v>16038</v>
      </c>
      <c r="P31" s="328">
        <v>16752</v>
      </c>
      <c r="Q31" s="328">
        <v>13562</v>
      </c>
    </row>
    <row r="32" spans="1:44" x14ac:dyDescent="0.2">
      <c r="A32" s="68" t="s">
        <v>27</v>
      </c>
      <c r="B32" s="128" t="s">
        <v>21</v>
      </c>
      <c r="C32" s="125">
        <v>29830</v>
      </c>
      <c r="D32" s="147">
        <v>39135</v>
      </c>
      <c r="E32" s="147">
        <v>49385</v>
      </c>
      <c r="F32" s="147">
        <v>55664</v>
      </c>
      <c r="G32" s="147">
        <v>27615</v>
      </c>
      <c r="H32" s="147">
        <v>33338</v>
      </c>
      <c r="I32" s="147">
        <v>46638</v>
      </c>
      <c r="J32" s="147">
        <v>54893</v>
      </c>
      <c r="K32" s="147">
        <v>31954</v>
      </c>
      <c r="L32" s="147">
        <v>42967</v>
      </c>
      <c r="M32" s="147">
        <v>59568</v>
      </c>
      <c r="N32" s="147">
        <v>68885</v>
      </c>
      <c r="O32" s="328">
        <v>28937</v>
      </c>
      <c r="P32" s="328">
        <v>42376</v>
      </c>
      <c r="Q32" s="328">
        <v>57402</v>
      </c>
    </row>
    <row r="33" spans="1:17" x14ac:dyDescent="0.2">
      <c r="A33" s="68" t="s">
        <v>64</v>
      </c>
      <c r="B33" s="128" t="s">
        <v>21</v>
      </c>
      <c r="C33" s="136">
        <v>47886</v>
      </c>
      <c r="D33" s="147">
        <v>41048</v>
      </c>
      <c r="E33" s="147">
        <v>49208</v>
      </c>
      <c r="F33" s="147">
        <v>61633</v>
      </c>
      <c r="G33" s="147">
        <v>61394</v>
      </c>
      <c r="H33" s="147">
        <v>60105</v>
      </c>
      <c r="I33" s="147">
        <v>67305</v>
      </c>
      <c r="J33" s="147">
        <v>64392</v>
      </c>
      <c r="K33" s="147">
        <v>66110</v>
      </c>
      <c r="L33" s="147">
        <v>65286</v>
      </c>
      <c r="M33" s="147">
        <v>70124</v>
      </c>
      <c r="N33" s="147">
        <v>74017</v>
      </c>
      <c r="O33" s="328">
        <v>84747</v>
      </c>
      <c r="P33" s="328">
        <v>74772</v>
      </c>
      <c r="Q33" s="328">
        <v>73043</v>
      </c>
    </row>
    <row r="34" spans="1:17" x14ac:dyDescent="0.2">
      <c r="A34" s="68" t="s">
        <v>214</v>
      </c>
      <c r="B34" s="128"/>
      <c r="C34" s="136"/>
      <c r="D34" s="147"/>
      <c r="E34" s="147"/>
      <c r="F34" s="147">
        <v>0</v>
      </c>
      <c r="G34" s="147">
        <v>0</v>
      </c>
      <c r="H34" s="147">
        <v>0</v>
      </c>
      <c r="I34" s="147">
        <v>0</v>
      </c>
      <c r="J34" s="147">
        <v>0</v>
      </c>
      <c r="K34" s="147">
        <v>22306</v>
      </c>
      <c r="L34" s="147">
        <v>23439</v>
      </c>
      <c r="M34" s="147">
        <v>23516</v>
      </c>
      <c r="N34" s="147">
        <v>24148</v>
      </c>
      <c r="O34" s="328">
        <v>18236</v>
      </c>
      <c r="P34" s="328">
        <v>18199</v>
      </c>
      <c r="Q34" s="328">
        <v>19048</v>
      </c>
    </row>
    <row r="35" spans="1:17" x14ac:dyDescent="0.2">
      <c r="A35" s="68" t="s">
        <v>227</v>
      </c>
      <c r="B35" s="128"/>
      <c r="C35" s="298">
        <v>0</v>
      </c>
      <c r="D35" s="147">
        <v>0</v>
      </c>
      <c r="E35" s="147">
        <v>0</v>
      </c>
      <c r="F35" s="147">
        <v>0</v>
      </c>
      <c r="G35" s="147">
        <v>0</v>
      </c>
      <c r="H35" s="147">
        <v>0</v>
      </c>
      <c r="I35" s="147">
        <v>0</v>
      </c>
      <c r="J35" s="147">
        <v>1012</v>
      </c>
      <c r="K35" s="147">
        <v>595</v>
      </c>
      <c r="L35" s="147">
        <v>604</v>
      </c>
      <c r="M35" s="147">
        <v>575</v>
      </c>
      <c r="N35" s="147">
        <v>1432</v>
      </c>
      <c r="O35" s="328">
        <v>1692</v>
      </c>
      <c r="P35" s="328">
        <v>2359</v>
      </c>
      <c r="Q35" s="328">
        <v>5157</v>
      </c>
    </row>
    <row r="36" spans="1:17" x14ac:dyDescent="0.2">
      <c r="A36" s="69" t="s">
        <v>29</v>
      </c>
      <c r="B36" s="128" t="s">
        <v>21</v>
      </c>
      <c r="C36" s="129">
        <f t="shared" ref="C36:J36" si="9">SUM(C29:C35)</f>
        <v>110970</v>
      </c>
      <c r="D36" s="129">
        <f t="shared" si="9"/>
        <v>116033</v>
      </c>
      <c r="E36" s="129">
        <f t="shared" si="9"/>
        <v>111089</v>
      </c>
      <c r="F36" s="129">
        <f t="shared" si="9"/>
        <v>144249</v>
      </c>
      <c r="G36" s="129">
        <f t="shared" si="9"/>
        <v>104945</v>
      </c>
      <c r="H36" s="129">
        <f t="shared" si="9"/>
        <v>119637</v>
      </c>
      <c r="I36" s="129">
        <f t="shared" si="9"/>
        <v>138171</v>
      </c>
      <c r="J36" s="129">
        <f t="shared" si="9"/>
        <v>155095</v>
      </c>
      <c r="K36" s="129">
        <f t="shared" ref="K36:L36" si="10">SUM(K29:K35)</f>
        <v>157533</v>
      </c>
      <c r="L36" s="129">
        <f t="shared" si="10"/>
        <v>168240</v>
      </c>
      <c r="M36" s="129">
        <f t="shared" ref="M36" si="11">SUM(M29:M35)</f>
        <v>187902</v>
      </c>
      <c r="N36" s="130">
        <f>SUM(N29:N35)</f>
        <v>229349</v>
      </c>
      <c r="O36" s="130">
        <f>SUM(O29:O35)</f>
        <v>258364</v>
      </c>
      <c r="P36" s="130">
        <f>SUM(P29:P35)</f>
        <v>184163</v>
      </c>
      <c r="Q36" s="130">
        <f>SUM(Q29:Q35)</f>
        <v>184899</v>
      </c>
    </row>
    <row r="37" spans="1:17" x14ac:dyDescent="0.2">
      <c r="A37" s="72" t="s">
        <v>21</v>
      </c>
      <c r="B37" s="128" t="s">
        <v>21</v>
      </c>
      <c r="D37" s="147"/>
    </row>
    <row r="38" spans="1:17" x14ac:dyDescent="0.2">
      <c r="A38" s="73" t="s">
        <v>223</v>
      </c>
      <c r="B38" s="128"/>
      <c r="C38" s="147">
        <v>35000</v>
      </c>
      <c r="D38" s="147">
        <v>35000</v>
      </c>
      <c r="E38" s="147">
        <v>45000</v>
      </c>
      <c r="F38" s="147">
        <v>50391</v>
      </c>
      <c r="G38" s="147">
        <v>67355</v>
      </c>
      <c r="H38" s="147">
        <v>57326</v>
      </c>
      <c r="I38" s="147">
        <v>288309</v>
      </c>
      <c r="J38" s="147">
        <v>263241</v>
      </c>
      <c r="K38" s="147">
        <v>299765</v>
      </c>
      <c r="L38" s="147">
        <v>231409</v>
      </c>
      <c r="M38" s="147">
        <v>223916</v>
      </c>
      <c r="N38" s="147">
        <v>194131</v>
      </c>
      <c r="O38" s="147">
        <v>234820</v>
      </c>
      <c r="P38" s="147">
        <v>215527</v>
      </c>
      <c r="Q38" s="147">
        <v>216235</v>
      </c>
    </row>
    <row r="39" spans="1:17" x14ac:dyDescent="0.2">
      <c r="A39" s="73" t="s">
        <v>65</v>
      </c>
      <c r="B39" s="126" t="s">
        <v>21</v>
      </c>
      <c r="D39" s="147"/>
      <c r="E39" s="147"/>
    </row>
    <row r="40" spans="1:17" x14ac:dyDescent="0.2">
      <c r="A40" s="68" t="s">
        <v>224</v>
      </c>
      <c r="B40" s="126"/>
      <c r="C40" s="127">
        <v>285</v>
      </c>
      <c r="D40" s="147">
        <v>310</v>
      </c>
      <c r="E40" s="147">
        <v>315</v>
      </c>
      <c r="F40" s="147">
        <v>331</v>
      </c>
      <c r="G40" s="147">
        <v>282</v>
      </c>
      <c r="H40" s="147">
        <v>270</v>
      </c>
      <c r="I40" s="147">
        <v>261</v>
      </c>
      <c r="J40" s="147">
        <v>315</v>
      </c>
      <c r="K40" s="147">
        <v>492</v>
      </c>
      <c r="L40" s="147">
        <v>474</v>
      </c>
      <c r="M40" s="147">
        <v>436</v>
      </c>
      <c r="N40" s="147">
        <v>0</v>
      </c>
      <c r="O40" s="328">
        <v>380</v>
      </c>
      <c r="P40" s="328">
        <v>0</v>
      </c>
      <c r="Q40" s="328">
        <v>0</v>
      </c>
    </row>
    <row r="41" spans="1:17" x14ac:dyDescent="0.2">
      <c r="A41" s="68" t="s">
        <v>28</v>
      </c>
      <c r="B41" s="126"/>
      <c r="C41" s="202">
        <v>0</v>
      </c>
      <c r="D41" s="202">
        <v>0</v>
      </c>
      <c r="E41" s="202">
        <v>0</v>
      </c>
      <c r="F41" s="147">
        <v>13557</v>
      </c>
      <c r="G41" s="147">
        <v>8721</v>
      </c>
      <c r="H41" s="147">
        <v>8721</v>
      </c>
      <c r="I41" s="147">
        <v>8721</v>
      </c>
      <c r="J41" s="147">
        <v>0</v>
      </c>
      <c r="K41" s="147">
        <v>0</v>
      </c>
      <c r="L41" s="147">
        <v>0</v>
      </c>
      <c r="M41" s="147">
        <v>0</v>
      </c>
      <c r="N41" s="147">
        <v>1790</v>
      </c>
      <c r="O41" s="328">
        <v>1790</v>
      </c>
      <c r="P41" s="328">
        <v>1790</v>
      </c>
      <c r="Q41" s="328">
        <v>1790</v>
      </c>
    </row>
    <row r="42" spans="1:17" x14ac:dyDescent="0.2">
      <c r="A42" s="68" t="s">
        <v>230</v>
      </c>
      <c r="B42" s="126"/>
      <c r="C42" s="202">
        <v>0</v>
      </c>
      <c r="D42" s="202">
        <v>0</v>
      </c>
      <c r="E42" s="202">
        <v>0</v>
      </c>
      <c r="F42" s="299">
        <v>695</v>
      </c>
      <c r="G42" s="202">
        <v>0</v>
      </c>
      <c r="H42" s="202">
        <v>0</v>
      </c>
      <c r="I42" s="147">
        <v>13352</v>
      </c>
      <c r="J42" s="147">
        <v>8445</v>
      </c>
      <c r="K42" s="147">
        <v>10103</v>
      </c>
      <c r="L42" s="147">
        <v>6366</v>
      </c>
      <c r="M42" s="147">
        <v>720</v>
      </c>
      <c r="N42" s="147">
        <v>966</v>
      </c>
      <c r="O42" s="328">
        <v>773</v>
      </c>
      <c r="P42" s="328">
        <v>705</v>
      </c>
      <c r="Q42" s="328">
        <v>841</v>
      </c>
    </row>
    <row r="43" spans="1:17" x14ac:dyDescent="0.2">
      <c r="A43" s="68" t="s">
        <v>215</v>
      </c>
      <c r="B43" s="126"/>
      <c r="C43" s="202"/>
      <c r="D43" s="202"/>
      <c r="E43" s="202"/>
      <c r="F43" s="299">
        <v>0</v>
      </c>
      <c r="G43" s="202">
        <v>0</v>
      </c>
      <c r="H43" s="202">
        <v>0</v>
      </c>
      <c r="I43" s="147">
        <v>0</v>
      </c>
      <c r="J43" s="147">
        <v>0</v>
      </c>
      <c r="K43" s="147">
        <v>77060</v>
      </c>
      <c r="L43" s="147">
        <v>80531</v>
      </c>
      <c r="M43" s="147">
        <v>76080</v>
      </c>
      <c r="N43" s="147">
        <v>74709</v>
      </c>
      <c r="O43" s="328">
        <v>93707</v>
      </c>
      <c r="P43" s="328">
        <v>90934</v>
      </c>
      <c r="Q43" s="328">
        <v>89412</v>
      </c>
    </row>
    <row r="44" spans="1:17" x14ac:dyDescent="0.2">
      <c r="A44" s="68" t="s">
        <v>32</v>
      </c>
      <c r="B44" s="126"/>
      <c r="C44" s="125">
        <v>17729</v>
      </c>
      <c r="D44" s="147">
        <v>16166</v>
      </c>
      <c r="E44" s="147">
        <v>16234</v>
      </c>
      <c r="F44" s="147">
        <v>16202</v>
      </c>
      <c r="G44" s="147">
        <v>15262</v>
      </c>
      <c r="H44" s="147">
        <v>18830</v>
      </c>
      <c r="I44" s="147">
        <v>21875</v>
      </c>
      <c r="J44" s="147">
        <v>16521</v>
      </c>
      <c r="K44" s="147">
        <v>6794</v>
      </c>
      <c r="L44" s="147">
        <v>9094</v>
      </c>
      <c r="M44" s="147">
        <v>9241</v>
      </c>
      <c r="N44" s="147">
        <v>12142</v>
      </c>
      <c r="O44" s="328">
        <v>21521</v>
      </c>
      <c r="P44" s="328">
        <v>19566</v>
      </c>
      <c r="Q44" s="328">
        <v>16376</v>
      </c>
    </row>
    <row r="45" spans="1:17" x14ac:dyDescent="0.2">
      <c r="A45" s="43" t="s">
        <v>73</v>
      </c>
      <c r="B45" s="44" t="s">
        <v>21</v>
      </c>
      <c r="C45" s="120">
        <f t="shared" ref="C45:G45" si="12">SUM(C36:C44)</f>
        <v>163984</v>
      </c>
      <c r="D45" s="120">
        <f t="shared" si="12"/>
        <v>167509</v>
      </c>
      <c r="E45" s="120">
        <f t="shared" si="12"/>
        <v>172638</v>
      </c>
      <c r="F45" s="120">
        <f t="shared" si="12"/>
        <v>225425</v>
      </c>
      <c r="G45" s="120">
        <f t="shared" si="12"/>
        <v>196565</v>
      </c>
      <c r="H45" s="120">
        <f t="shared" ref="H45:I45" si="13">SUM(H36:H44)</f>
        <v>204784</v>
      </c>
      <c r="I45" s="120">
        <f t="shared" si="13"/>
        <v>470689</v>
      </c>
      <c r="J45" s="120">
        <f t="shared" ref="J45:L45" si="14">SUM(J36:J44)</f>
        <v>443617</v>
      </c>
      <c r="K45" s="120">
        <f t="shared" si="14"/>
        <v>551747</v>
      </c>
      <c r="L45" s="120">
        <f t="shared" si="14"/>
        <v>496114</v>
      </c>
      <c r="M45" s="120">
        <f t="shared" ref="M45:Q45" si="15">SUM(M36:M44)</f>
        <v>498295</v>
      </c>
      <c r="N45" s="120">
        <f t="shared" si="15"/>
        <v>513087</v>
      </c>
      <c r="O45" s="120">
        <f t="shared" si="15"/>
        <v>611355</v>
      </c>
      <c r="P45" s="120">
        <f t="shared" ref="P45" si="16">SUM(P36:P44)</f>
        <v>512685</v>
      </c>
      <c r="Q45" s="120">
        <f t="shared" si="15"/>
        <v>509553</v>
      </c>
    </row>
    <row r="46" spans="1:17" x14ac:dyDescent="0.2">
      <c r="A46" s="19" t="s">
        <v>21</v>
      </c>
      <c r="B46" s="2" t="s">
        <v>21</v>
      </c>
      <c r="D46" s="147"/>
    </row>
    <row r="47" spans="1:17" ht="25.5" x14ac:dyDescent="0.2">
      <c r="A47" s="20" t="s">
        <v>74</v>
      </c>
      <c r="B47" s="2" t="s">
        <v>21</v>
      </c>
      <c r="C47" s="119">
        <v>0</v>
      </c>
      <c r="D47" s="119">
        <v>0</v>
      </c>
      <c r="E47" s="119">
        <v>0</v>
      </c>
      <c r="F47" s="119">
        <v>0</v>
      </c>
      <c r="G47" s="119">
        <v>0</v>
      </c>
      <c r="H47" s="119">
        <v>0</v>
      </c>
      <c r="I47" s="119">
        <v>0</v>
      </c>
      <c r="J47" s="119">
        <v>0</v>
      </c>
      <c r="K47" s="119">
        <v>0</v>
      </c>
      <c r="L47" s="119">
        <v>0</v>
      </c>
      <c r="M47" s="119">
        <v>0</v>
      </c>
      <c r="N47" s="119">
        <v>0</v>
      </c>
      <c r="O47" s="101">
        <v>0</v>
      </c>
      <c r="P47" s="101">
        <v>0</v>
      </c>
      <c r="Q47" s="101">
        <v>0</v>
      </c>
    </row>
    <row r="48" spans="1:17" x14ac:dyDescent="0.2">
      <c r="A48" s="19"/>
      <c r="D48" s="147"/>
    </row>
    <row r="49" spans="1:215" x14ac:dyDescent="0.2">
      <c r="A49" s="21" t="s">
        <v>108</v>
      </c>
      <c r="B49" s="8" t="s">
        <v>21</v>
      </c>
      <c r="D49" s="147"/>
    </row>
    <row r="50" spans="1:215" x14ac:dyDescent="0.2">
      <c r="A50" s="100"/>
      <c r="B50" s="8"/>
      <c r="D50" s="147"/>
    </row>
    <row r="51" spans="1:215" x14ac:dyDescent="0.2">
      <c r="A51" s="20" t="s">
        <v>75</v>
      </c>
      <c r="B51" s="38" t="s">
        <v>21</v>
      </c>
      <c r="C51" s="119">
        <v>36</v>
      </c>
      <c r="D51" s="147">
        <v>36</v>
      </c>
      <c r="E51" s="147">
        <v>37</v>
      </c>
      <c r="F51" s="147">
        <v>37</v>
      </c>
      <c r="G51" s="147">
        <v>38</v>
      </c>
      <c r="H51" s="147">
        <v>38</v>
      </c>
      <c r="I51" s="147">
        <v>38</v>
      </c>
      <c r="J51" s="147">
        <v>38</v>
      </c>
      <c r="K51" s="147">
        <v>38</v>
      </c>
      <c r="L51" s="147">
        <v>38</v>
      </c>
      <c r="M51" s="147">
        <v>38</v>
      </c>
      <c r="N51" s="147">
        <v>39</v>
      </c>
      <c r="O51" s="328">
        <v>39</v>
      </c>
      <c r="P51" s="328">
        <v>39</v>
      </c>
      <c r="Q51" s="328">
        <v>39</v>
      </c>
    </row>
    <row r="52" spans="1:215" x14ac:dyDescent="0.2">
      <c r="A52" s="20" t="s">
        <v>30</v>
      </c>
      <c r="B52" s="2" t="s">
        <v>21</v>
      </c>
      <c r="C52" s="124">
        <v>296792</v>
      </c>
      <c r="D52" s="147">
        <v>303486</v>
      </c>
      <c r="E52" s="147">
        <v>311691</v>
      </c>
      <c r="F52" s="147">
        <v>322246</v>
      </c>
      <c r="G52" s="147">
        <v>327750</v>
      </c>
      <c r="H52" s="147">
        <v>334643</v>
      </c>
      <c r="I52" s="147">
        <v>344720</v>
      </c>
      <c r="J52" s="147">
        <v>364179</v>
      </c>
      <c r="K52" s="147">
        <v>371144</v>
      </c>
      <c r="L52" s="147">
        <v>378633</v>
      </c>
      <c r="M52" s="147">
        <v>386060</v>
      </c>
      <c r="N52" s="147">
        <v>391240</v>
      </c>
      <c r="O52" s="328">
        <v>396939</v>
      </c>
      <c r="P52" s="328">
        <v>404704</v>
      </c>
      <c r="Q52" s="328">
        <v>413135</v>
      </c>
    </row>
    <row r="53" spans="1:215" x14ac:dyDescent="0.2">
      <c r="A53" s="69" t="s">
        <v>33</v>
      </c>
      <c r="B53" s="71" t="s">
        <v>21</v>
      </c>
      <c r="C53" s="124">
        <v>394964</v>
      </c>
      <c r="D53" s="147">
        <v>415342</v>
      </c>
      <c r="E53" s="147">
        <v>436419</v>
      </c>
      <c r="F53" s="147">
        <v>427064</v>
      </c>
      <c r="G53" s="147">
        <v>450676</v>
      </c>
      <c r="H53" s="147">
        <v>465138</v>
      </c>
      <c r="I53" s="147">
        <v>480387</v>
      </c>
      <c r="J53" s="147">
        <v>484244</v>
      </c>
      <c r="K53" s="147">
        <v>498939</v>
      </c>
      <c r="L53" s="147">
        <v>511503</v>
      </c>
      <c r="M53" s="147">
        <v>530547</v>
      </c>
      <c r="N53" s="147">
        <v>551903</v>
      </c>
      <c r="O53" s="328">
        <v>574314</v>
      </c>
      <c r="P53" s="328">
        <v>582743</v>
      </c>
      <c r="Q53" s="328">
        <v>609161</v>
      </c>
    </row>
    <row r="54" spans="1:215" x14ac:dyDescent="0.2">
      <c r="A54" s="69" t="s">
        <v>130</v>
      </c>
      <c r="B54" s="71" t="s">
        <v>21</v>
      </c>
      <c r="C54" s="124">
        <v>-57013</v>
      </c>
      <c r="D54" s="147">
        <v>-55451</v>
      </c>
      <c r="E54" s="147">
        <v>-59290</v>
      </c>
      <c r="F54" s="147">
        <v>-45710</v>
      </c>
      <c r="G54" s="147">
        <v>-59670</v>
      </c>
      <c r="H54" s="147">
        <v>-87621</v>
      </c>
      <c r="I54" s="147">
        <v>-114330</v>
      </c>
      <c r="J54" s="147">
        <v>-83467</v>
      </c>
      <c r="K54" s="147">
        <v>-77212</v>
      </c>
      <c r="L54" s="147">
        <v>-74358</v>
      </c>
      <c r="M54" s="147">
        <v>-86153</v>
      </c>
      <c r="N54" s="147">
        <v>-84892</v>
      </c>
      <c r="O54" s="328">
        <v>-113104</v>
      </c>
      <c r="P54" s="328">
        <v>-104274</v>
      </c>
      <c r="Q54" s="328">
        <v>-85217</v>
      </c>
    </row>
    <row r="55" spans="1:215" x14ac:dyDescent="0.2">
      <c r="A55" s="20" t="s">
        <v>192</v>
      </c>
      <c r="B55" s="2" t="s">
        <v>21</v>
      </c>
      <c r="C55" s="124">
        <v>-72275</v>
      </c>
      <c r="D55" s="147">
        <v>-83694</v>
      </c>
      <c r="E55" s="147">
        <v>-92698</v>
      </c>
      <c r="F55" s="147">
        <v>-103816</v>
      </c>
      <c r="G55" s="147">
        <v>-117320</v>
      </c>
      <c r="H55" s="147">
        <v>-126952</v>
      </c>
      <c r="I55" s="147">
        <v>-136609</v>
      </c>
      <c r="J55" s="147">
        <v>-146925</v>
      </c>
      <c r="K55" s="147">
        <v>-162333</v>
      </c>
      <c r="L55" s="147">
        <v>-174463</v>
      </c>
      <c r="M55" s="147">
        <v>-182809</v>
      </c>
      <c r="N55" s="147">
        <v>-188289</v>
      </c>
      <c r="O55" s="328">
        <v>-202284</v>
      </c>
      <c r="P55" s="328">
        <v>-202284</v>
      </c>
      <c r="Q55" s="328">
        <v>-227190</v>
      </c>
    </row>
    <row r="56" spans="1:215" x14ac:dyDescent="0.2">
      <c r="A56" s="121" t="s">
        <v>121</v>
      </c>
      <c r="B56" s="44" t="s">
        <v>21</v>
      </c>
      <c r="C56" s="120">
        <f t="shared" ref="C56:G56" si="17">SUM(C47:C55)</f>
        <v>562504</v>
      </c>
      <c r="D56" s="120">
        <f t="shared" si="17"/>
        <v>579719</v>
      </c>
      <c r="E56" s="120">
        <f t="shared" si="17"/>
        <v>596159</v>
      </c>
      <c r="F56" s="120">
        <f t="shared" si="17"/>
        <v>599821</v>
      </c>
      <c r="G56" s="120">
        <f t="shared" si="17"/>
        <v>601474</v>
      </c>
      <c r="H56" s="120">
        <f t="shared" ref="H56:I56" si="18">SUM(H47:H55)</f>
        <v>585246</v>
      </c>
      <c r="I56" s="120">
        <f t="shared" si="18"/>
        <v>574206</v>
      </c>
      <c r="J56" s="120">
        <f t="shared" ref="J56:L56" si="19">SUM(J47:J55)</f>
        <v>618069</v>
      </c>
      <c r="K56" s="120">
        <f t="shared" si="19"/>
        <v>630576</v>
      </c>
      <c r="L56" s="120">
        <f t="shared" si="19"/>
        <v>641353</v>
      </c>
      <c r="M56" s="120">
        <f t="shared" ref="M56:Q56" si="20">SUM(M47:M55)</f>
        <v>647683</v>
      </c>
      <c r="N56" s="120">
        <f t="shared" si="20"/>
        <v>670001</v>
      </c>
      <c r="O56" s="120">
        <f t="shared" si="20"/>
        <v>655904</v>
      </c>
      <c r="P56" s="120">
        <f t="shared" ref="P56" si="21">SUM(P47:P55)</f>
        <v>680928</v>
      </c>
      <c r="Q56" s="120">
        <f t="shared" si="20"/>
        <v>709928</v>
      </c>
    </row>
    <row r="57" spans="1:215" x14ac:dyDescent="0.2">
      <c r="A57" s="123" t="s">
        <v>137</v>
      </c>
      <c r="B57" s="1"/>
      <c r="C57" s="2">
        <v>205</v>
      </c>
      <c r="D57" s="147">
        <v>203</v>
      </c>
      <c r="E57" s="2">
        <v>207</v>
      </c>
      <c r="F57" s="2">
        <v>224</v>
      </c>
      <c r="G57" s="2">
        <v>231</v>
      </c>
      <c r="H57" s="2">
        <v>233</v>
      </c>
      <c r="I57" s="147">
        <v>242</v>
      </c>
      <c r="J57" s="147">
        <v>250</v>
      </c>
      <c r="K57" s="147">
        <v>259</v>
      </c>
      <c r="L57" s="147">
        <v>0</v>
      </c>
      <c r="M57" s="147">
        <v>0</v>
      </c>
      <c r="N57" s="147">
        <v>0</v>
      </c>
      <c r="O57" s="332">
        <v>0</v>
      </c>
      <c r="P57" s="332">
        <v>0</v>
      </c>
      <c r="Q57" s="332">
        <v>0</v>
      </c>
    </row>
    <row r="58" spans="1:215" x14ac:dyDescent="0.2">
      <c r="A58" s="121" t="s">
        <v>122</v>
      </c>
      <c r="B58" s="44" t="s">
        <v>21</v>
      </c>
      <c r="C58" s="120">
        <f t="shared" ref="C58:G58" si="22">SUM(C56:C57)</f>
        <v>562709</v>
      </c>
      <c r="D58" s="120">
        <f t="shared" si="22"/>
        <v>579922</v>
      </c>
      <c r="E58" s="120">
        <f t="shared" si="22"/>
        <v>596366</v>
      </c>
      <c r="F58" s="120">
        <f t="shared" si="22"/>
        <v>600045</v>
      </c>
      <c r="G58" s="120">
        <f t="shared" si="22"/>
        <v>601705</v>
      </c>
      <c r="H58" s="120">
        <f t="shared" ref="H58:I58" si="23">SUM(H56:H57)</f>
        <v>585479</v>
      </c>
      <c r="I58" s="120">
        <f t="shared" si="23"/>
        <v>574448</v>
      </c>
      <c r="J58" s="120">
        <f t="shared" ref="J58:L58" si="24">SUM(J56:J57)</f>
        <v>618319</v>
      </c>
      <c r="K58" s="120">
        <f t="shared" si="24"/>
        <v>630835</v>
      </c>
      <c r="L58" s="120">
        <f t="shared" si="24"/>
        <v>641353</v>
      </c>
      <c r="M58" s="120">
        <f t="shared" ref="M58:Q58" si="25">SUM(M56:M57)</f>
        <v>647683</v>
      </c>
      <c r="N58" s="120">
        <f t="shared" si="25"/>
        <v>670001</v>
      </c>
      <c r="O58" s="120">
        <f t="shared" si="25"/>
        <v>655904</v>
      </c>
      <c r="P58" s="120">
        <f t="shared" ref="P58" si="26">SUM(P56:P57)</f>
        <v>680928</v>
      </c>
      <c r="Q58" s="120">
        <f t="shared" si="25"/>
        <v>709928</v>
      </c>
    </row>
    <row r="59" spans="1:215" x14ac:dyDescent="0.2">
      <c r="A59" s="22" t="s">
        <v>21</v>
      </c>
      <c r="B59" s="2" t="s">
        <v>21</v>
      </c>
      <c r="D59" s="147"/>
    </row>
    <row r="60" spans="1:215" s="49" customFormat="1" x14ac:dyDescent="0.2">
      <c r="A60" s="47" t="s">
        <v>109</v>
      </c>
      <c r="B60" s="48" t="s">
        <v>21</v>
      </c>
      <c r="C60" s="118">
        <f t="shared" ref="C60:D60" si="27">C58+C45</f>
        <v>726693</v>
      </c>
      <c r="D60" s="118">
        <f t="shared" si="27"/>
        <v>747431</v>
      </c>
      <c r="E60" s="118">
        <f t="shared" ref="E60:J60" si="28">E58+E45</f>
        <v>769004</v>
      </c>
      <c r="F60" s="118">
        <f t="shared" si="28"/>
        <v>825470</v>
      </c>
      <c r="G60" s="118">
        <f t="shared" si="28"/>
        <v>798270</v>
      </c>
      <c r="H60" s="118">
        <f t="shared" si="28"/>
        <v>790263</v>
      </c>
      <c r="I60" s="118">
        <f t="shared" si="28"/>
        <v>1045137</v>
      </c>
      <c r="J60" s="118">
        <f t="shared" si="28"/>
        <v>1061936</v>
      </c>
      <c r="K60" s="118">
        <f t="shared" ref="K60:L60" si="29">K58+K45</f>
        <v>1182582</v>
      </c>
      <c r="L60" s="118">
        <f t="shared" si="29"/>
        <v>1137467</v>
      </c>
      <c r="M60" s="118">
        <f t="shared" ref="M60" si="30">M58+M45</f>
        <v>1145978</v>
      </c>
      <c r="N60" s="118">
        <f>N58+N45</f>
        <v>1183088</v>
      </c>
      <c r="O60" s="118">
        <f>O58+O45</f>
        <v>1267259</v>
      </c>
      <c r="P60" s="118">
        <f>P58+P45</f>
        <v>1193613</v>
      </c>
      <c r="Q60" s="118">
        <f>Q58+Q45</f>
        <v>1219481</v>
      </c>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row>
    <row r="61" spans="1:215" hidden="1" x14ac:dyDescent="0.2"/>
    <row r="62" spans="1:215" hidden="1" x14ac:dyDescent="0.2"/>
    <row r="63" spans="1:215" hidden="1" x14ac:dyDescent="0.2"/>
    <row r="64" spans="1:215" hidden="1" x14ac:dyDescent="0.2"/>
    <row r="65" spans="1:17" x14ac:dyDescent="0.2">
      <c r="C65" s="101"/>
    </row>
    <row r="66" spans="1:17" x14ac:dyDescent="0.2">
      <c r="C66" s="203">
        <f t="shared" ref="C66:G66" si="31">C25-C60</f>
        <v>0</v>
      </c>
      <c r="D66" s="203">
        <f t="shared" si="31"/>
        <v>0</v>
      </c>
      <c r="E66" s="203">
        <f t="shared" si="31"/>
        <v>0</v>
      </c>
      <c r="F66" s="203">
        <f t="shared" si="31"/>
        <v>0</v>
      </c>
      <c r="G66" s="203">
        <f t="shared" si="31"/>
        <v>0</v>
      </c>
      <c r="H66" s="203">
        <f t="shared" ref="H66:I66" si="32">H25-H60</f>
        <v>0</v>
      </c>
      <c r="I66" s="147">
        <f t="shared" si="32"/>
        <v>0</v>
      </c>
      <c r="J66" s="147">
        <f t="shared" ref="J66:L66" si="33">J25-J60</f>
        <v>0</v>
      </c>
      <c r="K66" s="147">
        <f t="shared" si="33"/>
        <v>0</v>
      </c>
      <c r="L66" s="147">
        <f t="shared" si="33"/>
        <v>0</v>
      </c>
      <c r="M66" s="147">
        <f t="shared" ref="M66:Q66" si="34">M25-M60</f>
        <v>0</v>
      </c>
      <c r="N66" s="147">
        <f t="shared" si="34"/>
        <v>0</v>
      </c>
      <c r="O66" s="147">
        <f t="shared" si="34"/>
        <v>0</v>
      </c>
      <c r="P66" s="147">
        <f t="shared" ref="P66" si="35">P25-P60</f>
        <v>0</v>
      </c>
      <c r="Q66" s="147">
        <f t="shared" si="34"/>
        <v>0</v>
      </c>
    </row>
    <row r="68" spans="1:17" x14ac:dyDescent="0.2">
      <c r="A68" s="2"/>
    </row>
    <row r="69" spans="1:17" x14ac:dyDescent="0.2">
      <c r="A69" s="2"/>
    </row>
    <row r="70" spans="1:17" x14ac:dyDescent="0.2">
      <c r="A70" s="2"/>
    </row>
    <row r="71" spans="1:17" x14ac:dyDescent="0.2">
      <c r="A71" s="2"/>
    </row>
  </sheetData>
  <phoneticPr fontId="17" type="noConversion"/>
  <pageMargins left="0.7" right="0.7" top="0.33" bottom="0.38" header="0.3" footer="0.3"/>
  <pageSetup paperSize="5"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X100"/>
  <sheetViews>
    <sheetView showGridLines="0" zoomScale="80" zoomScaleNormal="80" zoomScaleSheetLayoutView="80" workbookViewId="0">
      <pane xSplit="1" ySplit="5" topLeftCell="F6" activePane="bottomRight" state="frozen"/>
      <selection activeCell="I106" sqref="I106"/>
      <selection pane="topRight" activeCell="I106" sqref="I106"/>
      <selection pane="bottomLeft" activeCell="I106" sqref="I106"/>
      <selection pane="bottomRight" activeCell="T6" sqref="T6"/>
    </sheetView>
  </sheetViews>
  <sheetFormatPr defaultColWidth="9.140625" defaultRowHeight="12.75" outlineLevelCol="1" x14ac:dyDescent="0.2"/>
  <cols>
    <col min="1" max="1" width="42.5703125" style="2" customWidth="1"/>
    <col min="2" max="2" width="13.42578125" style="94" hidden="1" customWidth="1" outlineLevel="1"/>
    <col min="3" max="5" width="10.7109375" style="56" hidden="1" customWidth="1" outlineLevel="1"/>
    <col min="6" max="6" width="13" style="190" customWidth="1" collapsed="1"/>
    <col min="7" max="10" width="13" style="190" hidden="1" customWidth="1" outlineLevel="1"/>
    <col min="11" max="11" width="10.7109375" style="94" customWidth="1" collapsed="1"/>
    <col min="12" max="12" width="10.7109375" style="94" customWidth="1"/>
    <col min="13" max="15" width="11.42578125" style="94" customWidth="1"/>
    <col min="16" max="16" width="11" style="94" customWidth="1"/>
    <col min="17" max="17" width="11" style="99" hidden="1" customWidth="1"/>
    <col min="18" max="20" width="11" style="99" customWidth="1"/>
    <col min="21" max="34" width="9.140625" style="56"/>
    <col min="35" max="16384" width="9.140625" style="2"/>
  </cols>
  <sheetData>
    <row r="1" spans="1:63" x14ac:dyDescent="0.2">
      <c r="A1" s="11"/>
    </row>
    <row r="2" spans="1:63" x14ac:dyDescent="0.2">
      <c r="A2" s="12"/>
    </row>
    <row r="3" spans="1:63" ht="28.5" customHeight="1" x14ac:dyDescent="0.2"/>
    <row r="4" spans="1:63" x14ac:dyDescent="0.2">
      <c r="A4" s="9" t="s">
        <v>46</v>
      </c>
      <c r="B4" s="211" t="s">
        <v>176</v>
      </c>
      <c r="C4" s="211" t="s">
        <v>176</v>
      </c>
      <c r="D4" s="211" t="s">
        <v>176</v>
      </c>
      <c r="E4" s="211" t="s">
        <v>176</v>
      </c>
      <c r="F4" s="211" t="s">
        <v>176</v>
      </c>
      <c r="G4" s="3">
        <v>2018</v>
      </c>
      <c r="H4" s="3">
        <v>2018</v>
      </c>
      <c r="I4" s="3">
        <v>2018</v>
      </c>
      <c r="J4" s="3">
        <v>2018</v>
      </c>
      <c r="K4" s="158">
        <v>2018</v>
      </c>
      <c r="L4" s="158">
        <v>2019</v>
      </c>
      <c r="M4" s="158">
        <v>2019</v>
      </c>
      <c r="N4" s="158">
        <v>2019</v>
      </c>
      <c r="O4" s="158">
        <v>2019</v>
      </c>
      <c r="P4" s="158">
        <v>2019</v>
      </c>
      <c r="R4" s="334">
        <v>2020</v>
      </c>
      <c r="S4" s="334">
        <v>2020</v>
      </c>
      <c r="T4" s="334">
        <v>2020</v>
      </c>
    </row>
    <row r="5" spans="1:63" ht="14.25" x14ac:dyDescent="0.2">
      <c r="A5" s="25" t="s">
        <v>66</v>
      </c>
      <c r="B5" s="268" t="s">
        <v>198</v>
      </c>
      <c r="C5" s="268" t="s">
        <v>197</v>
      </c>
      <c r="D5" s="268" t="s">
        <v>199</v>
      </c>
      <c r="E5" s="268" t="s">
        <v>200</v>
      </c>
      <c r="F5" s="268" t="s">
        <v>201</v>
      </c>
      <c r="G5" s="6" t="s">
        <v>161</v>
      </c>
      <c r="H5" s="6" t="s">
        <v>163</v>
      </c>
      <c r="I5" s="6" t="s">
        <v>165</v>
      </c>
      <c r="J5" s="6" t="s">
        <v>168</v>
      </c>
      <c r="K5" s="288" t="s">
        <v>13</v>
      </c>
      <c r="L5" s="6" t="s">
        <v>161</v>
      </c>
      <c r="M5" s="6" t="s">
        <v>163</v>
      </c>
      <c r="N5" s="288" t="s">
        <v>165</v>
      </c>
      <c r="O5" s="288" t="s">
        <v>168</v>
      </c>
      <c r="P5" s="288" t="s">
        <v>13</v>
      </c>
      <c r="R5" s="82" t="s">
        <v>161</v>
      </c>
      <c r="S5" s="82" t="s">
        <v>163</v>
      </c>
      <c r="T5" s="82" t="s">
        <v>165</v>
      </c>
    </row>
    <row r="6" spans="1:63" s="8" customFormat="1" x14ac:dyDescent="0.2">
      <c r="B6" s="269"/>
      <c r="C6" s="269"/>
      <c r="D6" s="269"/>
      <c r="E6" s="269"/>
      <c r="F6" s="269"/>
      <c r="G6" s="159"/>
      <c r="H6" s="159"/>
      <c r="I6" s="159"/>
      <c r="J6" s="159"/>
      <c r="K6" s="154"/>
      <c r="L6" s="154"/>
      <c r="M6" s="154"/>
      <c r="N6" s="154"/>
      <c r="O6" s="154"/>
      <c r="P6" s="154"/>
      <c r="R6" s="335"/>
      <c r="S6" s="335"/>
      <c r="T6" s="335"/>
      <c r="U6" s="1"/>
      <c r="V6" s="1"/>
      <c r="W6" s="1"/>
      <c r="X6" s="1"/>
      <c r="Y6" s="1"/>
      <c r="Z6" s="1"/>
      <c r="AA6" s="1"/>
      <c r="AB6" s="1"/>
      <c r="AC6" s="1"/>
      <c r="AD6" s="1"/>
      <c r="AE6" s="1"/>
      <c r="AF6" s="1"/>
      <c r="AG6" s="1"/>
      <c r="AH6" s="1"/>
    </row>
    <row r="7" spans="1:63" x14ac:dyDescent="0.2">
      <c r="A7" s="13" t="s">
        <v>110</v>
      </c>
      <c r="B7" s="270"/>
      <c r="C7" s="270"/>
      <c r="D7" s="270"/>
      <c r="E7" s="270"/>
      <c r="F7" s="270"/>
    </row>
    <row r="8" spans="1:63" x14ac:dyDescent="0.2">
      <c r="A8" s="14" t="s">
        <v>34</v>
      </c>
      <c r="B8" s="271">
        <v>16788</v>
      </c>
      <c r="C8" s="271">
        <v>20378.064520000004</v>
      </c>
      <c r="D8" s="271">
        <v>21076.999999999996</v>
      </c>
      <c r="E8" s="271">
        <v>-9355.0645199999999</v>
      </c>
      <c r="F8" s="271">
        <v>48888</v>
      </c>
      <c r="G8" s="191">
        <v>23158</v>
      </c>
      <c r="H8" s="191">
        <v>14462</v>
      </c>
      <c r="I8" s="191">
        <v>15249</v>
      </c>
      <c r="J8" s="191">
        <f>+K8-SUM(G8:I8)</f>
        <v>3857</v>
      </c>
      <c r="K8" s="290">
        <v>56726</v>
      </c>
      <c r="L8" s="290">
        <v>14695</v>
      </c>
      <c r="M8" s="336">
        <v>12564</v>
      </c>
      <c r="N8" s="290">
        <v>19044</v>
      </c>
      <c r="O8" s="191">
        <f>+P8-SUM(L8:N8)</f>
        <v>21356</v>
      </c>
      <c r="P8" s="290">
        <v>67659</v>
      </c>
      <c r="Q8" s="327">
        <f>SUM(L8:O8)-P8</f>
        <v>0</v>
      </c>
      <c r="R8" s="336">
        <v>22411</v>
      </c>
      <c r="S8" s="336">
        <v>8429</v>
      </c>
      <c r="T8" s="336">
        <v>26418</v>
      </c>
      <c r="U8" s="103"/>
    </row>
    <row r="9" spans="1:63" x14ac:dyDescent="0.2">
      <c r="A9" s="15" t="s">
        <v>52</v>
      </c>
      <c r="B9" s="272"/>
      <c r="C9" s="272"/>
      <c r="D9" s="272"/>
      <c r="E9" s="272"/>
      <c r="F9" s="272"/>
      <c r="K9" s="287"/>
      <c r="L9" s="287"/>
      <c r="M9" s="337"/>
      <c r="N9" s="287"/>
      <c r="O9" s="287"/>
      <c r="P9" s="287"/>
      <c r="Q9" s="56"/>
      <c r="R9" s="337"/>
      <c r="S9" s="337"/>
      <c r="T9" s="337"/>
    </row>
    <row r="10" spans="1:63" x14ac:dyDescent="0.2">
      <c r="A10" s="36" t="s">
        <v>53</v>
      </c>
      <c r="B10" s="272"/>
      <c r="C10" s="272"/>
      <c r="D10" s="272"/>
      <c r="E10" s="272"/>
      <c r="F10" s="272"/>
      <c r="K10" s="287"/>
      <c r="L10" s="287"/>
      <c r="M10" s="337"/>
      <c r="N10" s="287"/>
      <c r="O10" s="287"/>
      <c r="P10" s="287"/>
      <c r="Q10" s="56"/>
      <c r="R10" s="337"/>
      <c r="S10" s="337"/>
      <c r="T10" s="337"/>
    </row>
    <row r="11" spans="1:63" x14ac:dyDescent="0.2">
      <c r="A11" s="45" t="s">
        <v>5</v>
      </c>
      <c r="B11" s="273">
        <v>9426</v>
      </c>
      <c r="C11" s="273">
        <v>9637</v>
      </c>
      <c r="D11" s="273">
        <v>9708</v>
      </c>
      <c r="E11" s="273">
        <v>10213</v>
      </c>
      <c r="F11" s="273">
        <v>38984</v>
      </c>
      <c r="G11" s="249">
        <v>10655</v>
      </c>
      <c r="H11" s="249">
        <v>10625</v>
      </c>
      <c r="I11" s="249">
        <v>14065</v>
      </c>
      <c r="J11" s="249">
        <f t="shared" ref="J11:J27" si="0">+K11-SUM(G11:I11)</f>
        <v>13374</v>
      </c>
      <c r="K11" s="289">
        <v>48719</v>
      </c>
      <c r="L11" s="289">
        <v>13724</v>
      </c>
      <c r="M11" s="326">
        <v>12808</v>
      </c>
      <c r="N11" s="289">
        <v>13101</v>
      </c>
      <c r="O11" s="289">
        <f t="shared" ref="O11:O25" si="1">+P11-SUM(L11:N11)</f>
        <v>12560</v>
      </c>
      <c r="P11" s="289">
        <v>52193</v>
      </c>
      <c r="Q11" s="327">
        <f t="shared" ref="Q11:Q28" si="2">SUM(L11:O11)-P11</f>
        <v>0</v>
      </c>
      <c r="R11" s="326">
        <v>12472</v>
      </c>
      <c r="S11" s="326">
        <v>12334</v>
      </c>
      <c r="T11" s="326">
        <v>12443</v>
      </c>
    </row>
    <row r="12" spans="1:63" s="24" customFormat="1" x14ac:dyDescent="0.2">
      <c r="A12" s="156" t="s">
        <v>35</v>
      </c>
      <c r="B12" s="272">
        <v>24</v>
      </c>
      <c r="C12" s="272">
        <v>15.386990571428598</v>
      </c>
      <c r="D12" s="272">
        <v>18.084000000000003</v>
      </c>
      <c r="E12" s="272">
        <v>232.52900942857138</v>
      </c>
      <c r="F12" s="272">
        <v>290</v>
      </c>
      <c r="G12" s="105">
        <f>ROUND(39.509759,0)</f>
        <v>40</v>
      </c>
      <c r="H12" s="284">
        <f>ROUND(39.490241,0)</f>
        <v>39</v>
      </c>
      <c r="I12" s="284">
        <v>61</v>
      </c>
      <c r="J12" s="284">
        <f t="shared" si="0"/>
        <v>114</v>
      </c>
      <c r="K12" s="28">
        <v>254</v>
      </c>
      <c r="L12" s="28">
        <v>116</v>
      </c>
      <c r="M12" s="30">
        <v>118</v>
      </c>
      <c r="N12" s="28">
        <v>118</v>
      </c>
      <c r="O12" s="28">
        <f t="shared" si="1"/>
        <v>118</v>
      </c>
      <c r="P12" s="30">
        <v>470</v>
      </c>
      <c r="Q12" s="327">
        <f t="shared" si="2"/>
        <v>0</v>
      </c>
      <c r="R12" s="30">
        <v>118</v>
      </c>
      <c r="S12" s="30">
        <v>118</v>
      </c>
      <c r="T12" s="30">
        <v>118</v>
      </c>
      <c r="U12" s="94"/>
      <c r="V12" s="94"/>
      <c r="W12" s="94"/>
      <c r="X12" s="94"/>
      <c r="Y12" s="94"/>
      <c r="Z12" s="94"/>
      <c r="AA12" s="94"/>
      <c r="AB12" s="94"/>
      <c r="AC12" s="94"/>
      <c r="AD12" s="94"/>
      <c r="AE12" s="94"/>
      <c r="AF12" s="94"/>
      <c r="AG12" s="94"/>
      <c r="AH12" s="94"/>
      <c r="AQ12" s="2"/>
      <c r="AR12" s="2"/>
      <c r="AS12" s="2"/>
      <c r="AT12" s="2"/>
      <c r="AU12" s="2"/>
      <c r="AV12" s="2"/>
      <c r="AW12" s="2"/>
      <c r="AX12" s="2"/>
      <c r="AY12" s="2"/>
      <c r="AZ12" s="2"/>
      <c r="BA12" s="2"/>
      <c r="BB12" s="2"/>
      <c r="BC12" s="2"/>
      <c r="BD12" s="2"/>
      <c r="BE12" s="2"/>
      <c r="BF12" s="2"/>
      <c r="BG12" s="2"/>
      <c r="BH12" s="2"/>
      <c r="BI12" s="2"/>
      <c r="BJ12" s="2"/>
      <c r="BK12" s="2"/>
    </row>
    <row r="13" spans="1:63" s="24" customFormat="1" x14ac:dyDescent="0.2">
      <c r="A13" s="156" t="s">
        <v>209</v>
      </c>
      <c r="B13" s="272"/>
      <c r="C13" s="272"/>
      <c r="D13" s="272"/>
      <c r="E13" s="272"/>
      <c r="F13" s="272">
        <v>0</v>
      </c>
      <c r="G13" s="284">
        <v>0</v>
      </c>
      <c r="H13" s="284">
        <v>0</v>
      </c>
      <c r="I13" s="284">
        <v>0</v>
      </c>
      <c r="J13" s="284">
        <f t="shared" si="0"/>
        <v>600.47593517868052</v>
      </c>
      <c r="K13" s="28">
        <v>600.47593517868052</v>
      </c>
      <c r="L13" s="28">
        <v>600.47593517868052</v>
      </c>
      <c r="M13" s="30">
        <v>617.52406482131948</v>
      </c>
      <c r="N13" s="28">
        <v>618</v>
      </c>
      <c r="O13" s="28">
        <f t="shared" si="1"/>
        <v>636</v>
      </c>
      <c r="P13" s="30">
        <v>2472</v>
      </c>
      <c r="Q13" s="327">
        <f t="shared" si="2"/>
        <v>0</v>
      </c>
      <c r="R13" s="30">
        <v>635</v>
      </c>
      <c r="S13" s="30">
        <v>654</v>
      </c>
      <c r="T13" s="30">
        <v>654</v>
      </c>
      <c r="U13" s="94"/>
      <c r="V13" s="94"/>
      <c r="W13" s="94"/>
      <c r="X13" s="94"/>
      <c r="Y13" s="94"/>
      <c r="Z13" s="94"/>
      <c r="AA13" s="94"/>
      <c r="AB13" s="94"/>
      <c r="AC13" s="94"/>
      <c r="AD13" s="94"/>
      <c r="AE13" s="94"/>
      <c r="AF13" s="94"/>
      <c r="AG13" s="94"/>
      <c r="AH13" s="94"/>
      <c r="AQ13" s="2"/>
      <c r="AR13" s="2"/>
      <c r="AS13" s="2"/>
      <c r="AT13" s="2"/>
      <c r="AU13" s="2"/>
      <c r="AV13" s="2"/>
      <c r="AW13" s="2"/>
      <c r="AX13" s="2"/>
      <c r="AY13" s="2"/>
      <c r="AZ13" s="2"/>
      <c r="BA13" s="2"/>
      <c r="BB13" s="2"/>
      <c r="BC13" s="2"/>
      <c r="BD13" s="2"/>
      <c r="BE13" s="2"/>
      <c r="BF13" s="2"/>
      <c r="BG13" s="2"/>
      <c r="BH13" s="2"/>
      <c r="BI13" s="2"/>
      <c r="BJ13" s="2"/>
      <c r="BK13" s="2"/>
    </row>
    <row r="14" spans="1:63" s="24" customFormat="1" x14ac:dyDescent="0.2">
      <c r="A14" s="156" t="s">
        <v>111</v>
      </c>
      <c r="B14" s="272">
        <v>5956</v>
      </c>
      <c r="C14" s="272">
        <v>5107</v>
      </c>
      <c r="D14" s="272">
        <v>5708</v>
      </c>
      <c r="E14" s="272">
        <v>6270</v>
      </c>
      <c r="F14" s="272">
        <v>23041</v>
      </c>
      <c r="G14" s="105">
        <v>5074</v>
      </c>
      <c r="H14" s="284">
        <v>6892</v>
      </c>
      <c r="I14" s="284">
        <v>5345</v>
      </c>
      <c r="J14" s="284">
        <f t="shared" si="0"/>
        <v>6590</v>
      </c>
      <c r="K14" s="289">
        <v>23901</v>
      </c>
      <c r="L14" s="289">
        <v>6956</v>
      </c>
      <c r="M14" s="326">
        <v>7155</v>
      </c>
      <c r="N14" s="289">
        <v>7427</v>
      </c>
      <c r="O14" s="289">
        <f t="shared" si="1"/>
        <v>4532</v>
      </c>
      <c r="P14" s="289">
        <v>26070</v>
      </c>
      <c r="Q14" s="327">
        <f t="shared" si="2"/>
        <v>0</v>
      </c>
      <c r="R14" s="326">
        <v>4778</v>
      </c>
      <c r="S14" s="326">
        <v>7726</v>
      </c>
      <c r="T14" s="326">
        <v>8346</v>
      </c>
      <c r="U14" s="94"/>
      <c r="V14" s="94"/>
      <c r="W14" s="94"/>
      <c r="X14" s="94"/>
      <c r="Y14" s="94"/>
      <c r="Z14" s="94"/>
      <c r="AA14" s="94"/>
      <c r="AB14" s="94"/>
      <c r="AC14" s="94"/>
      <c r="AD14" s="94"/>
      <c r="AE14" s="94"/>
      <c r="AF14" s="94"/>
      <c r="AG14" s="94"/>
      <c r="AH14" s="94"/>
      <c r="AQ14" s="2"/>
      <c r="AR14" s="2"/>
      <c r="AS14" s="2"/>
      <c r="AT14" s="2"/>
      <c r="AU14" s="2"/>
      <c r="AV14" s="2"/>
      <c r="AW14" s="2"/>
      <c r="AX14" s="2"/>
      <c r="AY14" s="2"/>
      <c r="AZ14" s="2"/>
      <c r="BA14" s="2"/>
      <c r="BB14" s="2"/>
      <c r="BC14" s="2"/>
      <c r="BD14" s="2"/>
      <c r="BE14" s="2"/>
      <c r="BF14" s="2"/>
      <c r="BG14" s="2"/>
      <c r="BH14" s="2"/>
      <c r="BI14" s="2"/>
      <c r="BJ14" s="2"/>
      <c r="BK14" s="2"/>
    </row>
    <row r="15" spans="1:63" s="24" customFormat="1" x14ac:dyDescent="0.2">
      <c r="A15" s="157" t="s">
        <v>193</v>
      </c>
      <c r="B15" s="272"/>
      <c r="C15" s="272">
        <v>0</v>
      </c>
      <c r="D15" s="272">
        <v>0</v>
      </c>
      <c r="E15" s="272">
        <v>0</v>
      </c>
      <c r="F15" s="272">
        <v>0</v>
      </c>
      <c r="G15" s="205">
        <v>56</v>
      </c>
      <c r="H15" s="205">
        <v>58</v>
      </c>
      <c r="I15" s="205">
        <v>62</v>
      </c>
      <c r="J15" s="205">
        <f t="shared" si="0"/>
        <v>71</v>
      </c>
      <c r="K15" s="28">
        <v>247</v>
      </c>
      <c r="L15" s="28">
        <v>67</v>
      </c>
      <c r="M15" s="30">
        <v>62</v>
      </c>
      <c r="N15" s="28">
        <v>69</v>
      </c>
      <c r="O15" s="28">
        <f t="shared" si="1"/>
        <v>71</v>
      </c>
      <c r="P15" s="28">
        <v>269</v>
      </c>
      <c r="Q15" s="327">
        <f t="shared" si="2"/>
        <v>0</v>
      </c>
      <c r="R15" s="30">
        <v>55</v>
      </c>
      <c r="S15" s="30">
        <v>66</v>
      </c>
      <c r="T15" s="30">
        <v>72</v>
      </c>
      <c r="U15" s="94"/>
      <c r="V15" s="94"/>
      <c r="W15" s="94"/>
      <c r="X15" s="94"/>
      <c r="Y15" s="94"/>
      <c r="Z15" s="94"/>
      <c r="AA15" s="94"/>
      <c r="AB15" s="94"/>
      <c r="AC15" s="94"/>
      <c r="AD15" s="94"/>
      <c r="AE15" s="94"/>
      <c r="AF15" s="94"/>
      <c r="AG15" s="94"/>
      <c r="AH15" s="94"/>
      <c r="AQ15" s="2"/>
      <c r="AR15" s="2"/>
      <c r="AS15" s="2"/>
      <c r="AT15" s="2"/>
      <c r="AU15" s="2"/>
      <c r="AV15" s="2"/>
      <c r="AW15" s="2"/>
      <c r="AX15" s="2"/>
      <c r="AY15" s="2"/>
      <c r="AZ15" s="2"/>
      <c r="BA15" s="2"/>
      <c r="BB15" s="2"/>
      <c r="BC15" s="2"/>
      <c r="BD15" s="2"/>
      <c r="BE15" s="2"/>
      <c r="BF15" s="2"/>
      <c r="BG15" s="2"/>
      <c r="BH15" s="2"/>
      <c r="BI15" s="2"/>
      <c r="BJ15" s="2"/>
      <c r="BK15" s="2"/>
    </row>
    <row r="16" spans="1:63" s="24" customFormat="1" x14ac:dyDescent="0.2">
      <c r="A16" s="157" t="s">
        <v>36</v>
      </c>
      <c r="B16" s="272"/>
      <c r="C16" s="272">
        <v>0</v>
      </c>
      <c r="D16" s="272">
        <v>0</v>
      </c>
      <c r="E16" s="272">
        <v>0</v>
      </c>
      <c r="F16" s="272">
        <v>0</v>
      </c>
      <c r="G16" s="205">
        <v>0</v>
      </c>
      <c r="H16" s="205">
        <v>0</v>
      </c>
      <c r="I16" s="205">
        <v>0</v>
      </c>
      <c r="J16" s="205">
        <f t="shared" si="0"/>
        <v>0</v>
      </c>
      <c r="K16" s="205">
        <v>0</v>
      </c>
      <c r="L16" s="205">
        <v>0</v>
      </c>
      <c r="M16" s="205">
        <v>0</v>
      </c>
      <c r="N16" s="205">
        <v>0</v>
      </c>
      <c r="O16" s="205">
        <v>0</v>
      </c>
      <c r="P16" s="205">
        <v>0</v>
      </c>
      <c r="Q16" s="327">
        <f t="shared" si="2"/>
        <v>0</v>
      </c>
      <c r="R16" s="205">
        <v>0</v>
      </c>
      <c r="S16" s="205">
        <v>0</v>
      </c>
      <c r="T16" s="205">
        <v>0</v>
      </c>
      <c r="U16" s="94"/>
      <c r="V16" s="94"/>
      <c r="W16" s="94"/>
      <c r="X16" s="94"/>
      <c r="Y16" s="94"/>
      <c r="Z16" s="94"/>
      <c r="AA16" s="94"/>
      <c r="AB16" s="94"/>
      <c r="AC16" s="94"/>
      <c r="AD16" s="94"/>
      <c r="AE16" s="94"/>
      <c r="AF16" s="94"/>
      <c r="AG16" s="94"/>
      <c r="AH16" s="94"/>
      <c r="AQ16" s="2"/>
      <c r="AR16" s="2"/>
      <c r="AS16" s="2"/>
      <c r="AT16" s="2"/>
      <c r="AU16" s="2"/>
      <c r="AV16" s="2"/>
      <c r="AW16" s="2"/>
      <c r="AX16" s="2"/>
      <c r="AY16" s="2"/>
      <c r="AZ16" s="2"/>
      <c r="BA16" s="2"/>
      <c r="BB16" s="2"/>
      <c r="BC16" s="2"/>
      <c r="BD16" s="2"/>
      <c r="BE16" s="2"/>
      <c r="BF16" s="2"/>
      <c r="BG16" s="2"/>
      <c r="BH16" s="2"/>
      <c r="BI16" s="2"/>
      <c r="BJ16" s="2"/>
      <c r="BK16" s="2"/>
    </row>
    <row r="17" spans="1:63" s="24" customFormat="1" x14ac:dyDescent="0.2">
      <c r="A17" s="157" t="s">
        <v>124</v>
      </c>
      <c r="B17" s="272">
        <v>-12</v>
      </c>
      <c r="C17" s="272">
        <v>22.216999999999999</v>
      </c>
      <c r="D17" s="272">
        <v>2.8629999999999995</v>
      </c>
      <c r="E17" s="272">
        <v>18.920000000000002</v>
      </c>
      <c r="F17" s="272">
        <v>32</v>
      </c>
      <c r="G17" s="105">
        <f>ROUND(6.20872,0)</f>
        <v>6</v>
      </c>
      <c r="H17" s="284">
        <f>ROUND(3.79128,0)</f>
        <v>4</v>
      </c>
      <c r="I17" s="284">
        <v>9</v>
      </c>
      <c r="J17" s="284">
        <f t="shared" si="0"/>
        <v>7</v>
      </c>
      <c r="K17" s="28">
        <v>26</v>
      </c>
      <c r="L17" s="28">
        <v>9</v>
      </c>
      <c r="M17" s="30">
        <v>0</v>
      </c>
      <c r="N17" s="28">
        <v>0</v>
      </c>
      <c r="O17" s="28">
        <f t="shared" si="1"/>
        <v>0</v>
      </c>
      <c r="P17" s="30">
        <v>9</v>
      </c>
      <c r="Q17" s="327">
        <f t="shared" si="2"/>
        <v>0</v>
      </c>
      <c r="R17" s="30">
        <v>0</v>
      </c>
      <c r="S17" s="30">
        <v>0</v>
      </c>
      <c r="T17" s="30">
        <v>0</v>
      </c>
      <c r="U17" s="94"/>
      <c r="V17" s="94"/>
      <c r="W17" s="94"/>
      <c r="X17" s="94"/>
      <c r="Y17" s="94"/>
      <c r="Z17" s="94"/>
      <c r="AA17" s="94"/>
      <c r="AB17" s="94"/>
      <c r="AC17" s="94"/>
      <c r="AD17" s="94"/>
      <c r="AE17" s="94"/>
      <c r="AF17" s="94"/>
      <c r="AG17" s="94"/>
      <c r="AH17" s="94"/>
      <c r="AQ17" s="2"/>
      <c r="AR17" s="2"/>
      <c r="AS17" s="2"/>
      <c r="AT17" s="2"/>
      <c r="AU17" s="2"/>
      <c r="AV17" s="2"/>
      <c r="AW17" s="2"/>
      <c r="AX17" s="2"/>
      <c r="AY17" s="2"/>
      <c r="AZ17" s="2"/>
      <c r="BA17" s="2"/>
      <c r="BB17" s="2"/>
      <c r="BC17" s="2"/>
      <c r="BD17" s="2"/>
      <c r="BE17" s="2"/>
      <c r="BF17" s="2"/>
      <c r="BG17" s="2"/>
      <c r="BH17" s="2"/>
      <c r="BI17" s="2"/>
      <c r="BJ17" s="2"/>
      <c r="BK17" s="2"/>
    </row>
    <row r="18" spans="1:63" s="24" customFormat="1" x14ac:dyDescent="0.2">
      <c r="A18" s="157" t="s">
        <v>140</v>
      </c>
      <c r="B18" s="272"/>
      <c r="C18" s="272">
        <v>0</v>
      </c>
      <c r="D18" s="272">
        <v>0</v>
      </c>
      <c r="E18" s="272">
        <v>0</v>
      </c>
      <c r="F18" s="272">
        <v>0</v>
      </c>
      <c r="G18" s="205">
        <v>0</v>
      </c>
      <c r="H18" s="205">
        <v>0</v>
      </c>
      <c r="I18" s="205">
        <v>0</v>
      </c>
      <c r="J18" s="205">
        <f t="shared" si="0"/>
        <v>0</v>
      </c>
      <c r="K18" s="205">
        <v>0</v>
      </c>
      <c r="L18" s="205">
        <v>0</v>
      </c>
      <c r="M18" s="205">
        <v>0</v>
      </c>
      <c r="N18" s="205">
        <v>0</v>
      </c>
      <c r="O18" s="205">
        <v>0</v>
      </c>
      <c r="P18" s="205">
        <v>0</v>
      </c>
      <c r="Q18" s="327">
        <f t="shared" si="2"/>
        <v>0</v>
      </c>
      <c r="R18" s="205">
        <v>0</v>
      </c>
      <c r="S18" s="205">
        <v>0</v>
      </c>
      <c r="T18" s="205">
        <v>0</v>
      </c>
      <c r="U18" s="94"/>
      <c r="V18" s="94"/>
      <c r="W18" s="94"/>
      <c r="X18" s="94"/>
      <c r="Y18" s="94"/>
      <c r="Z18" s="94"/>
      <c r="AA18" s="94"/>
      <c r="AB18" s="94"/>
      <c r="AC18" s="94"/>
      <c r="AD18" s="94"/>
      <c r="AE18" s="94"/>
      <c r="AF18" s="94"/>
      <c r="AG18" s="94"/>
      <c r="AH18" s="94"/>
      <c r="AQ18" s="2"/>
      <c r="AR18" s="2"/>
      <c r="AS18" s="2"/>
      <c r="AT18" s="2"/>
      <c r="AU18" s="2"/>
      <c r="AV18" s="2"/>
      <c r="AW18" s="2"/>
      <c r="AX18" s="2"/>
      <c r="AY18" s="2"/>
      <c r="AZ18" s="2"/>
      <c r="BA18" s="2"/>
      <c r="BB18" s="2"/>
      <c r="BC18" s="2"/>
      <c r="BD18" s="2"/>
      <c r="BE18" s="2"/>
      <c r="BF18" s="2"/>
      <c r="BG18" s="2"/>
      <c r="BH18" s="2"/>
      <c r="BI18" s="2"/>
      <c r="BJ18" s="2"/>
      <c r="BK18" s="2"/>
    </row>
    <row r="19" spans="1:63" s="24" customFormat="1" x14ac:dyDescent="0.2">
      <c r="A19" s="157" t="s">
        <v>37</v>
      </c>
      <c r="B19" s="272">
        <v>2225</v>
      </c>
      <c r="C19" s="272">
        <v>-582</v>
      </c>
      <c r="D19" s="272">
        <v>-1197</v>
      </c>
      <c r="E19" s="272">
        <v>1077</v>
      </c>
      <c r="F19" s="272">
        <v>1523</v>
      </c>
      <c r="G19" s="105">
        <f>ROUND(-3318.50205594496,0)</f>
        <v>-3319</v>
      </c>
      <c r="H19" s="284">
        <f>ROUND(-4463.49794405504,0)</f>
        <v>-4463</v>
      </c>
      <c r="I19" s="284">
        <v>-6593</v>
      </c>
      <c r="J19" s="284">
        <f t="shared" si="0"/>
        <v>5755</v>
      </c>
      <c r="K19" s="289">
        <v>-8620</v>
      </c>
      <c r="L19" s="289">
        <v>127</v>
      </c>
      <c r="M19" s="326">
        <v>1840</v>
      </c>
      <c r="N19" s="289">
        <v>-1948</v>
      </c>
      <c r="O19" s="289">
        <f t="shared" si="1"/>
        <v>-340</v>
      </c>
      <c r="P19" s="289">
        <v>-321</v>
      </c>
      <c r="Q19" s="327">
        <f t="shared" si="2"/>
        <v>0</v>
      </c>
      <c r="R19" s="326">
        <v>-5112</v>
      </c>
      <c r="S19" s="326">
        <v>1796</v>
      </c>
      <c r="T19" s="326">
        <v>2879</v>
      </c>
      <c r="U19" s="94"/>
      <c r="V19" s="94"/>
      <c r="W19" s="94"/>
      <c r="X19" s="94"/>
      <c r="Y19" s="94"/>
      <c r="Z19" s="94"/>
      <c r="AA19" s="94"/>
      <c r="AB19" s="94"/>
      <c r="AC19" s="94"/>
      <c r="AD19" s="94"/>
      <c r="AE19" s="94"/>
      <c r="AF19" s="94"/>
      <c r="AG19" s="94"/>
      <c r="AH19" s="94"/>
      <c r="AQ19" s="2"/>
      <c r="AR19" s="2"/>
      <c r="AS19" s="2"/>
      <c r="AT19" s="2"/>
      <c r="AU19" s="2"/>
      <c r="AV19" s="2"/>
      <c r="AW19" s="2"/>
      <c r="AX19" s="2"/>
      <c r="AY19" s="2"/>
      <c r="AZ19" s="2"/>
      <c r="BA19" s="2"/>
      <c r="BB19" s="2"/>
      <c r="BC19" s="2"/>
      <c r="BD19" s="2"/>
      <c r="BE19" s="2"/>
      <c r="BF19" s="2"/>
      <c r="BG19" s="2"/>
      <c r="BH19" s="2"/>
      <c r="BI19" s="2"/>
      <c r="BJ19" s="2"/>
      <c r="BK19" s="2"/>
    </row>
    <row r="20" spans="1:63" s="24" customFormat="1" x14ac:dyDescent="0.2">
      <c r="A20" s="157" t="s">
        <v>259</v>
      </c>
      <c r="B20" s="272"/>
      <c r="C20" s="272">
        <v>-2246</v>
      </c>
      <c r="D20" s="272">
        <v>-2191</v>
      </c>
      <c r="E20" s="272">
        <v>4437</v>
      </c>
      <c r="F20" s="272">
        <v>0</v>
      </c>
      <c r="G20" s="105">
        <v>-2842</v>
      </c>
      <c r="H20" s="284">
        <v>-1098</v>
      </c>
      <c r="I20" s="284">
        <v>-1483</v>
      </c>
      <c r="J20" s="284">
        <f t="shared" si="0"/>
        <v>-2273</v>
      </c>
      <c r="K20" s="289">
        <v>-7696</v>
      </c>
      <c r="L20" s="289">
        <v>-3185</v>
      </c>
      <c r="M20" s="326">
        <v>-1177</v>
      </c>
      <c r="N20" s="289">
        <v>-3081</v>
      </c>
      <c r="O20" s="289">
        <f t="shared" si="1"/>
        <v>-2673</v>
      </c>
      <c r="P20" s="289">
        <v>-10116</v>
      </c>
      <c r="Q20" s="327">
        <f t="shared" si="2"/>
        <v>0</v>
      </c>
      <c r="R20" s="326">
        <v>267</v>
      </c>
      <c r="S20" s="326">
        <v>-3109</v>
      </c>
      <c r="T20" s="326">
        <v>-1965</v>
      </c>
      <c r="U20" s="94"/>
      <c r="V20" s="94"/>
      <c r="W20" s="94"/>
      <c r="X20" s="94"/>
      <c r="Y20" s="94"/>
      <c r="Z20" s="94"/>
      <c r="AA20" s="94"/>
      <c r="AB20" s="94"/>
      <c r="AC20" s="94"/>
      <c r="AD20" s="94"/>
      <c r="AE20" s="94"/>
      <c r="AF20" s="94"/>
      <c r="AG20" s="94"/>
      <c r="AH20" s="94"/>
      <c r="AQ20" s="2"/>
      <c r="AR20" s="2"/>
      <c r="AS20" s="2"/>
      <c r="AT20" s="2"/>
      <c r="AU20" s="2"/>
      <c r="AV20" s="2"/>
      <c r="AW20" s="2"/>
      <c r="AX20" s="2"/>
      <c r="AY20" s="2"/>
      <c r="AZ20" s="2"/>
      <c r="BA20" s="2"/>
      <c r="BB20" s="2"/>
      <c r="BC20" s="2"/>
      <c r="BD20" s="2"/>
      <c r="BE20" s="2"/>
      <c r="BF20" s="2"/>
      <c r="BG20" s="2"/>
      <c r="BH20" s="2"/>
      <c r="BI20" s="2"/>
      <c r="BJ20" s="2"/>
      <c r="BK20" s="2"/>
    </row>
    <row r="21" spans="1:63" s="24" customFormat="1" x14ac:dyDescent="0.2">
      <c r="A21" s="157" t="s">
        <v>183</v>
      </c>
      <c r="B21" s="272">
        <v>-4256</v>
      </c>
      <c r="C21" s="272">
        <v>1138</v>
      </c>
      <c r="D21" s="272">
        <v>-2299</v>
      </c>
      <c r="E21" s="272">
        <v>6148</v>
      </c>
      <c r="F21" s="272">
        <v>731</v>
      </c>
      <c r="G21" s="105">
        <v>3433</v>
      </c>
      <c r="H21" s="284">
        <v>-2890</v>
      </c>
      <c r="I21" s="284">
        <v>-1529</v>
      </c>
      <c r="J21" s="284">
        <f t="shared" si="0"/>
        <v>361</v>
      </c>
      <c r="K21" s="289">
        <v>-625</v>
      </c>
      <c r="L21" s="289">
        <v>1049</v>
      </c>
      <c r="M21" s="326">
        <v>-3680</v>
      </c>
      <c r="N21" s="289">
        <v>-4228</v>
      </c>
      <c r="O21" s="289">
        <f t="shared" si="1"/>
        <v>-5486</v>
      </c>
      <c r="P21" s="289">
        <v>-12345</v>
      </c>
      <c r="Q21" s="327">
        <f t="shared" si="2"/>
        <v>0</v>
      </c>
      <c r="R21" s="326">
        <v>3539</v>
      </c>
      <c r="S21" s="326">
        <v>-4202</v>
      </c>
      <c r="T21" s="326">
        <v>-909</v>
      </c>
      <c r="U21" s="94"/>
      <c r="V21" s="94"/>
      <c r="W21" s="94"/>
      <c r="X21" s="94"/>
      <c r="Y21" s="94"/>
      <c r="Z21" s="94"/>
      <c r="AA21" s="94"/>
      <c r="AB21" s="94"/>
      <c r="AC21" s="94"/>
      <c r="AD21" s="94"/>
      <c r="AE21" s="94"/>
      <c r="AF21" s="94"/>
      <c r="AG21" s="94"/>
      <c r="AH21" s="94"/>
      <c r="AQ21" s="2"/>
      <c r="AR21" s="2"/>
      <c r="AS21" s="2"/>
      <c r="AT21" s="2"/>
      <c r="AU21" s="2"/>
      <c r="AV21" s="2"/>
      <c r="AW21" s="2"/>
      <c r="AX21" s="2"/>
      <c r="AY21" s="2"/>
      <c r="AZ21" s="2"/>
      <c r="BA21" s="2"/>
      <c r="BB21" s="2"/>
      <c r="BC21" s="2"/>
      <c r="BD21" s="2"/>
      <c r="BE21" s="2"/>
      <c r="BF21" s="2"/>
      <c r="BG21" s="2"/>
      <c r="BH21" s="2"/>
      <c r="BI21" s="2"/>
      <c r="BJ21" s="2"/>
      <c r="BK21" s="2"/>
    </row>
    <row r="22" spans="1:63" s="24" customFormat="1" x14ac:dyDescent="0.2">
      <c r="A22" s="157" t="s">
        <v>184</v>
      </c>
      <c r="B22" s="272"/>
      <c r="C22" s="272">
        <v>0</v>
      </c>
      <c r="D22" s="272">
        <v>0</v>
      </c>
      <c r="E22" s="272">
        <v>0</v>
      </c>
      <c r="F22" s="272">
        <v>0</v>
      </c>
      <c r="G22" s="205">
        <v>0</v>
      </c>
      <c r="H22" s="205">
        <v>0</v>
      </c>
      <c r="I22" s="205">
        <v>0</v>
      </c>
      <c r="J22" s="284">
        <f t="shared" si="0"/>
        <v>0</v>
      </c>
      <c r="K22" s="289">
        <v>0</v>
      </c>
      <c r="L22" s="289">
        <v>0</v>
      </c>
      <c r="M22" s="326">
        <v>0</v>
      </c>
      <c r="N22" s="289">
        <v>0</v>
      </c>
      <c r="O22" s="289">
        <v>0</v>
      </c>
      <c r="P22" s="289">
        <v>0</v>
      </c>
      <c r="Q22" s="327">
        <f t="shared" si="2"/>
        <v>0</v>
      </c>
      <c r="R22" s="326">
        <v>0</v>
      </c>
      <c r="S22" s="326">
        <v>0</v>
      </c>
      <c r="T22" s="326">
        <v>0</v>
      </c>
      <c r="U22" s="94"/>
      <c r="V22" s="94"/>
      <c r="W22" s="94"/>
      <c r="X22" s="94"/>
      <c r="Y22" s="94"/>
      <c r="Z22" s="94"/>
      <c r="AA22" s="94"/>
      <c r="AB22" s="94"/>
      <c r="AC22" s="94"/>
      <c r="AD22" s="94"/>
      <c r="AE22" s="94"/>
      <c r="AF22" s="94"/>
      <c r="AG22" s="94"/>
      <c r="AH22" s="94"/>
      <c r="AQ22" s="2"/>
      <c r="AR22" s="2"/>
      <c r="AS22" s="2"/>
      <c r="AT22" s="2"/>
      <c r="AU22" s="2"/>
      <c r="AV22" s="2"/>
      <c r="AW22" s="2"/>
      <c r="AX22" s="2"/>
      <c r="AY22" s="2"/>
      <c r="AZ22" s="2"/>
      <c r="BA22" s="2"/>
      <c r="BB22" s="2"/>
      <c r="BC22" s="2"/>
      <c r="BD22" s="2"/>
      <c r="BE22" s="2"/>
      <c r="BF22" s="2"/>
      <c r="BG22" s="2"/>
      <c r="BH22" s="2"/>
      <c r="BI22" s="2"/>
      <c r="BJ22" s="2"/>
      <c r="BK22" s="2"/>
    </row>
    <row r="23" spans="1:63" s="24" customFormat="1" x14ac:dyDescent="0.2">
      <c r="A23" s="157" t="s">
        <v>206</v>
      </c>
      <c r="B23" s="272"/>
      <c r="C23" s="272"/>
      <c r="D23" s="272"/>
      <c r="E23" s="272"/>
      <c r="F23" s="272">
        <v>0</v>
      </c>
      <c r="G23" s="205">
        <v>0</v>
      </c>
      <c r="H23" s="205">
        <v>0</v>
      </c>
      <c r="I23" s="205">
        <v>0</v>
      </c>
      <c r="J23" s="284">
        <f t="shared" si="0"/>
        <v>20056</v>
      </c>
      <c r="K23" s="289">
        <v>20056</v>
      </c>
      <c r="L23" s="289">
        <v>1227</v>
      </c>
      <c r="M23" s="326">
        <v>1940</v>
      </c>
      <c r="N23" s="289">
        <v>0</v>
      </c>
      <c r="O23" s="289">
        <f>+P23-SUM(L23:N23)</f>
        <v>460</v>
      </c>
      <c r="P23" s="289">
        <v>3627</v>
      </c>
      <c r="Q23" s="327">
        <f t="shared" si="2"/>
        <v>0</v>
      </c>
      <c r="R23" s="326">
        <v>0</v>
      </c>
      <c r="S23" s="326">
        <v>0</v>
      </c>
      <c r="T23" s="326">
        <v>0</v>
      </c>
      <c r="U23" s="94"/>
      <c r="V23" s="94"/>
      <c r="W23" s="94"/>
      <c r="X23" s="94"/>
      <c r="Y23" s="94"/>
      <c r="Z23" s="94"/>
      <c r="AA23" s="94"/>
      <c r="AB23" s="94"/>
      <c r="AC23" s="94"/>
      <c r="AD23" s="94"/>
      <c r="AE23" s="94"/>
      <c r="AF23" s="94"/>
      <c r="AG23" s="94"/>
      <c r="AH23" s="94"/>
      <c r="AQ23" s="2"/>
      <c r="AR23" s="2"/>
      <c r="AS23" s="2"/>
      <c r="AT23" s="2"/>
      <c r="AU23" s="2"/>
      <c r="AV23" s="2"/>
      <c r="AW23" s="2"/>
      <c r="AX23" s="2"/>
      <c r="AY23" s="2"/>
      <c r="AZ23" s="2"/>
      <c r="BA23" s="2"/>
      <c r="BB23" s="2"/>
      <c r="BC23" s="2"/>
      <c r="BD23" s="2"/>
      <c r="BE23" s="2"/>
      <c r="BF23" s="2"/>
      <c r="BG23" s="2"/>
      <c r="BH23" s="2"/>
      <c r="BI23" s="2"/>
      <c r="BJ23" s="2"/>
      <c r="BK23" s="2"/>
    </row>
    <row r="24" spans="1:63" s="24" customFormat="1" x14ac:dyDescent="0.2">
      <c r="A24" s="157" t="s">
        <v>151</v>
      </c>
      <c r="B24" s="272"/>
      <c r="C24" s="272">
        <v>0</v>
      </c>
      <c r="D24" s="272">
        <v>0</v>
      </c>
      <c r="E24" s="272">
        <v>0</v>
      </c>
      <c r="F24" s="272">
        <v>0</v>
      </c>
      <c r="G24" s="205">
        <v>0</v>
      </c>
      <c r="H24" s="205">
        <v>0</v>
      </c>
      <c r="I24" s="205">
        <v>0</v>
      </c>
      <c r="J24" s="205">
        <f t="shared" si="0"/>
        <v>0</v>
      </c>
      <c r="K24" s="205">
        <v>0</v>
      </c>
      <c r="L24" s="205">
        <v>0</v>
      </c>
      <c r="M24" s="205">
        <v>0</v>
      </c>
      <c r="N24" s="205">
        <v>0</v>
      </c>
      <c r="O24" s="205">
        <v>0</v>
      </c>
      <c r="P24" s="205">
        <v>0</v>
      </c>
      <c r="Q24" s="327">
        <f t="shared" si="2"/>
        <v>0</v>
      </c>
      <c r="R24" s="205">
        <v>0</v>
      </c>
      <c r="S24" s="205">
        <v>0</v>
      </c>
      <c r="T24" s="205">
        <v>0</v>
      </c>
      <c r="U24" s="94"/>
      <c r="V24" s="94"/>
      <c r="W24" s="94"/>
      <c r="X24" s="94"/>
      <c r="Y24" s="94"/>
      <c r="Z24" s="94"/>
      <c r="AA24" s="94"/>
      <c r="AB24" s="94"/>
      <c r="AC24" s="94"/>
      <c r="AD24" s="94"/>
      <c r="AE24" s="94"/>
      <c r="AF24" s="94"/>
      <c r="AG24" s="94"/>
      <c r="AH24" s="94"/>
      <c r="AQ24" s="2"/>
      <c r="AR24" s="2"/>
      <c r="AS24" s="2"/>
      <c r="AT24" s="2"/>
      <c r="AU24" s="2"/>
      <c r="AV24" s="2"/>
      <c r="AW24" s="2"/>
      <c r="AX24" s="2"/>
      <c r="AY24" s="2"/>
      <c r="AZ24" s="2"/>
      <c r="BA24" s="2"/>
      <c r="BB24" s="2"/>
      <c r="BC24" s="2"/>
      <c r="BD24" s="2"/>
      <c r="BE24" s="2"/>
      <c r="BF24" s="2"/>
      <c r="BG24" s="2"/>
      <c r="BH24" s="2"/>
      <c r="BI24" s="2"/>
      <c r="BJ24" s="2"/>
      <c r="BK24" s="2"/>
    </row>
    <row r="25" spans="1:63" s="24" customFormat="1" x14ac:dyDescent="0.2">
      <c r="A25" s="157" t="s">
        <v>185</v>
      </c>
      <c r="B25" s="272">
        <v>331.16800000000001</v>
      </c>
      <c r="C25" s="272">
        <v>552.93804</v>
      </c>
      <c r="D25" s="272">
        <v>1821.8939599999999</v>
      </c>
      <c r="E25" s="272">
        <v>110</v>
      </c>
      <c r="F25" s="272">
        <v>2816</v>
      </c>
      <c r="G25" s="205">
        <v>-612</v>
      </c>
      <c r="H25" s="205">
        <v>22</v>
      </c>
      <c r="I25" s="205">
        <v>-30</v>
      </c>
      <c r="J25" s="205">
        <f t="shared" si="0"/>
        <v>47</v>
      </c>
      <c r="K25" s="289">
        <v>-573</v>
      </c>
      <c r="L25" s="289">
        <v>298</v>
      </c>
      <c r="M25" s="326">
        <v>-17</v>
      </c>
      <c r="N25" s="289">
        <v>152</v>
      </c>
      <c r="O25" s="289">
        <f t="shared" si="1"/>
        <v>181</v>
      </c>
      <c r="P25" s="289">
        <v>614</v>
      </c>
      <c r="Q25" s="327">
        <f t="shared" si="2"/>
        <v>0</v>
      </c>
      <c r="R25" s="326">
        <v>195</v>
      </c>
      <c r="S25" s="326">
        <v>194</v>
      </c>
      <c r="T25" s="326">
        <v>-36</v>
      </c>
      <c r="U25" s="94"/>
      <c r="V25" s="94"/>
      <c r="W25" s="94"/>
      <c r="X25" s="94"/>
      <c r="Y25" s="94"/>
      <c r="Z25" s="94"/>
      <c r="AA25" s="94"/>
      <c r="AB25" s="94"/>
      <c r="AC25" s="94"/>
      <c r="AD25" s="94"/>
      <c r="AE25" s="94"/>
      <c r="AF25" s="94"/>
      <c r="AG25" s="94"/>
      <c r="AH25" s="94"/>
      <c r="AQ25" s="2"/>
      <c r="AR25" s="2"/>
      <c r="AS25" s="2"/>
      <c r="AT25" s="2"/>
      <c r="AU25" s="2"/>
      <c r="AV25" s="2"/>
      <c r="AW25" s="2"/>
      <c r="AX25" s="2"/>
      <c r="AY25" s="2"/>
      <c r="AZ25" s="2"/>
      <c r="BA25" s="2"/>
      <c r="BB25" s="2"/>
      <c r="BC25" s="2"/>
      <c r="BD25" s="2"/>
      <c r="BE25" s="2"/>
      <c r="BF25" s="2"/>
      <c r="BG25" s="2"/>
      <c r="BH25" s="2"/>
      <c r="BI25" s="2"/>
      <c r="BJ25" s="2"/>
      <c r="BK25" s="2"/>
    </row>
    <row r="26" spans="1:63" s="24" customFormat="1" x14ac:dyDescent="0.2">
      <c r="A26" s="157" t="s">
        <v>260</v>
      </c>
      <c r="B26" s="272">
        <v>-20</v>
      </c>
      <c r="C26" s="272">
        <v>-3.1410499999999963</v>
      </c>
      <c r="D26" s="272">
        <v>-35.811700000000002</v>
      </c>
      <c r="E26" s="272">
        <v>-11.047250000000005</v>
      </c>
      <c r="F26" s="272">
        <v>-70</v>
      </c>
      <c r="G26" s="205">
        <f>ROUND(-17.89307,0)</f>
        <v>-18</v>
      </c>
      <c r="H26" s="205">
        <f>ROUND(51.89307,0)</f>
        <v>52</v>
      </c>
      <c r="I26" s="205">
        <v>0</v>
      </c>
      <c r="J26" s="205">
        <f t="shared" si="0"/>
        <v>-11</v>
      </c>
      <c r="K26" s="289">
        <v>23</v>
      </c>
      <c r="L26" s="289">
        <v>291.15050000000002</v>
      </c>
      <c r="M26" s="326">
        <v>426.30423000000013</v>
      </c>
      <c r="N26" s="289">
        <v>-1227.1716799999977</v>
      </c>
      <c r="O26" s="289">
        <f>+P26-SUM(L26:N26)</f>
        <v>-1174.2830500000025</v>
      </c>
      <c r="P26" s="326">
        <v>-1684</v>
      </c>
      <c r="Q26" s="327">
        <f t="shared" si="2"/>
        <v>0</v>
      </c>
      <c r="R26" s="30">
        <v>-144</v>
      </c>
      <c r="S26" s="30">
        <v>-1296</v>
      </c>
      <c r="T26" s="30">
        <v>151</v>
      </c>
      <c r="U26" s="94"/>
      <c r="V26" s="94"/>
      <c r="W26" s="94"/>
      <c r="X26" s="94"/>
      <c r="Y26" s="94"/>
      <c r="Z26" s="94"/>
      <c r="AA26" s="94"/>
      <c r="AB26" s="94"/>
      <c r="AC26" s="94"/>
      <c r="AD26" s="94"/>
      <c r="AE26" s="94"/>
      <c r="AF26" s="94"/>
      <c r="AG26" s="94"/>
      <c r="AH26" s="94"/>
      <c r="AQ26" s="2"/>
      <c r="AR26" s="2"/>
      <c r="AS26" s="2"/>
      <c r="AT26" s="2"/>
      <c r="AU26" s="2"/>
      <c r="AV26" s="2"/>
      <c r="AW26" s="2"/>
      <c r="AX26" s="2"/>
      <c r="AY26" s="2"/>
      <c r="AZ26" s="2"/>
      <c r="BA26" s="2"/>
      <c r="BB26" s="2"/>
      <c r="BC26" s="2"/>
      <c r="BD26" s="2"/>
      <c r="BE26" s="2"/>
      <c r="BF26" s="2"/>
      <c r="BG26" s="2"/>
      <c r="BH26" s="2"/>
      <c r="BI26" s="2"/>
      <c r="BJ26" s="2"/>
      <c r="BK26" s="2"/>
    </row>
    <row r="27" spans="1:63" x14ac:dyDescent="0.2">
      <c r="A27" s="36" t="s">
        <v>162</v>
      </c>
      <c r="B27" s="272"/>
      <c r="C27" s="272">
        <v>0</v>
      </c>
      <c r="D27" s="272">
        <v>0</v>
      </c>
      <c r="E27" s="272">
        <v>0</v>
      </c>
      <c r="F27" s="272">
        <v>0</v>
      </c>
      <c r="G27" s="205">
        <v>0</v>
      </c>
      <c r="H27" s="205">
        <v>0</v>
      </c>
      <c r="I27" s="205">
        <v>0</v>
      </c>
      <c r="J27" s="205">
        <f t="shared" si="0"/>
        <v>0</v>
      </c>
      <c r="K27" s="205">
        <v>0</v>
      </c>
      <c r="L27" s="205">
        <v>0</v>
      </c>
      <c r="M27" s="205">
        <v>0</v>
      </c>
      <c r="N27" s="205">
        <v>0</v>
      </c>
      <c r="O27" s="205">
        <v>0</v>
      </c>
      <c r="P27" s="205">
        <v>0</v>
      </c>
      <c r="Q27" s="327">
        <f t="shared" si="2"/>
        <v>0</v>
      </c>
      <c r="R27" s="205">
        <v>0</v>
      </c>
      <c r="S27" s="205">
        <v>0</v>
      </c>
      <c r="T27" s="205">
        <v>0</v>
      </c>
    </row>
    <row r="28" spans="1:63" x14ac:dyDescent="0.2">
      <c r="A28" s="36" t="s">
        <v>221</v>
      </c>
      <c r="B28" s="272"/>
      <c r="C28" s="272"/>
      <c r="D28" s="272"/>
      <c r="E28" s="272"/>
      <c r="F28" s="272">
        <v>0</v>
      </c>
      <c r="G28" s="205">
        <v>0</v>
      </c>
      <c r="H28" s="205">
        <v>0</v>
      </c>
      <c r="I28" s="205">
        <v>0</v>
      </c>
      <c r="J28" s="205">
        <v>0</v>
      </c>
      <c r="K28" s="205">
        <v>0</v>
      </c>
      <c r="L28" s="205">
        <v>0</v>
      </c>
      <c r="M28" s="205">
        <v>13701</v>
      </c>
      <c r="N28" s="205">
        <v>6843</v>
      </c>
      <c r="O28" s="289">
        <f>+P28-SUM(L28:N28)</f>
        <v>6791</v>
      </c>
      <c r="P28" s="205">
        <v>27335</v>
      </c>
      <c r="Q28" s="327">
        <f t="shared" si="2"/>
        <v>0</v>
      </c>
      <c r="R28" s="205">
        <v>6853</v>
      </c>
      <c r="S28" s="205">
        <v>6850</v>
      </c>
      <c r="T28" s="205">
        <v>6781</v>
      </c>
    </row>
    <row r="29" spans="1:63" x14ac:dyDescent="0.2">
      <c r="A29" s="46" t="s">
        <v>69</v>
      </c>
      <c r="B29" s="273"/>
      <c r="C29" s="273">
        <v>0</v>
      </c>
      <c r="D29" s="273"/>
      <c r="E29" s="273"/>
      <c r="F29" s="273"/>
      <c r="G29" s="205"/>
      <c r="H29" s="205"/>
      <c r="I29" s="205"/>
      <c r="J29" s="205"/>
      <c r="K29" s="289"/>
      <c r="L29" s="289"/>
      <c r="M29" s="289"/>
      <c r="N29" s="289"/>
      <c r="O29" s="289"/>
      <c r="P29" s="289"/>
      <c r="Q29" s="327"/>
      <c r="R29" s="326"/>
      <c r="S29" s="326"/>
      <c r="T29" s="326"/>
    </row>
    <row r="30" spans="1:63" x14ac:dyDescent="0.2">
      <c r="A30" s="36" t="s">
        <v>19</v>
      </c>
      <c r="B30" s="273">
        <v>0</v>
      </c>
      <c r="C30" s="273">
        <v>0</v>
      </c>
      <c r="D30" s="273">
        <v>0</v>
      </c>
      <c r="E30" s="273">
        <v>0</v>
      </c>
      <c r="F30" s="273"/>
      <c r="G30" s="205">
        <v>0</v>
      </c>
      <c r="H30" s="205">
        <v>0</v>
      </c>
      <c r="I30" s="205">
        <v>0</v>
      </c>
      <c r="J30" s="205">
        <f t="shared" ref="J30:J37" si="3">+K30-SUM(G30:I30)</f>
        <v>0</v>
      </c>
      <c r="K30" s="205">
        <v>0</v>
      </c>
      <c r="L30" s="205">
        <v>0</v>
      </c>
      <c r="M30" s="205">
        <v>0</v>
      </c>
      <c r="N30" s="205">
        <v>0</v>
      </c>
      <c r="O30" s="205">
        <f t="shared" ref="O30:O38" si="4">+P30-SUM(L30:N30)</f>
        <v>0</v>
      </c>
      <c r="P30" s="205">
        <v>0</v>
      </c>
      <c r="Q30" s="327"/>
      <c r="R30" s="205">
        <v>0</v>
      </c>
      <c r="S30" s="205">
        <v>0</v>
      </c>
      <c r="T30" s="205">
        <v>0</v>
      </c>
    </row>
    <row r="31" spans="1:63" x14ac:dyDescent="0.2">
      <c r="A31" s="36" t="s">
        <v>20</v>
      </c>
      <c r="B31" s="272">
        <v>-6671</v>
      </c>
      <c r="C31" s="272">
        <v>-3988</v>
      </c>
      <c r="D31" s="272">
        <v>-11405</v>
      </c>
      <c r="E31" s="272">
        <v>1582</v>
      </c>
      <c r="F31" s="272">
        <v>-20482</v>
      </c>
      <c r="G31" s="206">
        <v>-590</v>
      </c>
      <c r="H31" s="206">
        <v>-11129</v>
      </c>
      <c r="I31" s="206">
        <v>2365</v>
      </c>
      <c r="J31" s="206">
        <f t="shared" si="3"/>
        <v>-692</v>
      </c>
      <c r="K31" s="289">
        <v>-10046</v>
      </c>
      <c r="L31" s="289">
        <v>-12016</v>
      </c>
      <c r="M31" s="289">
        <v>-4462</v>
      </c>
      <c r="N31" s="289">
        <v>3</v>
      </c>
      <c r="O31" s="289">
        <f t="shared" si="4"/>
        <v>9382</v>
      </c>
      <c r="P31" s="289">
        <v>-7093</v>
      </c>
      <c r="Q31" s="327">
        <f t="shared" ref="Q31:Q39" si="5">SUM(L31:O31)-P31</f>
        <v>0</v>
      </c>
      <c r="R31" s="326">
        <v>-17518</v>
      </c>
      <c r="S31" s="326">
        <v>29898</v>
      </c>
      <c r="T31" s="326">
        <v>3698</v>
      </c>
    </row>
    <row r="32" spans="1:63" x14ac:dyDescent="0.2">
      <c r="A32" s="36" t="s">
        <v>38</v>
      </c>
      <c r="B32" s="272">
        <v>-1285</v>
      </c>
      <c r="C32" s="272">
        <v>8446</v>
      </c>
      <c r="D32" s="272">
        <v>-1967</v>
      </c>
      <c r="E32" s="272">
        <v>-4976</v>
      </c>
      <c r="F32" s="272">
        <v>218</v>
      </c>
      <c r="G32" s="206">
        <v>-2164</v>
      </c>
      <c r="H32" s="206">
        <v>-266</v>
      </c>
      <c r="I32" s="206">
        <v>-914</v>
      </c>
      <c r="J32" s="206">
        <f t="shared" si="3"/>
        <v>-1165</v>
      </c>
      <c r="K32" s="289">
        <v>-4509</v>
      </c>
      <c r="L32" s="289">
        <v>591</v>
      </c>
      <c r="M32" s="289">
        <v>-2624</v>
      </c>
      <c r="N32" s="289">
        <v>2785</v>
      </c>
      <c r="O32" s="289">
        <f t="shared" si="4"/>
        <v>463</v>
      </c>
      <c r="P32" s="289">
        <v>1215</v>
      </c>
      <c r="Q32" s="327">
        <f t="shared" si="5"/>
        <v>0</v>
      </c>
      <c r="R32" s="326">
        <v>-3249</v>
      </c>
      <c r="S32" s="326">
        <v>2158</v>
      </c>
      <c r="T32" s="326">
        <v>2589</v>
      </c>
    </row>
    <row r="33" spans="1:63" x14ac:dyDescent="0.2">
      <c r="A33" s="36" t="s">
        <v>25</v>
      </c>
      <c r="B33" s="272">
        <v>2185</v>
      </c>
      <c r="C33" s="272">
        <v>3110</v>
      </c>
      <c r="D33" s="272">
        <v>-4924</v>
      </c>
      <c r="E33" s="272">
        <v>1335</v>
      </c>
      <c r="F33" s="272">
        <v>1706</v>
      </c>
      <c r="G33" s="206">
        <v>-1726</v>
      </c>
      <c r="H33" s="206">
        <v>383</v>
      </c>
      <c r="I33" s="206">
        <v>-71</v>
      </c>
      <c r="J33" s="206">
        <f t="shared" si="3"/>
        <v>1054</v>
      </c>
      <c r="K33" s="289">
        <v>-360</v>
      </c>
      <c r="L33" s="289">
        <v>-1159</v>
      </c>
      <c r="M33" s="289">
        <v>-955</v>
      </c>
      <c r="N33" s="289">
        <v>267</v>
      </c>
      <c r="O33" s="289">
        <f t="shared" si="4"/>
        <v>1981</v>
      </c>
      <c r="P33" s="289">
        <v>134</v>
      </c>
      <c r="Q33" s="327">
        <f t="shared" si="5"/>
        <v>0</v>
      </c>
      <c r="R33" s="326">
        <v>1400</v>
      </c>
      <c r="S33" s="326">
        <v>543</v>
      </c>
      <c r="T33" s="326">
        <v>-2433</v>
      </c>
    </row>
    <row r="34" spans="1:63" x14ac:dyDescent="0.2">
      <c r="A34" s="36" t="s">
        <v>26</v>
      </c>
      <c r="B34" s="272">
        <v>1480</v>
      </c>
      <c r="C34" s="272">
        <v>-3847</v>
      </c>
      <c r="D34" s="272">
        <v>-5788</v>
      </c>
      <c r="E34" s="272">
        <v>1530</v>
      </c>
      <c r="F34" s="272">
        <v>-6625</v>
      </c>
      <c r="G34" s="206">
        <v>877</v>
      </c>
      <c r="H34" s="206">
        <v>-1076</v>
      </c>
      <c r="I34" s="206">
        <v>-5000</v>
      </c>
      <c r="J34" s="206">
        <f t="shared" si="3"/>
        <v>270</v>
      </c>
      <c r="K34" s="289">
        <v>-4929</v>
      </c>
      <c r="L34" s="289">
        <v>3262</v>
      </c>
      <c r="M34" s="289">
        <v>2392</v>
      </c>
      <c r="N34" s="289">
        <v>-2407</v>
      </c>
      <c r="O34" s="289">
        <f t="shared" si="4"/>
        <v>3432</v>
      </c>
      <c r="P34" s="289">
        <v>6679</v>
      </c>
      <c r="Q34" s="327">
        <f t="shared" si="5"/>
        <v>0</v>
      </c>
      <c r="R34" s="326">
        <v>2579</v>
      </c>
      <c r="S34" s="326">
        <v>487</v>
      </c>
      <c r="T34" s="326">
        <v>-2771</v>
      </c>
    </row>
    <row r="35" spans="1:63" x14ac:dyDescent="0.2">
      <c r="A35" s="36" t="s">
        <v>39</v>
      </c>
      <c r="B35" s="272">
        <v>-20247</v>
      </c>
      <c r="C35" s="272">
        <v>2561</v>
      </c>
      <c r="D35" s="272">
        <v>17038</v>
      </c>
      <c r="E35" s="272">
        <v>13942</v>
      </c>
      <c r="F35" s="272">
        <v>13294</v>
      </c>
      <c r="G35" s="206">
        <v>-24338</v>
      </c>
      <c r="H35" s="206">
        <v>6380</v>
      </c>
      <c r="I35" s="206">
        <v>9842</v>
      </c>
      <c r="J35" s="206">
        <f t="shared" si="3"/>
        <v>8304</v>
      </c>
      <c r="K35" s="289">
        <v>188</v>
      </c>
      <c r="L35" s="289">
        <v>-16599</v>
      </c>
      <c r="M35" s="289">
        <v>9232</v>
      </c>
      <c r="N35" s="289">
        <v>22947</v>
      </c>
      <c r="O35" s="289">
        <f t="shared" si="4"/>
        <v>15476</v>
      </c>
      <c r="P35" s="289">
        <v>31056</v>
      </c>
      <c r="Q35" s="327">
        <f t="shared" si="5"/>
        <v>0</v>
      </c>
      <c r="R35" s="326">
        <v>-36074</v>
      </c>
      <c r="S35" s="326">
        <v>8395</v>
      </c>
      <c r="T35" s="326">
        <v>15716</v>
      </c>
    </row>
    <row r="36" spans="1:63" x14ac:dyDescent="0.2">
      <c r="A36" s="36" t="s">
        <v>178</v>
      </c>
      <c r="B36" s="272">
        <v>-1471</v>
      </c>
      <c r="C36" s="272">
        <v>354</v>
      </c>
      <c r="D36" s="272">
        <v>-1490</v>
      </c>
      <c r="E36" s="272">
        <v>13644</v>
      </c>
      <c r="F36" s="272">
        <v>11037</v>
      </c>
      <c r="G36" s="206">
        <v>-13906</v>
      </c>
      <c r="H36" s="206">
        <v>6301</v>
      </c>
      <c r="I36" s="206">
        <v>3377</v>
      </c>
      <c r="J36" s="206">
        <f t="shared" si="3"/>
        <v>-9919</v>
      </c>
      <c r="K36" s="289">
        <v>-14147</v>
      </c>
      <c r="L36" s="289">
        <v>-2099</v>
      </c>
      <c r="M36" s="289">
        <v>3444</v>
      </c>
      <c r="N36" s="289">
        <v>4867</v>
      </c>
      <c r="O36" s="289">
        <f t="shared" si="4"/>
        <v>982</v>
      </c>
      <c r="P36" s="289">
        <v>7194</v>
      </c>
      <c r="Q36" s="327">
        <f t="shared" si="5"/>
        <v>0</v>
      </c>
      <c r="R36" s="326">
        <v>-1109</v>
      </c>
      <c r="S36" s="326">
        <v>5555</v>
      </c>
      <c r="T36" s="326">
        <v>2555</v>
      </c>
    </row>
    <row r="37" spans="1:63" x14ac:dyDescent="0.2">
      <c r="A37" s="36" t="s">
        <v>31</v>
      </c>
      <c r="B37" s="272">
        <v>1569</v>
      </c>
      <c r="C37" s="272">
        <v>-1605</v>
      </c>
      <c r="D37" s="272">
        <v>1277</v>
      </c>
      <c r="E37" s="272">
        <v>-3465</v>
      </c>
      <c r="F37" s="272">
        <v>-2224</v>
      </c>
      <c r="G37" s="206">
        <v>-1789</v>
      </c>
      <c r="H37" s="206">
        <v>-2498</v>
      </c>
      <c r="I37" s="206">
        <v>-1697</v>
      </c>
      <c r="J37" s="206">
        <f t="shared" si="3"/>
        <v>-816</v>
      </c>
      <c r="K37" s="289">
        <v>-6800</v>
      </c>
      <c r="L37" s="289">
        <v>388</v>
      </c>
      <c r="M37" s="289">
        <v>-262</v>
      </c>
      <c r="N37" s="289">
        <v>-1433</v>
      </c>
      <c r="O37" s="289">
        <f t="shared" si="4"/>
        <v>-897</v>
      </c>
      <c r="P37" s="289">
        <v>-2204</v>
      </c>
      <c r="Q37" s="327">
        <f t="shared" si="5"/>
        <v>0</v>
      </c>
      <c r="R37" s="326">
        <v>925</v>
      </c>
      <c r="S37" s="326">
        <v>2121</v>
      </c>
      <c r="T37" s="326">
        <v>50</v>
      </c>
    </row>
    <row r="38" spans="1:63" x14ac:dyDescent="0.2">
      <c r="A38" s="36" t="s">
        <v>222</v>
      </c>
      <c r="B38" s="272"/>
      <c r="C38" s="272"/>
      <c r="D38" s="272"/>
      <c r="E38" s="272"/>
      <c r="F38" s="272">
        <v>0</v>
      </c>
      <c r="G38" s="289">
        <v>0</v>
      </c>
      <c r="H38" s="289">
        <v>0</v>
      </c>
      <c r="I38" s="289">
        <v>0</v>
      </c>
      <c r="J38" s="289">
        <v>0</v>
      </c>
      <c r="K38" s="289">
        <v>0</v>
      </c>
      <c r="L38" s="289">
        <v>0</v>
      </c>
      <c r="M38" s="289">
        <v>-13749</v>
      </c>
      <c r="N38" s="289">
        <v>-5679</v>
      </c>
      <c r="O38" s="289">
        <f t="shared" si="4"/>
        <v>-5385</v>
      </c>
      <c r="P38" s="289">
        <v>-24813</v>
      </c>
      <c r="Q38" s="327">
        <f t="shared" si="5"/>
        <v>0</v>
      </c>
      <c r="R38" s="326">
        <v>-6576</v>
      </c>
      <c r="S38" s="326">
        <v>-6255</v>
      </c>
      <c r="T38" s="326">
        <v>-6949</v>
      </c>
    </row>
    <row r="39" spans="1:63" s="8" customFormat="1" x14ac:dyDescent="0.2">
      <c r="A39" s="54" t="s">
        <v>112</v>
      </c>
      <c r="B39" s="274">
        <f t="shared" ref="B39:F39" si="6">SUM(B8:B38)</f>
        <v>6022.1680000000015</v>
      </c>
      <c r="C39" s="274">
        <f t="shared" si="6"/>
        <v>39050.46550057143</v>
      </c>
      <c r="D39" s="274">
        <f t="shared" si="6"/>
        <v>25354.029259999996</v>
      </c>
      <c r="E39" s="274">
        <f t="shared" si="6"/>
        <v>42732.337239428569</v>
      </c>
      <c r="F39" s="274">
        <f t="shared" si="6"/>
        <v>113159</v>
      </c>
      <c r="G39" s="192">
        <f t="shared" ref="G39:L39" si="7">SUM(G8:G38)</f>
        <v>-8005</v>
      </c>
      <c r="H39" s="192">
        <f t="shared" si="7"/>
        <v>21798</v>
      </c>
      <c r="I39" s="192">
        <f t="shared" si="7"/>
        <v>33058</v>
      </c>
      <c r="J39" s="192">
        <f t="shared" si="7"/>
        <v>45584.475935178678</v>
      </c>
      <c r="K39" s="192">
        <f t="shared" si="7"/>
        <v>92435.475935178692</v>
      </c>
      <c r="L39" s="192">
        <f t="shared" si="7"/>
        <v>8342.6264351786813</v>
      </c>
      <c r="M39" s="192">
        <f>SUM(M8:M38)</f>
        <v>39373.828294821324</v>
      </c>
      <c r="N39" s="192">
        <f>SUM(N8:N38)</f>
        <v>58237.828320000001</v>
      </c>
      <c r="O39" s="192">
        <f>SUM(O8:O38)</f>
        <v>62465.716950000002</v>
      </c>
      <c r="P39" s="192">
        <f>SUM(P8:P38)</f>
        <v>168420</v>
      </c>
      <c r="Q39" s="327">
        <f t="shared" si="5"/>
        <v>0</v>
      </c>
      <c r="R39" s="338">
        <f>SUM(R8:R38)</f>
        <v>-13555</v>
      </c>
      <c r="S39" s="338">
        <f>SUM(S8:S38)</f>
        <v>72462</v>
      </c>
      <c r="T39" s="338">
        <f>SUM(T8:T38)</f>
        <v>67407</v>
      </c>
      <c r="U39" s="1"/>
      <c r="V39" s="1"/>
      <c r="W39" s="1"/>
      <c r="X39" s="1"/>
      <c r="Y39" s="1"/>
      <c r="Z39" s="1"/>
      <c r="AA39" s="1"/>
      <c r="AB39" s="1"/>
      <c r="AC39" s="1"/>
      <c r="AD39" s="1"/>
      <c r="AE39" s="1"/>
      <c r="AF39" s="1"/>
      <c r="AG39" s="1"/>
      <c r="AH39" s="1"/>
      <c r="AQ39" s="2"/>
      <c r="AR39" s="2"/>
      <c r="AS39" s="2"/>
      <c r="AT39" s="2"/>
      <c r="AU39" s="2"/>
      <c r="AV39" s="2"/>
      <c r="AW39" s="2"/>
      <c r="AX39" s="2"/>
      <c r="AY39" s="2"/>
      <c r="AZ39" s="2"/>
      <c r="BA39" s="2"/>
      <c r="BB39" s="2"/>
      <c r="BC39" s="2"/>
      <c r="BD39" s="2"/>
      <c r="BE39" s="2"/>
      <c r="BF39" s="2"/>
      <c r="BG39" s="2"/>
      <c r="BH39" s="2"/>
      <c r="BI39" s="2"/>
      <c r="BJ39" s="2"/>
      <c r="BK39" s="2"/>
    </row>
    <row r="40" spans="1:63" x14ac:dyDescent="0.2">
      <c r="A40" s="16"/>
      <c r="B40" s="273"/>
      <c r="C40" s="273"/>
      <c r="D40" s="273"/>
      <c r="E40" s="273"/>
      <c r="F40" s="273"/>
      <c r="K40" s="289"/>
      <c r="L40" s="289"/>
      <c r="M40" s="289"/>
      <c r="N40" s="289"/>
      <c r="O40" s="289"/>
      <c r="P40" s="289"/>
      <c r="Q40" s="56"/>
      <c r="R40" s="326"/>
      <c r="S40" s="326"/>
      <c r="T40" s="326"/>
    </row>
    <row r="41" spans="1:63" x14ac:dyDescent="0.2">
      <c r="A41" s="52" t="s">
        <v>113</v>
      </c>
      <c r="B41" s="276">
        <f t="shared" ref="B41:S41" si="8">SUM(B39:B39)</f>
        <v>6022.1680000000015</v>
      </c>
      <c r="C41" s="276">
        <f t="shared" si="8"/>
        <v>39050.46550057143</v>
      </c>
      <c r="D41" s="276">
        <f t="shared" si="8"/>
        <v>25354.029259999996</v>
      </c>
      <c r="E41" s="276">
        <f t="shared" si="8"/>
        <v>42732.337239428569</v>
      </c>
      <c r="F41" s="276">
        <f t="shared" si="8"/>
        <v>113159</v>
      </c>
      <c r="G41" s="194">
        <f t="shared" si="8"/>
        <v>-8005</v>
      </c>
      <c r="H41" s="194">
        <f t="shared" si="8"/>
        <v>21798</v>
      </c>
      <c r="I41" s="194">
        <f t="shared" si="8"/>
        <v>33058</v>
      </c>
      <c r="J41" s="194">
        <f t="shared" si="8"/>
        <v>45584.475935178678</v>
      </c>
      <c r="K41" s="194">
        <f t="shared" si="8"/>
        <v>92435.475935178692</v>
      </c>
      <c r="L41" s="194">
        <f t="shared" si="8"/>
        <v>8342.6264351786813</v>
      </c>
      <c r="M41" s="194">
        <f t="shared" si="8"/>
        <v>39373.828294821324</v>
      </c>
      <c r="N41" s="194">
        <f t="shared" si="8"/>
        <v>58237.828320000001</v>
      </c>
      <c r="O41" s="194">
        <f t="shared" si="8"/>
        <v>62465.716950000002</v>
      </c>
      <c r="P41" s="194">
        <f t="shared" si="8"/>
        <v>168420</v>
      </c>
      <c r="Q41" s="56"/>
      <c r="R41" s="194">
        <f>SUM(R39:R39)</f>
        <v>-13555</v>
      </c>
      <c r="S41" s="194">
        <f t="shared" si="8"/>
        <v>72462</v>
      </c>
      <c r="T41" s="194">
        <f t="shared" ref="T41" si="9">SUM(T39:T39)</f>
        <v>67407</v>
      </c>
    </row>
    <row r="42" spans="1:63" x14ac:dyDescent="0.2">
      <c r="A42" s="17" t="s">
        <v>21</v>
      </c>
      <c r="B42" s="270"/>
      <c r="C42" s="270"/>
      <c r="D42" s="270"/>
      <c r="E42" s="270"/>
      <c r="F42" s="270"/>
      <c r="K42" s="289"/>
      <c r="L42" s="289"/>
      <c r="M42" s="289"/>
      <c r="N42" s="289"/>
      <c r="O42" s="289"/>
      <c r="P42" s="289"/>
      <c r="Q42" s="56"/>
      <c r="R42" s="326"/>
      <c r="S42" s="326"/>
      <c r="T42" s="326"/>
    </row>
    <row r="43" spans="1:63" x14ac:dyDescent="0.2">
      <c r="A43" s="13" t="s">
        <v>114</v>
      </c>
      <c r="B43" s="277"/>
      <c r="C43" s="277"/>
      <c r="D43" s="277"/>
      <c r="E43" s="277"/>
      <c r="F43" s="277"/>
      <c r="K43" s="289"/>
      <c r="L43" s="289"/>
      <c r="M43" s="289"/>
      <c r="N43" s="289"/>
      <c r="O43" s="289"/>
      <c r="P43" s="289"/>
      <c r="Q43" s="56"/>
      <c r="R43" s="326"/>
      <c r="S43" s="326"/>
      <c r="T43" s="326"/>
    </row>
    <row r="44" spans="1:63" x14ac:dyDescent="0.2">
      <c r="A44" s="15" t="s">
        <v>186</v>
      </c>
      <c r="B44" s="273">
        <v>-10114</v>
      </c>
      <c r="C44" s="273">
        <v>-10333</v>
      </c>
      <c r="D44" s="273">
        <v>-6312</v>
      </c>
      <c r="E44" s="273">
        <v>-8395</v>
      </c>
      <c r="F44" s="273">
        <v>-35154</v>
      </c>
      <c r="G44" s="250">
        <v>-12680</v>
      </c>
      <c r="H44" s="250">
        <v>-6616</v>
      </c>
      <c r="I44" s="250">
        <v>-10774</v>
      </c>
      <c r="J44" s="250">
        <f t="shared" ref="J44:J50" si="10">+K44-SUM(G44:I44)</f>
        <v>-10367</v>
      </c>
      <c r="K44" s="289">
        <v>-40437</v>
      </c>
      <c r="L44" s="289">
        <v>-10878</v>
      </c>
      <c r="M44" s="289">
        <v>-11409</v>
      </c>
      <c r="N44" s="289">
        <f>-10021</f>
        <v>-10021</v>
      </c>
      <c r="O44" s="289">
        <f t="shared" ref="O44:O49" si="11">+P44-SUM(L44:N44)</f>
        <v>-7830</v>
      </c>
      <c r="P44" s="289">
        <v>-40138</v>
      </c>
      <c r="Q44" s="327">
        <f t="shared" ref="Q44:Q51" si="12">SUM(L44:O44)-P44</f>
        <v>0</v>
      </c>
      <c r="R44" s="326">
        <v>-12274</v>
      </c>
      <c r="S44" s="326">
        <v>-9777</v>
      </c>
      <c r="T44" s="326">
        <v>-12563</v>
      </c>
    </row>
    <row r="45" spans="1:63" x14ac:dyDescent="0.2">
      <c r="A45" s="15" t="s">
        <v>266</v>
      </c>
      <c r="B45" s="273"/>
      <c r="C45" s="273"/>
      <c r="D45" s="273"/>
      <c r="E45" s="273"/>
      <c r="F45" s="365">
        <v>0</v>
      </c>
      <c r="G45" s="250"/>
      <c r="H45" s="250"/>
      <c r="I45" s="250"/>
      <c r="J45" s="250"/>
      <c r="K45" s="289">
        <v>0</v>
      </c>
      <c r="L45" s="289">
        <v>0</v>
      </c>
      <c r="M45" s="289">
        <v>0</v>
      </c>
      <c r="N45" s="289">
        <v>0</v>
      </c>
      <c r="O45" s="289">
        <v>0</v>
      </c>
      <c r="P45" s="289">
        <v>0</v>
      </c>
      <c r="Q45" s="327"/>
      <c r="R45" s="326">
        <v>0</v>
      </c>
      <c r="S45" s="326">
        <v>0</v>
      </c>
      <c r="T45" s="326">
        <v>624</v>
      </c>
    </row>
    <row r="46" spans="1:63" x14ac:dyDescent="0.2">
      <c r="A46" s="15" t="s">
        <v>181</v>
      </c>
      <c r="B46" s="226">
        <v>0</v>
      </c>
      <c r="C46" s="226">
        <v>0</v>
      </c>
      <c r="D46" s="226">
        <v>0</v>
      </c>
      <c r="E46" s="226">
        <v>-3000</v>
      </c>
      <c r="F46" s="215">
        <v>-3000</v>
      </c>
      <c r="G46" s="205">
        <v>0</v>
      </c>
      <c r="H46" s="205">
        <v>0</v>
      </c>
      <c r="I46" s="205">
        <v>0</v>
      </c>
      <c r="J46" s="205">
        <f t="shared" si="10"/>
        <v>0</v>
      </c>
      <c r="K46" s="289">
        <v>0</v>
      </c>
      <c r="L46" s="289">
        <v>0</v>
      </c>
      <c r="M46" s="289">
        <v>0</v>
      </c>
      <c r="N46" s="289">
        <v>0</v>
      </c>
      <c r="O46" s="289">
        <f t="shared" si="11"/>
        <v>0</v>
      </c>
      <c r="P46" s="289">
        <v>0</v>
      </c>
      <c r="Q46" s="327">
        <f t="shared" si="12"/>
        <v>0</v>
      </c>
      <c r="R46" s="326">
        <v>-700</v>
      </c>
      <c r="S46" s="326">
        <v>0</v>
      </c>
      <c r="T46" s="326">
        <v>0</v>
      </c>
    </row>
    <row r="47" spans="1:63" x14ac:dyDescent="0.2">
      <c r="A47" s="15" t="s">
        <v>174</v>
      </c>
      <c r="B47" s="272">
        <v>0</v>
      </c>
      <c r="C47" s="272">
        <v>0</v>
      </c>
      <c r="D47" s="272">
        <v>-724</v>
      </c>
      <c r="E47" s="272">
        <v>-22576</v>
      </c>
      <c r="F47" s="272">
        <v>-23300</v>
      </c>
      <c r="G47" s="206">
        <v>-380</v>
      </c>
      <c r="H47" s="206">
        <v>-115</v>
      </c>
      <c r="I47" s="206">
        <v>-231423</v>
      </c>
      <c r="J47" s="206">
        <f t="shared" si="10"/>
        <v>89</v>
      </c>
      <c r="K47" s="289">
        <v>-231829</v>
      </c>
      <c r="L47" s="289">
        <v>0</v>
      </c>
      <c r="M47" s="289">
        <v>0</v>
      </c>
      <c r="N47" s="289">
        <v>0</v>
      </c>
      <c r="O47" s="289">
        <f t="shared" si="11"/>
        <v>0</v>
      </c>
      <c r="P47" s="289">
        <v>0</v>
      </c>
      <c r="Q47" s="327">
        <f t="shared" si="12"/>
        <v>0</v>
      </c>
      <c r="R47" s="326">
        <v>0</v>
      </c>
      <c r="S47" s="326">
        <v>0</v>
      </c>
      <c r="T47" s="326">
        <v>0</v>
      </c>
    </row>
    <row r="48" spans="1:63" x14ac:dyDescent="0.2">
      <c r="A48" s="15" t="s">
        <v>220</v>
      </c>
      <c r="B48" s="272"/>
      <c r="C48" s="272"/>
      <c r="D48" s="272"/>
      <c r="E48" s="272"/>
      <c r="F48" s="272"/>
      <c r="G48" s="33">
        <v>0</v>
      </c>
      <c r="H48" s="33">
        <v>0</v>
      </c>
      <c r="I48" s="33">
        <v>0</v>
      </c>
      <c r="J48" s="33">
        <v>0</v>
      </c>
      <c r="K48" s="33">
        <v>0</v>
      </c>
      <c r="L48" s="33">
        <v>0</v>
      </c>
      <c r="M48" s="289">
        <v>-241</v>
      </c>
      <c r="N48" s="289">
        <v>0</v>
      </c>
      <c r="O48" s="289">
        <f t="shared" si="11"/>
        <v>0</v>
      </c>
      <c r="P48" s="289">
        <v>-241</v>
      </c>
      <c r="Q48" s="327">
        <f t="shared" si="12"/>
        <v>0</v>
      </c>
      <c r="R48" s="326">
        <v>0</v>
      </c>
      <c r="S48" s="326">
        <v>0</v>
      </c>
      <c r="T48" s="326">
        <v>0</v>
      </c>
    </row>
    <row r="49" spans="1:206" x14ac:dyDescent="0.2">
      <c r="A49" s="15" t="s">
        <v>119</v>
      </c>
      <c r="B49" s="272">
        <v>-129837</v>
      </c>
      <c r="C49" s="272">
        <v>-39585</v>
      </c>
      <c r="D49" s="272">
        <v>-28475</v>
      </c>
      <c r="E49" s="272">
        <v>-204824</v>
      </c>
      <c r="F49" s="272">
        <v>-402721</v>
      </c>
      <c r="G49" s="206">
        <v>-20310</v>
      </c>
      <c r="H49" s="206">
        <v>-20353</v>
      </c>
      <c r="I49" s="206">
        <v>-17294</v>
      </c>
      <c r="J49" s="206">
        <f t="shared" si="10"/>
        <v>-75477</v>
      </c>
      <c r="K49" s="289">
        <v>-133434</v>
      </c>
      <c r="L49" s="289">
        <v>-47683</v>
      </c>
      <c r="M49" s="289">
        <v>-20505</v>
      </c>
      <c r="N49" s="289">
        <v>-49746</v>
      </c>
      <c r="O49" s="289">
        <f t="shared" si="11"/>
        <v>-70040</v>
      </c>
      <c r="P49" s="289">
        <v>-187974</v>
      </c>
      <c r="Q49" s="327">
        <f t="shared" si="12"/>
        <v>0</v>
      </c>
      <c r="R49" s="326">
        <v>-23830</v>
      </c>
      <c r="S49" s="326">
        <v>-25197</v>
      </c>
      <c r="T49" s="326">
        <v>-8938</v>
      </c>
    </row>
    <row r="50" spans="1:206" x14ac:dyDescent="0.2">
      <c r="A50" s="15" t="s">
        <v>120</v>
      </c>
      <c r="B50" s="272">
        <v>22879</v>
      </c>
      <c r="C50" s="272">
        <v>16596</v>
      </c>
      <c r="D50" s="272">
        <v>14763</v>
      </c>
      <c r="E50" s="272">
        <v>187201</v>
      </c>
      <c r="F50" s="272">
        <v>241439</v>
      </c>
      <c r="G50" s="206">
        <v>30358</v>
      </c>
      <c r="H50" s="206">
        <v>30453</v>
      </c>
      <c r="I50" s="206">
        <v>18725</v>
      </c>
      <c r="J50" s="206">
        <f t="shared" si="10"/>
        <v>48672</v>
      </c>
      <c r="K50" s="289">
        <v>128208</v>
      </c>
      <c r="L50" s="289">
        <v>21361</v>
      </c>
      <c r="M50" s="289">
        <v>70308</v>
      </c>
      <c r="N50" s="289">
        <v>37474</v>
      </c>
      <c r="O50" s="289">
        <f>+P50-SUM(L50:N50)</f>
        <v>47825</v>
      </c>
      <c r="P50" s="289">
        <v>176968</v>
      </c>
      <c r="Q50" s="327">
        <f t="shared" si="12"/>
        <v>0</v>
      </c>
      <c r="R50" s="326">
        <v>72844</v>
      </c>
      <c r="S50" s="326">
        <v>0</v>
      </c>
      <c r="T50" s="326">
        <v>30874</v>
      </c>
    </row>
    <row r="51" spans="1:206" s="8" customFormat="1" x14ac:dyDescent="0.2">
      <c r="A51" s="54" t="s">
        <v>78</v>
      </c>
      <c r="B51" s="274">
        <f t="shared" ref="B51:F51" si="13">SUM(B44:B50)</f>
        <v>-117072</v>
      </c>
      <c r="C51" s="274">
        <f t="shared" si="13"/>
        <v>-33322</v>
      </c>
      <c r="D51" s="274">
        <f t="shared" si="13"/>
        <v>-20748</v>
      </c>
      <c r="E51" s="274">
        <f t="shared" si="13"/>
        <v>-51594</v>
      </c>
      <c r="F51" s="274">
        <f t="shared" si="13"/>
        <v>-222736</v>
      </c>
      <c r="G51" s="192">
        <f t="shared" ref="G51:M51" si="14">SUM(G44:G50)</f>
        <v>-3012</v>
      </c>
      <c r="H51" s="192">
        <f t="shared" si="14"/>
        <v>3369</v>
      </c>
      <c r="I51" s="192">
        <f t="shared" si="14"/>
        <v>-240766</v>
      </c>
      <c r="J51" s="192">
        <f t="shared" si="14"/>
        <v>-37083</v>
      </c>
      <c r="K51" s="192">
        <f t="shared" si="14"/>
        <v>-277492</v>
      </c>
      <c r="L51" s="192">
        <f t="shared" si="14"/>
        <v>-37200</v>
      </c>
      <c r="M51" s="192">
        <f t="shared" si="14"/>
        <v>38153</v>
      </c>
      <c r="N51" s="192">
        <f t="shared" ref="N51:O51" si="15">SUM(N44:N50)</f>
        <v>-22293</v>
      </c>
      <c r="O51" s="192">
        <f t="shared" si="15"/>
        <v>-30045</v>
      </c>
      <c r="P51" s="192">
        <f t="shared" ref="P51:S51" si="16">SUM(P44:P50)</f>
        <v>-51385</v>
      </c>
      <c r="Q51" s="327">
        <f t="shared" si="12"/>
        <v>0</v>
      </c>
      <c r="R51" s="338">
        <f>SUM(R44:R50)</f>
        <v>36040</v>
      </c>
      <c r="S51" s="338">
        <f t="shared" si="16"/>
        <v>-34974</v>
      </c>
      <c r="T51" s="338">
        <f t="shared" ref="T51" si="17">SUM(T44:T50)</f>
        <v>9997</v>
      </c>
      <c r="U51" s="1"/>
      <c r="V51" s="1"/>
      <c r="W51" s="1"/>
      <c r="X51" s="1"/>
      <c r="Y51" s="1"/>
      <c r="Z51" s="1"/>
      <c r="AA51" s="1"/>
      <c r="AB51" s="1"/>
      <c r="AC51" s="1"/>
      <c r="AD51" s="1"/>
      <c r="AE51" s="1"/>
      <c r="AF51" s="1"/>
      <c r="AG51" s="1"/>
      <c r="AH51" s="1"/>
      <c r="AQ51" s="2"/>
      <c r="AR51" s="2"/>
      <c r="AS51" s="2"/>
      <c r="AT51" s="2"/>
      <c r="AU51" s="2"/>
      <c r="AV51" s="2"/>
      <c r="AW51" s="2"/>
      <c r="AX51" s="2"/>
      <c r="AY51" s="2"/>
      <c r="AZ51" s="2"/>
      <c r="BA51" s="2"/>
      <c r="BB51" s="2"/>
      <c r="BC51" s="2"/>
      <c r="BD51" s="2"/>
      <c r="BE51" s="2"/>
      <c r="BF51" s="2"/>
      <c r="BG51" s="2"/>
      <c r="BH51" s="2"/>
      <c r="BI51" s="2"/>
      <c r="BJ51" s="2"/>
      <c r="BK51" s="2"/>
    </row>
    <row r="52" spans="1:206" s="8" customFormat="1" x14ac:dyDescent="0.2">
      <c r="A52" s="55" t="s">
        <v>79</v>
      </c>
      <c r="B52" s="275">
        <v>0</v>
      </c>
      <c r="C52" s="275">
        <v>0</v>
      </c>
      <c r="D52" s="275">
        <v>0</v>
      </c>
      <c r="E52" s="275">
        <v>0</v>
      </c>
      <c r="F52" s="275">
        <v>0</v>
      </c>
      <c r="G52" s="207">
        <v>0</v>
      </c>
      <c r="H52" s="207">
        <v>0</v>
      </c>
      <c r="I52" s="207">
        <v>0</v>
      </c>
      <c r="J52" s="207">
        <v>0</v>
      </c>
      <c r="K52" s="207">
        <v>0</v>
      </c>
      <c r="L52" s="207">
        <v>0</v>
      </c>
      <c r="M52" s="207">
        <v>0</v>
      </c>
      <c r="N52" s="207">
        <v>0</v>
      </c>
      <c r="O52" s="207">
        <v>0</v>
      </c>
      <c r="P52" s="207">
        <v>0</v>
      </c>
      <c r="Q52" s="1"/>
      <c r="R52" s="339">
        <v>0</v>
      </c>
      <c r="S52" s="339">
        <v>0</v>
      </c>
      <c r="T52" s="339">
        <v>0</v>
      </c>
      <c r="U52" s="1"/>
      <c r="V52" s="1"/>
      <c r="W52" s="1"/>
      <c r="X52" s="1"/>
      <c r="Y52" s="1"/>
      <c r="Z52" s="1"/>
      <c r="AA52" s="1"/>
      <c r="AB52" s="1"/>
      <c r="AC52" s="1"/>
      <c r="AD52" s="1"/>
      <c r="AE52" s="1"/>
      <c r="AF52" s="1"/>
      <c r="AG52" s="1"/>
      <c r="AH52" s="1"/>
      <c r="AQ52" s="2"/>
      <c r="AR52" s="2"/>
      <c r="AS52" s="2"/>
      <c r="AT52" s="2"/>
      <c r="AU52" s="2"/>
      <c r="AV52" s="2"/>
      <c r="AW52" s="2"/>
      <c r="AX52" s="2"/>
      <c r="AY52" s="2"/>
      <c r="AZ52" s="2"/>
      <c r="BA52" s="2"/>
      <c r="BB52" s="2"/>
      <c r="BC52" s="2"/>
      <c r="BD52" s="2"/>
      <c r="BE52" s="2"/>
      <c r="BF52" s="2"/>
      <c r="BG52" s="2"/>
      <c r="BH52" s="2"/>
      <c r="BI52" s="2"/>
      <c r="BJ52" s="2"/>
      <c r="BK52" s="2"/>
    </row>
    <row r="53" spans="1:206" x14ac:dyDescent="0.2">
      <c r="A53" s="16"/>
      <c r="B53" s="273"/>
      <c r="C53" s="273"/>
      <c r="D53" s="273"/>
      <c r="E53" s="273"/>
      <c r="F53" s="273"/>
      <c r="K53" s="190"/>
      <c r="L53" s="190"/>
      <c r="M53" s="190"/>
      <c r="N53" s="318"/>
      <c r="O53" s="318"/>
      <c r="P53" s="318"/>
      <c r="Q53" s="56"/>
      <c r="R53" s="340"/>
      <c r="S53" s="340"/>
      <c r="T53" s="340"/>
    </row>
    <row r="54" spans="1:206" x14ac:dyDescent="0.2">
      <c r="A54" s="52" t="s">
        <v>210</v>
      </c>
      <c r="B54" s="276">
        <f t="shared" ref="B54:F54" si="18">SUM(B51:B52)</f>
        <v>-117072</v>
      </c>
      <c r="C54" s="276">
        <f t="shared" si="18"/>
        <v>-33322</v>
      </c>
      <c r="D54" s="276">
        <f t="shared" si="18"/>
        <v>-20748</v>
      </c>
      <c r="E54" s="276">
        <f t="shared" si="18"/>
        <v>-51594</v>
      </c>
      <c r="F54" s="276">
        <f t="shared" si="18"/>
        <v>-222736</v>
      </c>
      <c r="G54" s="194">
        <f t="shared" ref="G54" si="19">SUM(G51:G52)</f>
        <v>-3012</v>
      </c>
      <c r="H54" s="194">
        <f t="shared" ref="H54:I54" si="20">SUM(H51:H52)</f>
        <v>3369</v>
      </c>
      <c r="I54" s="194">
        <f t="shared" si="20"/>
        <v>-240766</v>
      </c>
      <c r="J54" s="194">
        <f t="shared" ref="J54:K54" si="21">SUM(J51:J52)</f>
        <v>-37083</v>
      </c>
      <c r="K54" s="194">
        <f t="shared" si="21"/>
        <v>-277492</v>
      </c>
      <c r="L54" s="194">
        <f t="shared" ref="L54:M54" si="22">SUM(L51:L52)</f>
        <v>-37200</v>
      </c>
      <c r="M54" s="194">
        <f t="shared" si="22"/>
        <v>38153</v>
      </c>
      <c r="N54" s="194">
        <f t="shared" ref="N54:O54" si="23">SUM(N51:N52)</f>
        <v>-22293</v>
      </c>
      <c r="O54" s="194">
        <f t="shared" si="23"/>
        <v>-30045</v>
      </c>
      <c r="P54" s="194">
        <f t="shared" ref="P54:S54" si="24">SUM(P51:P52)</f>
        <v>-51385</v>
      </c>
      <c r="Q54" s="327">
        <f>SUM(L54:O54)-P54</f>
        <v>0</v>
      </c>
      <c r="R54" s="194">
        <f>SUM(R51:R52)</f>
        <v>36040</v>
      </c>
      <c r="S54" s="194">
        <f t="shared" si="24"/>
        <v>-34974</v>
      </c>
      <c r="T54" s="194">
        <f t="shared" ref="T54" si="25">SUM(T51:T52)</f>
        <v>9997</v>
      </c>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row>
    <row r="55" spans="1:206" x14ac:dyDescent="0.2">
      <c r="A55" s="17" t="s">
        <v>21</v>
      </c>
      <c r="B55" s="270"/>
      <c r="C55" s="270"/>
      <c r="D55" s="270"/>
      <c r="E55" s="270"/>
      <c r="F55" s="270"/>
      <c r="K55" s="289"/>
      <c r="L55" s="289"/>
      <c r="M55" s="289"/>
      <c r="N55" s="289"/>
      <c r="O55" s="289"/>
      <c r="P55" s="289"/>
      <c r="Q55" s="56"/>
      <c r="R55" s="326"/>
      <c r="S55" s="326"/>
      <c r="T55" s="326"/>
    </row>
    <row r="56" spans="1:206" x14ac:dyDescent="0.2">
      <c r="A56" s="13" t="s">
        <v>115</v>
      </c>
      <c r="B56" s="270"/>
      <c r="C56" s="270"/>
      <c r="D56" s="270"/>
      <c r="E56" s="270"/>
      <c r="F56" s="270"/>
      <c r="K56" s="289"/>
      <c r="L56" s="289"/>
      <c r="M56" s="289"/>
      <c r="N56" s="289"/>
      <c r="O56" s="289"/>
      <c r="P56" s="289"/>
      <c r="Q56" s="56"/>
      <c r="R56" s="326"/>
      <c r="S56" s="326"/>
      <c r="T56" s="326"/>
    </row>
    <row r="57" spans="1:206" x14ac:dyDescent="0.2">
      <c r="A57" s="15" t="s">
        <v>40</v>
      </c>
      <c r="B57" s="279">
        <v>0</v>
      </c>
      <c r="C57" s="279">
        <v>0</v>
      </c>
      <c r="D57" s="279">
        <v>0</v>
      </c>
      <c r="E57" s="279">
        <v>0</v>
      </c>
      <c r="F57" s="279">
        <v>0</v>
      </c>
      <c r="G57" s="208">
        <v>0</v>
      </c>
      <c r="H57" s="208">
        <v>0</v>
      </c>
      <c r="I57" s="208">
        <v>0</v>
      </c>
      <c r="J57" s="208">
        <f t="shared" ref="J57:J71" si="26">+K57-SUM(G57:I57)</f>
        <v>0</v>
      </c>
      <c r="K57" s="289">
        <v>0</v>
      </c>
      <c r="L57" s="289">
        <v>0</v>
      </c>
      <c r="M57" s="289">
        <v>0</v>
      </c>
      <c r="N57" s="289">
        <v>0</v>
      </c>
      <c r="O57" s="289">
        <f t="shared" ref="O57:O71" si="27">+P57-SUM(L57:N57)</f>
        <v>0</v>
      </c>
      <c r="P57" s="289">
        <v>0</v>
      </c>
      <c r="Q57" s="327">
        <f t="shared" ref="Q57:Q72" si="28">SUM(L57:O57)-P57</f>
        <v>0</v>
      </c>
      <c r="R57" s="326">
        <v>0</v>
      </c>
      <c r="S57" s="326">
        <v>0</v>
      </c>
      <c r="T57" s="326">
        <v>0</v>
      </c>
      <c r="U57" s="2"/>
      <c r="V57" s="2"/>
      <c r="W57" s="2"/>
      <c r="X57" s="2"/>
      <c r="Y57" s="2"/>
      <c r="Z57" s="2"/>
      <c r="AA57" s="2"/>
      <c r="AB57" s="2"/>
      <c r="AC57" s="2"/>
      <c r="AD57" s="2"/>
      <c r="AE57" s="2"/>
      <c r="AF57" s="2"/>
      <c r="AG57" s="2"/>
      <c r="AH57" s="2"/>
    </row>
    <row r="58" spans="1:206" x14ac:dyDescent="0.2">
      <c r="A58" s="15" t="s">
        <v>187</v>
      </c>
      <c r="B58" s="272">
        <v>0</v>
      </c>
      <c r="C58" s="272">
        <v>0</v>
      </c>
      <c r="D58" s="272">
        <v>0</v>
      </c>
      <c r="E58" s="272">
        <v>60574</v>
      </c>
      <c r="F58" s="272">
        <v>60574</v>
      </c>
      <c r="G58" s="251">
        <v>12000</v>
      </c>
      <c r="H58" s="251">
        <v>0</v>
      </c>
      <c r="I58" s="251">
        <v>233000</v>
      </c>
      <c r="J58" s="251">
        <f t="shared" si="26"/>
        <v>1614</v>
      </c>
      <c r="K58" s="289">
        <v>246614</v>
      </c>
      <c r="L58" s="289">
        <v>46000</v>
      </c>
      <c r="M58" s="289">
        <v>0</v>
      </c>
      <c r="N58" s="289">
        <v>0</v>
      </c>
      <c r="O58" s="289">
        <f t="shared" si="27"/>
        <v>0</v>
      </c>
      <c r="P58" s="289">
        <v>46000</v>
      </c>
      <c r="Q58" s="327">
        <f t="shared" si="28"/>
        <v>0</v>
      </c>
      <c r="R58" s="326">
        <v>110000</v>
      </c>
      <c r="S58" s="326">
        <v>0</v>
      </c>
      <c r="T58" s="326">
        <v>0</v>
      </c>
      <c r="U58" s="2"/>
      <c r="V58" s="2"/>
      <c r="W58" s="2"/>
      <c r="X58" s="2"/>
      <c r="Y58" s="2"/>
      <c r="Z58" s="2"/>
      <c r="AA58" s="2"/>
      <c r="AB58" s="2"/>
      <c r="AC58" s="2"/>
      <c r="AD58" s="2"/>
      <c r="AE58" s="2"/>
      <c r="AF58" s="2"/>
      <c r="AG58" s="2"/>
      <c r="AH58" s="2"/>
    </row>
    <row r="59" spans="1:206" x14ac:dyDescent="0.2">
      <c r="A59" s="15" t="s">
        <v>188</v>
      </c>
      <c r="B59" s="272">
        <v>0</v>
      </c>
      <c r="C59" s="272">
        <v>0</v>
      </c>
      <c r="D59" s="272">
        <v>0</v>
      </c>
      <c r="E59" s="272">
        <v>-45192</v>
      </c>
      <c r="F59" s="272">
        <v>-45192</v>
      </c>
      <c r="G59" s="251">
        <v>-5036</v>
      </c>
      <c r="H59" s="251">
        <v>-29</v>
      </c>
      <c r="I59" s="251">
        <v>-18</v>
      </c>
      <c r="J59" s="251">
        <f t="shared" si="26"/>
        <v>-150126</v>
      </c>
      <c r="K59" s="289">
        <v>-155209</v>
      </c>
      <c r="L59" s="289">
        <v>-10572</v>
      </c>
      <c r="M59" s="289">
        <v>-69018</v>
      </c>
      <c r="N59" s="289">
        <v>-8173</v>
      </c>
      <c r="O59" s="289">
        <f t="shared" si="27"/>
        <v>-10484</v>
      </c>
      <c r="P59" s="289">
        <v>-98247</v>
      </c>
      <c r="Q59" s="327">
        <f t="shared" si="28"/>
        <v>0</v>
      </c>
      <c r="R59" s="326">
        <v>-10201</v>
      </c>
      <c r="S59" s="326">
        <v>-100009</v>
      </c>
      <c r="T59" s="326">
        <v>-10183</v>
      </c>
      <c r="U59" s="2"/>
      <c r="V59" s="2"/>
      <c r="W59" s="2"/>
      <c r="X59" s="2"/>
      <c r="Y59" s="2"/>
      <c r="Z59" s="2"/>
      <c r="AA59" s="2"/>
      <c r="AB59" s="2"/>
      <c r="AC59" s="2"/>
      <c r="AD59" s="2"/>
      <c r="AE59" s="2"/>
      <c r="AF59" s="2"/>
      <c r="AG59" s="2"/>
      <c r="AH59" s="2"/>
    </row>
    <row r="60" spans="1:206" x14ac:dyDescent="0.2">
      <c r="A60" s="15" t="s">
        <v>205</v>
      </c>
      <c r="B60" s="272"/>
      <c r="C60" s="272"/>
      <c r="D60" s="272"/>
      <c r="E60" s="272"/>
      <c r="F60" s="272"/>
      <c r="G60" s="251"/>
      <c r="H60" s="251"/>
      <c r="I60" s="251"/>
      <c r="J60" s="251">
        <f t="shared" si="26"/>
        <v>149000</v>
      </c>
      <c r="K60" s="289">
        <v>149000</v>
      </c>
      <c r="L60" s="289">
        <v>0</v>
      </c>
      <c r="M60" s="289">
        <v>0</v>
      </c>
      <c r="N60" s="289">
        <v>0</v>
      </c>
      <c r="O60" s="289">
        <f t="shared" si="27"/>
        <v>0</v>
      </c>
      <c r="P60" s="289">
        <v>0</v>
      </c>
      <c r="Q60" s="327">
        <f t="shared" si="28"/>
        <v>0</v>
      </c>
      <c r="R60" s="326">
        <v>0</v>
      </c>
      <c r="S60" s="326">
        <v>0</v>
      </c>
      <c r="T60" s="326">
        <v>0</v>
      </c>
      <c r="U60" s="2"/>
      <c r="V60" s="2"/>
      <c r="W60" s="2"/>
      <c r="X60" s="2"/>
      <c r="Y60" s="2"/>
      <c r="Z60" s="2"/>
      <c r="AA60" s="2"/>
      <c r="AB60" s="2"/>
      <c r="AC60" s="2"/>
      <c r="AD60" s="2"/>
      <c r="AE60" s="2"/>
      <c r="AF60" s="2"/>
      <c r="AG60" s="2"/>
      <c r="AH60" s="2"/>
    </row>
    <row r="61" spans="1:206" x14ac:dyDescent="0.2">
      <c r="A61" s="15" t="s">
        <v>138</v>
      </c>
      <c r="B61" s="272">
        <v>0</v>
      </c>
      <c r="C61" s="272">
        <v>0</v>
      </c>
      <c r="D61" s="272">
        <v>0</v>
      </c>
      <c r="E61" s="272">
        <v>-790</v>
      </c>
      <c r="F61" s="272">
        <v>-790</v>
      </c>
      <c r="G61" s="205">
        <v>0</v>
      </c>
      <c r="H61" s="205">
        <v>0</v>
      </c>
      <c r="I61" s="205">
        <v>0</v>
      </c>
      <c r="J61" s="205">
        <f t="shared" si="26"/>
        <v>-762</v>
      </c>
      <c r="K61" s="289">
        <v>-762</v>
      </c>
      <c r="L61" s="289">
        <v>-97</v>
      </c>
      <c r="M61" s="289">
        <v>-20</v>
      </c>
      <c r="N61" s="289">
        <v>0</v>
      </c>
      <c r="O61" s="289">
        <f>+P61-SUM(L61:N61)</f>
        <v>0</v>
      </c>
      <c r="P61" s="289">
        <v>-117</v>
      </c>
      <c r="Q61" s="327">
        <f t="shared" si="28"/>
        <v>0</v>
      </c>
      <c r="R61" s="326">
        <v>0</v>
      </c>
      <c r="S61" s="326">
        <v>0</v>
      </c>
      <c r="T61" s="326">
        <v>0</v>
      </c>
      <c r="U61" s="2"/>
      <c r="V61" s="2"/>
      <c r="W61" s="2"/>
      <c r="X61" s="2"/>
      <c r="Y61" s="2"/>
      <c r="Z61" s="2"/>
      <c r="AA61" s="2"/>
      <c r="AB61" s="2"/>
      <c r="AC61" s="2"/>
      <c r="AD61" s="2"/>
      <c r="AE61" s="2"/>
      <c r="AF61" s="2"/>
      <c r="AG61" s="2"/>
      <c r="AH61" s="2"/>
    </row>
    <row r="62" spans="1:206" x14ac:dyDescent="0.2">
      <c r="A62" s="15" t="s">
        <v>41</v>
      </c>
      <c r="B62" s="272">
        <v>-43</v>
      </c>
      <c r="C62" s="272">
        <v>-51</v>
      </c>
      <c r="D62" s="272">
        <v>-39</v>
      </c>
      <c r="E62" s="272">
        <v>-41</v>
      </c>
      <c r="F62" s="272">
        <v>-174</v>
      </c>
      <c r="G62" s="251">
        <v>-42</v>
      </c>
      <c r="H62" s="251">
        <v>-41</v>
      </c>
      <c r="I62" s="251">
        <v>-22</v>
      </c>
      <c r="J62" s="251">
        <f t="shared" si="26"/>
        <v>-47</v>
      </c>
      <c r="K62" s="289">
        <v>-152</v>
      </c>
      <c r="L62" s="289">
        <v>-137</v>
      </c>
      <c r="M62" s="289">
        <v>-70</v>
      </c>
      <c r="N62" s="289">
        <v>-67</v>
      </c>
      <c r="O62" s="289">
        <f t="shared" si="27"/>
        <v>-62</v>
      </c>
      <c r="P62" s="289">
        <v>-336</v>
      </c>
      <c r="Q62" s="327">
        <f t="shared" si="28"/>
        <v>0</v>
      </c>
      <c r="R62" s="326">
        <v>-67</v>
      </c>
      <c r="S62" s="326">
        <v>-57</v>
      </c>
      <c r="T62" s="326">
        <v>-56</v>
      </c>
      <c r="U62" s="2"/>
      <c r="V62" s="2"/>
      <c r="W62" s="2"/>
      <c r="X62" s="2"/>
      <c r="Y62" s="2"/>
      <c r="Z62" s="2"/>
      <c r="AA62" s="2"/>
      <c r="AB62" s="2"/>
      <c r="AC62" s="2"/>
      <c r="AD62" s="2"/>
      <c r="AE62" s="2"/>
      <c r="AF62" s="2"/>
      <c r="AG62" s="2"/>
      <c r="AH62" s="2"/>
    </row>
    <row r="63" spans="1:206" x14ac:dyDescent="0.2">
      <c r="A63" s="15" t="s">
        <v>42</v>
      </c>
      <c r="B63" s="272">
        <v>0</v>
      </c>
      <c r="C63" s="272">
        <v>0</v>
      </c>
      <c r="D63" s="272">
        <v>0</v>
      </c>
      <c r="E63" s="272">
        <v>0</v>
      </c>
      <c r="F63" s="272">
        <v>0</v>
      </c>
      <c r="G63" s="205">
        <v>0</v>
      </c>
      <c r="H63" s="205">
        <v>0</v>
      </c>
      <c r="I63" s="205">
        <v>0</v>
      </c>
      <c r="J63" s="205">
        <f t="shared" si="26"/>
        <v>0</v>
      </c>
      <c r="K63" s="205">
        <v>0</v>
      </c>
      <c r="L63" s="205">
        <v>0</v>
      </c>
      <c r="M63" s="205">
        <v>0</v>
      </c>
      <c r="N63" s="205">
        <v>0</v>
      </c>
      <c r="O63" s="205">
        <f t="shared" si="27"/>
        <v>0</v>
      </c>
      <c r="P63" s="205">
        <v>0</v>
      </c>
      <c r="Q63" s="327">
        <f t="shared" si="28"/>
        <v>0</v>
      </c>
      <c r="R63" s="205">
        <v>0</v>
      </c>
      <c r="S63" s="205">
        <v>0</v>
      </c>
      <c r="T63" s="205">
        <v>0</v>
      </c>
      <c r="U63" s="2"/>
      <c r="V63" s="2"/>
      <c r="W63" s="2"/>
      <c r="X63" s="2"/>
      <c r="Y63" s="2"/>
      <c r="Z63" s="2"/>
      <c r="AA63" s="2"/>
      <c r="AB63" s="2"/>
      <c r="AC63" s="2"/>
      <c r="AD63" s="2"/>
      <c r="AE63" s="2"/>
      <c r="AF63" s="2"/>
      <c r="AG63" s="2"/>
      <c r="AH63" s="2"/>
    </row>
    <row r="64" spans="1:206" x14ac:dyDescent="0.2">
      <c r="A64" s="15" t="s">
        <v>55</v>
      </c>
      <c r="B64" s="272">
        <v>0</v>
      </c>
      <c r="C64" s="272">
        <v>0</v>
      </c>
      <c r="D64" s="272">
        <v>0</v>
      </c>
      <c r="E64" s="272">
        <v>0</v>
      </c>
      <c r="F64" s="272">
        <v>0</v>
      </c>
      <c r="G64" s="205">
        <v>0</v>
      </c>
      <c r="H64" s="205">
        <v>0</v>
      </c>
      <c r="I64" s="205">
        <v>0</v>
      </c>
      <c r="J64" s="205">
        <f t="shared" si="26"/>
        <v>0</v>
      </c>
      <c r="K64" s="205">
        <v>0</v>
      </c>
      <c r="L64" s="205">
        <v>0</v>
      </c>
      <c r="M64" s="205">
        <v>0</v>
      </c>
      <c r="N64" s="205">
        <v>0</v>
      </c>
      <c r="O64" s="205">
        <f t="shared" si="27"/>
        <v>0</v>
      </c>
      <c r="P64" s="205">
        <v>0</v>
      </c>
      <c r="Q64" s="327">
        <f t="shared" si="28"/>
        <v>0</v>
      </c>
      <c r="R64" s="205">
        <v>0</v>
      </c>
      <c r="S64" s="205">
        <v>0</v>
      </c>
      <c r="T64" s="205">
        <v>0</v>
      </c>
      <c r="U64" s="2"/>
      <c r="V64" s="2"/>
      <c r="W64" s="2"/>
      <c r="X64" s="2"/>
      <c r="Y64" s="2"/>
      <c r="Z64" s="2"/>
      <c r="AA64" s="2"/>
      <c r="AB64" s="2"/>
      <c r="AC64" s="2"/>
      <c r="AD64" s="2"/>
      <c r="AE64" s="2"/>
      <c r="AF64" s="2"/>
      <c r="AG64" s="2"/>
      <c r="AH64" s="2"/>
    </row>
    <row r="65" spans="1:34" x14ac:dyDescent="0.2">
      <c r="A65" s="15" t="s">
        <v>54</v>
      </c>
      <c r="B65" s="272">
        <v>0</v>
      </c>
      <c r="C65" s="272">
        <v>0</v>
      </c>
      <c r="D65" s="272">
        <v>0</v>
      </c>
      <c r="E65" s="272">
        <v>0</v>
      </c>
      <c r="F65" s="272">
        <v>0</v>
      </c>
      <c r="G65" s="205">
        <v>0</v>
      </c>
      <c r="H65" s="205">
        <v>0</v>
      </c>
      <c r="I65" s="205">
        <v>0</v>
      </c>
      <c r="J65" s="205">
        <f t="shared" si="26"/>
        <v>0</v>
      </c>
      <c r="K65" s="205">
        <v>0</v>
      </c>
      <c r="L65" s="205">
        <v>0</v>
      </c>
      <c r="M65" s="205">
        <v>0</v>
      </c>
      <c r="N65" s="205">
        <v>0</v>
      </c>
      <c r="O65" s="205">
        <f t="shared" si="27"/>
        <v>0</v>
      </c>
      <c r="P65" s="205">
        <v>0</v>
      </c>
      <c r="Q65" s="327">
        <f t="shared" si="28"/>
        <v>0</v>
      </c>
      <c r="R65" s="205">
        <v>0</v>
      </c>
      <c r="S65" s="205">
        <v>0</v>
      </c>
      <c r="T65" s="205">
        <v>0</v>
      </c>
      <c r="U65" s="2"/>
      <c r="V65" s="2"/>
      <c r="W65" s="2"/>
      <c r="X65" s="2"/>
      <c r="Y65" s="2"/>
      <c r="Z65" s="2"/>
      <c r="AA65" s="2"/>
      <c r="AB65" s="2"/>
      <c r="AC65" s="2"/>
      <c r="AD65" s="2"/>
      <c r="AE65" s="2"/>
      <c r="AF65" s="2"/>
      <c r="AG65" s="2"/>
      <c r="AH65" s="2"/>
    </row>
    <row r="66" spans="1:34" x14ac:dyDescent="0.2">
      <c r="A66" s="15" t="s">
        <v>43</v>
      </c>
      <c r="B66" s="272">
        <v>191</v>
      </c>
      <c r="C66" s="272">
        <v>1587</v>
      </c>
      <c r="D66" s="272">
        <v>2497</v>
      </c>
      <c r="E66" s="272">
        <v>4286</v>
      </c>
      <c r="F66" s="272">
        <v>8561</v>
      </c>
      <c r="G66" s="251">
        <v>431</v>
      </c>
      <c r="H66" s="251">
        <v>0</v>
      </c>
      <c r="I66" s="251">
        <v>653</v>
      </c>
      <c r="J66" s="251">
        <f t="shared" si="26"/>
        <v>313</v>
      </c>
      <c r="K66" s="289">
        <v>1397</v>
      </c>
      <c r="L66" s="289">
        <v>22</v>
      </c>
      <c r="M66" s="289">
        <v>316</v>
      </c>
      <c r="N66" s="289">
        <v>0</v>
      </c>
      <c r="O66" s="289">
        <f t="shared" si="27"/>
        <v>649</v>
      </c>
      <c r="P66" s="289">
        <v>987</v>
      </c>
      <c r="Q66" s="327">
        <f t="shared" si="28"/>
        <v>0</v>
      </c>
      <c r="R66" s="326">
        <v>921</v>
      </c>
      <c r="S66" s="326">
        <v>39</v>
      </c>
      <c r="T66" s="326">
        <v>85</v>
      </c>
      <c r="U66" s="2"/>
      <c r="V66" s="2"/>
      <c r="W66" s="2"/>
      <c r="X66" s="2"/>
      <c r="Y66" s="2"/>
      <c r="Z66" s="2"/>
      <c r="AA66" s="2"/>
      <c r="AB66" s="2"/>
      <c r="AC66" s="2"/>
      <c r="AD66" s="2"/>
      <c r="AE66" s="2"/>
      <c r="AF66" s="2"/>
      <c r="AG66" s="2"/>
      <c r="AH66" s="2"/>
    </row>
    <row r="67" spans="1:34" x14ac:dyDescent="0.2">
      <c r="A67" s="15" t="s">
        <v>56</v>
      </c>
      <c r="B67" s="272">
        <v>0</v>
      </c>
      <c r="C67" s="272">
        <v>0</v>
      </c>
      <c r="D67" s="272">
        <v>0</v>
      </c>
      <c r="E67" s="272">
        <v>0</v>
      </c>
      <c r="F67" s="272">
        <v>0</v>
      </c>
      <c r="G67" s="205">
        <v>0</v>
      </c>
      <c r="H67" s="205">
        <v>0</v>
      </c>
      <c r="I67" s="205">
        <v>0</v>
      </c>
      <c r="J67" s="205">
        <f t="shared" si="26"/>
        <v>0</v>
      </c>
      <c r="K67" s="205">
        <v>0</v>
      </c>
      <c r="L67" s="205">
        <v>0</v>
      </c>
      <c r="M67" s="205">
        <v>0</v>
      </c>
      <c r="N67" s="205">
        <v>0</v>
      </c>
      <c r="O67" s="205">
        <f t="shared" si="27"/>
        <v>0</v>
      </c>
      <c r="P67" s="205">
        <v>0</v>
      </c>
      <c r="Q67" s="327">
        <f t="shared" si="28"/>
        <v>0</v>
      </c>
      <c r="R67" s="205">
        <v>0</v>
      </c>
      <c r="S67" s="205">
        <v>0</v>
      </c>
      <c r="T67" s="205">
        <v>0</v>
      </c>
      <c r="U67" s="2"/>
      <c r="V67" s="2"/>
      <c r="W67" s="2"/>
      <c r="X67" s="2"/>
      <c r="Y67" s="2"/>
      <c r="Z67" s="2"/>
      <c r="AA67" s="2"/>
      <c r="AB67" s="2"/>
      <c r="AC67" s="2"/>
      <c r="AD67" s="2"/>
      <c r="AE67" s="2"/>
      <c r="AF67" s="2"/>
      <c r="AG67" s="2"/>
      <c r="AH67" s="2"/>
    </row>
    <row r="68" spans="1:34" ht="25.5" x14ac:dyDescent="0.2">
      <c r="A68" s="20" t="s">
        <v>139</v>
      </c>
      <c r="B68" s="272">
        <v>0</v>
      </c>
      <c r="C68" s="272">
        <v>0</v>
      </c>
      <c r="D68" s="272">
        <v>0</v>
      </c>
      <c r="E68" s="272">
        <v>0</v>
      </c>
      <c r="F68" s="272">
        <v>0</v>
      </c>
      <c r="G68" s="205">
        <v>0</v>
      </c>
      <c r="H68" s="205">
        <v>0</v>
      </c>
      <c r="I68" s="205">
        <v>0</v>
      </c>
      <c r="J68" s="205">
        <f t="shared" si="26"/>
        <v>0</v>
      </c>
      <c r="K68" s="205">
        <v>0</v>
      </c>
      <c r="L68" s="205">
        <v>0</v>
      </c>
      <c r="M68" s="205">
        <v>0</v>
      </c>
      <c r="N68" s="205">
        <v>0</v>
      </c>
      <c r="O68" s="205">
        <f t="shared" si="27"/>
        <v>0</v>
      </c>
      <c r="P68" s="205">
        <v>0</v>
      </c>
      <c r="Q68" s="327">
        <f t="shared" si="28"/>
        <v>0</v>
      </c>
      <c r="R68" s="205">
        <v>0</v>
      </c>
      <c r="S68" s="205">
        <v>0</v>
      </c>
      <c r="T68" s="205">
        <v>0</v>
      </c>
      <c r="U68" s="2"/>
      <c r="V68" s="2"/>
      <c r="W68" s="2"/>
      <c r="X68" s="2"/>
      <c r="Y68" s="2"/>
      <c r="Z68" s="2"/>
      <c r="AA68" s="2"/>
      <c r="AB68" s="2"/>
      <c r="AC68" s="2"/>
      <c r="AD68" s="2"/>
      <c r="AE68" s="2"/>
      <c r="AF68" s="2"/>
      <c r="AG68" s="2"/>
      <c r="AH68" s="2"/>
    </row>
    <row r="69" spans="1:34" x14ac:dyDescent="0.2">
      <c r="A69" s="15" t="s">
        <v>123</v>
      </c>
      <c r="B69" s="272">
        <v>0</v>
      </c>
      <c r="C69" s="272">
        <v>0</v>
      </c>
      <c r="D69" s="272">
        <v>0</v>
      </c>
      <c r="E69" s="272">
        <v>0</v>
      </c>
      <c r="F69" s="272">
        <v>0</v>
      </c>
      <c r="G69" s="205">
        <v>0</v>
      </c>
      <c r="H69" s="205">
        <v>0</v>
      </c>
      <c r="I69" s="205">
        <v>0</v>
      </c>
      <c r="J69" s="205">
        <f t="shared" si="26"/>
        <v>0</v>
      </c>
      <c r="K69" s="205">
        <v>0</v>
      </c>
      <c r="L69" s="205">
        <v>0</v>
      </c>
      <c r="M69" s="205">
        <v>0</v>
      </c>
      <c r="N69" s="205">
        <v>0</v>
      </c>
      <c r="O69" s="205">
        <f t="shared" si="27"/>
        <v>0</v>
      </c>
      <c r="P69" s="205">
        <v>0</v>
      </c>
      <c r="Q69" s="327">
        <f t="shared" si="28"/>
        <v>0</v>
      </c>
      <c r="R69" s="205">
        <v>0</v>
      </c>
      <c r="S69" s="205">
        <v>0</v>
      </c>
      <c r="T69" s="205">
        <v>0</v>
      </c>
      <c r="U69" s="2"/>
      <c r="V69" s="2"/>
      <c r="W69" s="2"/>
      <c r="X69" s="2"/>
      <c r="Y69" s="2"/>
      <c r="Z69" s="2"/>
      <c r="AA69" s="2"/>
      <c r="AB69" s="2"/>
      <c r="AC69" s="2"/>
      <c r="AD69" s="2"/>
      <c r="AE69" s="2"/>
      <c r="AF69" s="2"/>
      <c r="AG69" s="2"/>
      <c r="AH69" s="2"/>
    </row>
    <row r="70" spans="1:34" x14ac:dyDescent="0.2">
      <c r="A70" s="15" t="s">
        <v>156</v>
      </c>
      <c r="B70" s="272">
        <v>0</v>
      </c>
      <c r="C70" s="272">
        <v>0</v>
      </c>
      <c r="D70" s="272">
        <v>0</v>
      </c>
      <c r="E70" s="272">
        <v>0</v>
      </c>
      <c r="F70" s="272">
        <v>0</v>
      </c>
      <c r="G70" s="205">
        <v>0</v>
      </c>
      <c r="H70" s="205">
        <v>0</v>
      </c>
      <c r="I70" s="205">
        <v>0</v>
      </c>
      <c r="J70" s="205">
        <f t="shared" si="26"/>
        <v>0</v>
      </c>
      <c r="K70" s="205">
        <v>0</v>
      </c>
      <c r="L70" s="205">
        <v>0</v>
      </c>
      <c r="M70" s="205">
        <v>0</v>
      </c>
      <c r="N70" s="205">
        <v>0</v>
      </c>
      <c r="O70" s="205">
        <f t="shared" si="27"/>
        <v>0</v>
      </c>
      <c r="P70" s="205">
        <v>0</v>
      </c>
      <c r="Q70" s="327">
        <f t="shared" si="28"/>
        <v>0</v>
      </c>
      <c r="R70" s="205">
        <v>0</v>
      </c>
      <c r="S70" s="205">
        <v>0</v>
      </c>
      <c r="T70" s="205">
        <v>0</v>
      </c>
      <c r="U70" s="2"/>
      <c r="V70" s="2"/>
      <c r="W70" s="2"/>
      <c r="X70" s="2"/>
      <c r="Y70" s="2"/>
      <c r="Z70" s="2"/>
      <c r="AA70" s="2"/>
      <c r="AB70" s="2"/>
      <c r="AC70" s="2"/>
      <c r="AD70" s="2"/>
      <c r="AE70" s="2"/>
      <c r="AF70" s="2"/>
      <c r="AG70" s="2"/>
      <c r="AH70" s="2"/>
    </row>
    <row r="71" spans="1:34" x14ac:dyDescent="0.2">
      <c r="A71" s="15" t="s">
        <v>44</v>
      </c>
      <c r="B71" s="272">
        <v>-11913</v>
      </c>
      <c r="C71" s="272">
        <v>-11419</v>
      </c>
      <c r="D71" s="272">
        <v>-9004</v>
      </c>
      <c r="E71" s="272">
        <v>-11118</v>
      </c>
      <c r="F71" s="272">
        <v>-43454</v>
      </c>
      <c r="G71" s="251">
        <v>-13504</v>
      </c>
      <c r="H71" s="251">
        <v>-9632</v>
      </c>
      <c r="I71" s="251">
        <v>-9657</v>
      </c>
      <c r="J71" s="251">
        <f t="shared" si="26"/>
        <v>-10316</v>
      </c>
      <c r="K71" s="289">
        <v>-43109</v>
      </c>
      <c r="L71" s="289">
        <v>-15408</v>
      </c>
      <c r="M71" s="289">
        <v>-12130</v>
      </c>
      <c r="N71" s="289">
        <v>-8346</v>
      </c>
      <c r="O71" s="289">
        <f t="shared" si="27"/>
        <v>-5480</v>
      </c>
      <c r="P71" s="289">
        <v>-41364</v>
      </c>
      <c r="Q71" s="327">
        <f t="shared" si="28"/>
        <v>0</v>
      </c>
      <c r="R71" s="326">
        <v>-13995</v>
      </c>
      <c r="S71" s="326">
        <v>0</v>
      </c>
      <c r="T71" s="326">
        <v>-24906</v>
      </c>
      <c r="U71" s="2"/>
      <c r="V71" s="2"/>
      <c r="W71" s="2"/>
      <c r="X71" s="2"/>
      <c r="Y71" s="2"/>
      <c r="Z71" s="2"/>
      <c r="AA71" s="2"/>
      <c r="AB71" s="2"/>
      <c r="AC71" s="2"/>
      <c r="AD71" s="2"/>
      <c r="AE71" s="2"/>
      <c r="AF71" s="2"/>
      <c r="AG71" s="2"/>
      <c r="AH71" s="2"/>
    </row>
    <row r="72" spans="1:34" x14ac:dyDescent="0.2">
      <c r="A72" s="54" t="s">
        <v>80</v>
      </c>
      <c r="B72" s="274">
        <f t="shared" ref="B72:F72" si="29">SUM(B57:B71)</f>
        <v>-11765</v>
      </c>
      <c r="C72" s="274">
        <f t="shared" si="29"/>
        <v>-9883</v>
      </c>
      <c r="D72" s="274">
        <f t="shared" si="29"/>
        <v>-6546</v>
      </c>
      <c r="E72" s="274">
        <f t="shared" si="29"/>
        <v>7719</v>
      </c>
      <c r="F72" s="274">
        <f t="shared" si="29"/>
        <v>-20475</v>
      </c>
      <c r="G72" s="192">
        <f t="shared" ref="G72" si="30">SUM(G57:G71)</f>
        <v>-6151</v>
      </c>
      <c r="H72" s="192">
        <f t="shared" ref="H72:I72" si="31">SUM(H57:H71)</f>
        <v>-9702</v>
      </c>
      <c r="I72" s="192">
        <f t="shared" si="31"/>
        <v>223956</v>
      </c>
      <c r="J72" s="192">
        <f t="shared" ref="J72:K72" si="32">SUM(J57:J71)</f>
        <v>-10324</v>
      </c>
      <c r="K72" s="192">
        <f t="shared" si="32"/>
        <v>197779</v>
      </c>
      <c r="L72" s="192">
        <f t="shared" ref="L72:M72" si="33">SUM(L57:L71)</f>
        <v>19808</v>
      </c>
      <c r="M72" s="192">
        <f t="shared" si="33"/>
        <v>-80922</v>
      </c>
      <c r="N72" s="192">
        <f t="shared" ref="N72:O72" si="34">SUM(N57:N71)</f>
        <v>-16586</v>
      </c>
      <c r="O72" s="192">
        <f t="shared" si="34"/>
        <v>-15377</v>
      </c>
      <c r="P72" s="330">
        <f>SUM(P57:P71)</f>
        <v>-93077</v>
      </c>
      <c r="Q72" s="327">
        <f t="shared" si="28"/>
        <v>0</v>
      </c>
      <c r="R72" s="341">
        <f>SUM(R57:R71)</f>
        <v>86658</v>
      </c>
      <c r="S72" s="341">
        <f>SUM(S57:S71)</f>
        <v>-100027</v>
      </c>
      <c r="T72" s="341">
        <f>SUM(T57:T71)</f>
        <v>-35060</v>
      </c>
      <c r="U72" s="2"/>
      <c r="V72" s="2"/>
      <c r="W72" s="2"/>
      <c r="X72" s="2"/>
      <c r="Y72" s="2"/>
      <c r="Z72" s="2"/>
      <c r="AA72" s="2"/>
      <c r="AB72" s="2"/>
      <c r="AC72" s="2"/>
      <c r="AD72" s="2"/>
      <c r="AE72" s="2"/>
      <c r="AF72" s="2"/>
      <c r="AG72" s="2"/>
      <c r="AH72" s="2"/>
    </row>
    <row r="73" spans="1:34" x14ac:dyDescent="0.2">
      <c r="A73" s="55" t="s">
        <v>81</v>
      </c>
      <c r="B73" s="278"/>
      <c r="C73" s="278"/>
      <c r="D73" s="278"/>
      <c r="E73" s="278"/>
      <c r="F73" s="278"/>
      <c r="G73" s="193"/>
      <c r="H73" s="193"/>
      <c r="I73" s="193"/>
      <c r="J73" s="193"/>
      <c r="K73" s="193"/>
      <c r="L73" s="193"/>
      <c r="M73" s="193"/>
      <c r="N73" s="193"/>
      <c r="O73" s="193"/>
      <c r="P73" s="193"/>
      <c r="Q73" s="2"/>
      <c r="R73" s="342"/>
      <c r="S73" s="342"/>
      <c r="T73" s="342"/>
      <c r="U73" s="2"/>
      <c r="V73" s="2"/>
      <c r="W73" s="2"/>
      <c r="X73" s="2"/>
      <c r="Y73" s="2"/>
      <c r="Z73" s="2"/>
      <c r="AA73" s="2"/>
      <c r="AB73" s="2"/>
      <c r="AC73" s="2"/>
      <c r="AD73" s="2"/>
      <c r="AE73" s="2"/>
      <c r="AF73" s="2"/>
      <c r="AG73" s="2"/>
      <c r="AH73" s="2"/>
    </row>
    <row r="74" spans="1:34" x14ac:dyDescent="0.2">
      <c r="A74" s="17" t="s">
        <v>21</v>
      </c>
      <c r="B74" s="271"/>
      <c r="C74" s="271"/>
      <c r="D74" s="271"/>
      <c r="E74" s="271"/>
      <c r="F74" s="271"/>
      <c r="G74" s="195"/>
      <c r="H74" s="195"/>
      <c r="I74" s="195"/>
      <c r="J74" s="195"/>
      <c r="K74" s="195"/>
      <c r="L74" s="195"/>
      <c r="M74" s="195"/>
      <c r="N74" s="319"/>
      <c r="O74" s="319"/>
      <c r="P74" s="319"/>
      <c r="Q74" s="2"/>
      <c r="R74" s="343"/>
      <c r="S74" s="343"/>
      <c r="T74" s="343"/>
      <c r="U74" s="2"/>
      <c r="V74" s="2"/>
      <c r="W74" s="2"/>
      <c r="X74" s="2"/>
      <c r="Y74" s="2"/>
      <c r="Z74" s="2"/>
      <c r="AA74" s="2"/>
      <c r="AB74" s="2"/>
      <c r="AC74" s="2"/>
      <c r="AD74" s="2"/>
      <c r="AE74" s="2"/>
      <c r="AF74" s="2"/>
      <c r="AG74" s="2"/>
      <c r="AH74" s="2"/>
    </row>
    <row r="75" spans="1:34" x14ac:dyDescent="0.2">
      <c r="A75" s="53" t="s">
        <v>76</v>
      </c>
      <c r="B75" s="276">
        <f t="shared" ref="B75:F75" si="35">SUM(B72:B73)</f>
        <v>-11765</v>
      </c>
      <c r="C75" s="276">
        <f t="shared" si="35"/>
        <v>-9883</v>
      </c>
      <c r="D75" s="276">
        <f t="shared" si="35"/>
        <v>-6546</v>
      </c>
      <c r="E75" s="276">
        <f t="shared" si="35"/>
        <v>7719</v>
      </c>
      <c r="F75" s="276">
        <f t="shared" si="35"/>
        <v>-20475</v>
      </c>
      <c r="G75" s="194">
        <f t="shared" ref="G75" si="36">SUM(G72:G73)</f>
        <v>-6151</v>
      </c>
      <c r="H75" s="194">
        <f t="shared" ref="H75:I75" si="37">SUM(H72:H73)</f>
        <v>-9702</v>
      </c>
      <c r="I75" s="194">
        <f t="shared" si="37"/>
        <v>223956</v>
      </c>
      <c r="J75" s="194">
        <f t="shared" ref="J75:K75" si="38">SUM(J72:J73)</f>
        <v>-10324</v>
      </c>
      <c r="K75" s="194">
        <f t="shared" si="38"/>
        <v>197779</v>
      </c>
      <c r="L75" s="194">
        <f t="shared" ref="L75:M75" si="39">SUM(L72:L73)</f>
        <v>19808</v>
      </c>
      <c r="M75" s="194">
        <f t="shared" si="39"/>
        <v>-80922</v>
      </c>
      <c r="N75" s="194">
        <f t="shared" ref="N75:O75" si="40">SUM(N72:N73)</f>
        <v>-16586</v>
      </c>
      <c r="O75" s="194">
        <f t="shared" si="40"/>
        <v>-15377</v>
      </c>
      <c r="P75" s="194">
        <f t="shared" ref="P75:S75" si="41">SUM(P72:P73)</f>
        <v>-93077</v>
      </c>
      <c r="Q75" s="2"/>
      <c r="R75" s="194">
        <f>SUM(R72:R73)</f>
        <v>86658</v>
      </c>
      <c r="S75" s="194">
        <f t="shared" si="41"/>
        <v>-100027</v>
      </c>
      <c r="T75" s="194">
        <f t="shared" ref="T75" si="42">SUM(T72:T73)</f>
        <v>-35060</v>
      </c>
      <c r="U75" s="2"/>
      <c r="V75" s="2"/>
      <c r="W75" s="2"/>
      <c r="X75" s="2"/>
      <c r="Y75" s="2"/>
      <c r="Z75" s="2"/>
      <c r="AA75" s="2"/>
      <c r="AB75" s="2"/>
      <c r="AC75" s="2"/>
      <c r="AD75" s="2"/>
      <c r="AE75" s="2"/>
      <c r="AF75" s="2"/>
      <c r="AG75" s="2"/>
      <c r="AH75" s="2"/>
    </row>
    <row r="76" spans="1:34" x14ac:dyDescent="0.2">
      <c r="A76" s="16"/>
      <c r="B76" s="270"/>
      <c r="C76" s="270"/>
      <c r="D76" s="270"/>
      <c r="E76" s="270"/>
      <c r="F76" s="270"/>
      <c r="G76" s="195"/>
      <c r="H76" s="195"/>
      <c r="I76" s="195"/>
      <c r="J76" s="195"/>
      <c r="K76" s="289"/>
      <c r="L76" s="289"/>
      <c r="M76" s="289"/>
      <c r="N76" s="289"/>
      <c r="O76" s="289"/>
      <c r="P76" s="289"/>
      <c r="Q76" s="2"/>
      <c r="R76" s="326"/>
      <c r="S76" s="326"/>
      <c r="T76" s="326"/>
      <c r="U76" s="2"/>
      <c r="V76" s="2"/>
      <c r="W76" s="2"/>
      <c r="X76" s="2"/>
      <c r="Y76" s="2"/>
      <c r="Z76" s="2"/>
      <c r="AA76" s="2"/>
      <c r="AB76" s="2"/>
      <c r="AC76" s="2"/>
      <c r="AD76" s="2"/>
      <c r="AE76" s="2"/>
      <c r="AF76" s="2"/>
      <c r="AG76" s="2"/>
      <c r="AH76" s="2"/>
    </row>
    <row r="77" spans="1:34" x14ac:dyDescent="0.2">
      <c r="A77" s="16" t="s">
        <v>57</v>
      </c>
      <c r="B77" s="273">
        <v>469</v>
      </c>
      <c r="C77" s="273">
        <v>1110</v>
      </c>
      <c r="D77" s="273">
        <v>224</v>
      </c>
      <c r="E77" s="273">
        <v>2132</v>
      </c>
      <c r="F77" s="273">
        <v>3935</v>
      </c>
      <c r="G77" s="196">
        <v>-644</v>
      </c>
      <c r="H77" s="196">
        <v>-1938</v>
      </c>
      <c r="I77" s="196">
        <v>-426</v>
      </c>
      <c r="J77" s="205">
        <f t="shared" ref="J77" si="43">+K77-SUM(G77:I77)</f>
        <v>140</v>
      </c>
      <c r="K77" s="289">
        <v>-2868</v>
      </c>
      <c r="L77" s="289">
        <v>-455</v>
      </c>
      <c r="M77" s="289">
        <v>215</v>
      </c>
      <c r="N77" s="289">
        <v>-1521</v>
      </c>
      <c r="O77" s="205">
        <f>+P77-SUM(L77:N77)</f>
        <v>716</v>
      </c>
      <c r="P77" s="289">
        <v>-1045</v>
      </c>
      <c r="Q77" s="327">
        <f>SUM(L77:O77)-P77</f>
        <v>0</v>
      </c>
      <c r="R77" s="326">
        <v>-2653</v>
      </c>
      <c r="S77" s="326">
        <v>-220</v>
      </c>
      <c r="T77" s="326">
        <v>2893</v>
      </c>
      <c r="U77" s="2"/>
      <c r="V77" s="2"/>
      <c r="W77" s="2"/>
      <c r="X77" s="2"/>
      <c r="Y77" s="2"/>
      <c r="Z77" s="2"/>
      <c r="AA77" s="2"/>
      <c r="AB77" s="2"/>
      <c r="AC77" s="2"/>
      <c r="AD77" s="2"/>
      <c r="AE77" s="2"/>
      <c r="AF77" s="2"/>
      <c r="AG77" s="2"/>
      <c r="AH77" s="2"/>
    </row>
    <row r="78" spans="1:34" x14ac:dyDescent="0.2">
      <c r="A78" s="17" t="s">
        <v>21</v>
      </c>
      <c r="B78" s="270"/>
      <c r="C78" s="270"/>
      <c r="D78" s="270"/>
      <c r="E78" s="270"/>
      <c r="F78" s="270"/>
      <c r="G78" s="195"/>
      <c r="H78" s="195"/>
      <c r="I78" s="195"/>
      <c r="J78" s="195"/>
      <c r="K78" s="289"/>
      <c r="L78" s="289"/>
      <c r="M78" s="289"/>
      <c r="N78" s="289"/>
      <c r="O78" s="289"/>
      <c r="P78" s="289"/>
      <c r="Q78" s="2"/>
      <c r="R78" s="326"/>
      <c r="S78" s="326"/>
      <c r="T78" s="326"/>
      <c r="U78" s="2"/>
      <c r="V78" s="2"/>
      <c r="W78" s="2"/>
      <c r="X78" s="2"/>
      <c r="Y78" s="2"/>
      <c r="Z78" s="2"/>
      <c r="AA78" s="2"/>
      <c r="AB78" s="2"/>
      <c r="AC78" s="2"/>
      <c r="AD78" s="2"/>
      <c r="AE78" s="2"/>
      <c r="AF78" s="2"/>
      <c r="AG78" s="2"/>
      <c r="AH78" s="2"/>
    </row>
    <row r="79" spans="1:34" x14ac:dyDescent="0.2">
      <c r="A79" s="13" t="s">
        <v>116</v>
      </c>
      <c r="B79" s="271">
        <f t="shared" ref="B79:F79" si="44">B75+B54+B41+B77</f>
        <v>-122345.83199999999</v>
      </c>
      <c r="C79" s="271">
        <f t="shared" si="44"/>
        <v>-3044.5344994285697</v>
      </c>
      <c r="D79" s="271">
        <f t="shared" si="44"/>
        <v>-1715.9707400000043</v>
      </c>
      <c r="E79" s="271">
        <f t="shared" si="44"/>
        <v>989.33723942856886</v>
      </c>
      <c r="F79" s="271">
        <f t="shared" si="44"/>
        <v>-126117</v>
      </c>
      <c r="G79" s="197">
        <f t="shared" ref="G79:M79" si="45">G75+G54+G41+G77</f>
        <v>-17812</v>
      </c>
      <c r="H79" s="197">
        <f t="shared" si="45"/>
        <v>13527</v>
      </c>
      <c r="I79" s="197">
        <f t="shared" si="45"/>
        <v>15822</v>
      </c>
      <c r="J79" s="197">
        <f t="shared" si="45"/>
        <v>-1682.5240648213221</v>
      </c>
      <c r="K79" s="197">
        <f t="shared" si="45"/>
        <v>9854.4759351786925</v>
      </c>
      <c r="L79" s="197">
        <f t="shared" si="45"/>
        <v>-9504.3735648213187</v>
      </c>
      <c r="M79" s="197">
        <f t="shared" si="45"/>
        <v>-3180.1717051786763</v>
      </c>
      <c r="N79" s="197">
        <f t="shared" ref="N79:O79" si="46">N75+N54+N41+N77</f>
        <v>17837.828320000001</v>
      </c>
      <c r="O79" s="197">
        <f t="shared" si="46"/>
        <v>17759.716950000002</v>
      </c>
      <c r="P79" s="197">
        <f t="shared" ref="P79:S79" si="47">P75+P54+P41+P77</f>
        <v>22913</v>
      </c>
      <c r="Q79" s="2"/>
      <c r="R79" s="344">
        <f>R75+R54+R41+R77</f>
        <v>106490</v>
      </c>
      <c r="S79" s="344">
        <f t="shared" si="47"/>
        <v>-62759</v>
      </c>
      <c r="T79" s="344">
        <f t="shared" ref="T79" si="48">T75+T54+T41+T77</f>
        <v>45237</v>
      </c>
      <c r="U79" s="2"/>
      <c r="V79" s="2"/>
      <c r="W79" s="2"/>
      <c r="X79" s="2"/>
      <c r="Y79" s="2"/>
      <c r="Z79" s="2"/>
      <c r="AA79" s="2"/>
      <c r="AB79" s="2"/>
      <c r="AC79" s="2"/>
      <c r="AD79" s="2"/>
      <c r="AE79" s="2"/>
      <c r="AF79" s="2"/>
      <c r="AG79" s="2"/>
      <c r="AH79" s="2"/>
    </row>
    <row r="80" spans="1:34" x14ac:dyDescent="0.2">
      <c r="A80" s="37" t="s">
        <v>117</v>
      </c>
      <c r="B80" s="272">
        <v>220394</v>
      </c>
      <c r="C80" s="272">
        <v>98048.168000000005</v>
      </c>
      <c r="D80" s="272">
        <v>95003.633500571435</v>
      </c>
      <c r="E80" s="272">
        <v>93287.662760571431</v>
      </c>
      <c r="F80" s="272">
        <v>220394</v>
      </c>
      <c r="G80" s="198">
        <f>F82</f>
        <v>94277</v>
      </c>
      <c r="H80" s="198">
        <f>G84</f>
        <v>76465</v>
      </c>
      <c r="I80" s="198">
        <f>H84</f>
        <v>89992</v>
      </c>
      <c r="J80" s="198">
        <f>I84</f>
        <v>105814</v>
      </c>
      <c r="K80" s="198">
        <f>F82</f>
        <v>94277</v>
      </c>
      <c r="L80" s="198">
        <f>J82</f>
        <v>104131.47593517868</v>
      </c>
      <c r="M80" s="198">
        <f>L82</f>
        <v>94627.102370357359</v>
      </c>
      <c r="N80" s="320">
        <f>M82</f>
        <v>91446.93066517869</v>
      </c>
      <c r="O80" s="320">
        <f>N82</f>
        <v>109284.75898517869</v>
      </c>
      <c r="P80" s="320">
        <f>Cashflow!$J$82</f>
        <v>104131.47593517868</v>
      </c>
      <c r="Q80" s="2"/>
      <c r="R80" s="345">
        <f>O82</f>
        <v>127044.47593517869</v>
      </c>
      <c r="S80" s="345">
        <f>R82</f>
        <v>233534.47593517869</v>
      </c>
      <c r="T80" s="345">
        <f>S82</f>
        <v>170775.47593517869</v>
      </c>
      <c r="U80" s="2"/>
      <c r="V80" s="2"/>
      <c r="W80" s="2"/>
      <c r="X80" s="2"/>
      <c r="Y80" s="2"/>
      <c r="Z80" s="2"/>
      <c r="AA80" s="2"/>
      <c r="AB80" s="2"/>
      <c r="AC80" s="2"/>
      <c r="AD80" s="2"/>
      <c r="AE80" s="2"/>
      <c r="AF80" s="2"/>
      <c r="AG80" s="2"/>
      <c r="AH80" s="2"/>
    </row>
    <row r="81" spans="1:34" x14ac:dyDescent="0.2">
      <c r="A81" s="37" t="s">
        <v>157</v>
      </c>
      <c r="B81" s="272"/>
      <c r="C81" s="272"/>
      <c r="D81" s="272"/>
      <c r="E81" s="272"/>
      <c r="F81" s="272"/>
      <c r="G81" s="195"/>
      <c r="H81" s="195"/>
      <c r="I81" s="195"/>
      <c r="J81" s="195"/>
      <c r="K81" s="195"/>
      <c r="L81" s="195"/>
      <c r="M81" s="195"/>
      <c r="N81" s="319"/>
      <c r="O81" s="319"/>
      <c r="P81" s="319"/>
      <c r="Q81" s="2"/>
      <c r="R81" s="343"/>
      <c r="S81" s="343"/>
      <c r="T81" s="343"/>
      <c r="U81" s="2"/>
      <c r="V81" s="2"/>
      <c r="W81" s="2"/>
      <c r="X81" s="2"/>
      <c r="Y81" s="2"/>
      <c r="Z81" s="2"/>
      <c r="AA81" s="2"/>
      <c r="AB81" s="2"/>
      <c r="AC81" s="2"/>
      <c r="AD81" s="2"/>
      <c r="AE81" s="2"/>
      <c r="AF81" s="2"/>
      <c r="AG81" s="2"/>
      <c r="AH81" s="2"/>
    </row>
    <row r="82" spans="1:34" x14ac:dyDescent="0.2">
      <c r="A82" s="37" t="s">
        <v>45</v>
      </c>
      <c r="B82" s="272">
        <v>98048.168000000005</v>
      </c>
      <c r="C82" s="272">
        <v>95003.633500571435</v>
      </c>
      <c r="D82" s="272">
        <v>93287.662760571431</v>
      </c>
      <c r="E82" s="272">
        <v>94277</v>
      </c>
      <c r="F82" s="272">
        <v>94277</v>
      </c>
      <c r="G82" s="199">
        <f t="shared" ref="G82:H82" si="49">SUM(G79:G81)</f>
        <v>76465</v>
      </c>
      <c r="H82" s="199">
        <f t="shared" si="49"/>
        <v>89992</v>
      </c>
      <c r="I82" s="199">
        <f t="shared" ref="I82:J82" si="50">SUM(I79:I81)</f>
        <v>105814</v>
      </c>
      <c r="J82" s="199">
        <f t="shared" si="50"/>
        <v>104131.47593517868</v>
      </c>
      <c r="K82" s="199">
        <f t="shared" ref="K82:M82" si="51">SUM(K79:K81)</f>
        <v>104131.47593517869</v>
      </c>
      <c r="L82" s="199">
        <f t="shared" si="51"/>
        <v>94627.102370357359</v>
      </c>
      <c r="M82" s="199">
        <f t="shared" si="51"/>
        <v>91446.93066517869</v>
      </c>
      <c r="N82" s="199">
        <f t="shared" ref="N82:O82" si="52">SUM(N79:N81)</f>
        <v>109284.75898517869</v>
      </c>
      <c r="O82" s="199">
        <f t="shared" si="52"/>
        <v>127044.47593517869</v>
      </c>
      <c r="P82" s="199">
        <f t="shared" ref="P82:S82" si="53">SUM(P79:P81)</f>
        <v>127044.47593517868</v>
      </c>
      <c r="Q82" s="2"/>
      <c r="R82" s="346">
        <f>SUM(R79:R81)</f>
        <v>233534.47593517869</v>
      </c>
      <c r="S82" s="346">
        <f t="shared" si="53"/>
        <v>170775.47593517869</v>
      </c>
      <c r="T82" s="346">
        <f t="shared" ref="T82" si="54">SUM(T79:T81)</f>
        <v>216012.47593517869</v>
      </c>
      <c r="U82" s="2"/>
      <c r="V82" s="2"/>
      <c r="W82" s="2"/>
      <c r="X82" s="2"/>
      <c r="Y82" s="2"/>
      <c r="Z82" s="2"/>
      <c r="AA82" s="2"/>
      <c r="AB82" s="2"/>
      <c r="AC82" s="2"/>
      <c r="AD82" s="2"/>
      <c r="AE82" s="2"/>
      <c r="AF82" s="2"/>
      <c r="AG82" s="2"/>
      <c r="AH82" s="2"/>
    </row>
    <row r="83" spans="1:34" x14ac:dyDescent="0.2">
      <c r="A83" s="16" t="s">
        <v>118</v>
      </c>
      <c r="B83" s="226"/>
      <c r="C83" s="226">
        <v>0</v>
      </c>
      <c r="D83" s="226">
        <v>0</v>
      </c>
      <c r="E83" s="226">
        <v>0</v>
      </c>
      <c r="F83" s="226">
        <v>0</v>
      </c>
      <c r="G83" s="209">
        <v>0</v>
      </c>
      <c r="H83" s="209">
        <v>0</v>
      </c>
      <c r="I83" s="209">
        <v>0</v>
      </c>
      <c r="J83" s="209">
        <v>0</v>
      </c>
      <c r="K83" s="209">
        <v>0</v>
      </c>
      <c r="L83" s="209">
        <v>0</v>
      </c>
      <c r="M83" s="209">
        <v>0</v>
      </c>
      <c r="N83" s="209">
        <v>0</v>
      </c>
      <c r="O83" s="209">
        <v>0</v>
      </c>
      <c r="P83" s="209">
        <v>0</v>
      </c>
      <c r="Q83" s="2"/>
      <c r="R83" s="347">
        <v>0</v>
      </c>
      <c r="S83" s="347">
        <v>0</v>
      </c>
      <c r="T83" s="347">
        <v>0</v>
      </c>
      <c r="U83" s="2"/>
      <c r="V83" s="2"/>
      <c r="W83" s="2"/>
      <c r="X83" s="2"/>
      <c r="Y83" s="2"/>
      <c r="Z83" s="2"/>
      <c r="AA83" s="2"/>
      <c r="AB83" s="2"/>
      <c r="AC83" s="2"/>
      <c r="AD83" s="2"/>
      <c r="AE83" s="2"/>
      <c r="AF83" s="2"/>
      <c r="AG83" s="2"/>
      <c r="AH83" s="2"/>
    </row>
    <row r="84" spans="1:34" x14ac:dyDescent="0.2">
      <c r="A84" s="53" t="s">
        <v>77</v>
      </c>
      <c r="B84" s="276">
        <f t="shared" ref="B84:F84" si="55">SUM(B82:B83)</f>
        <v>98048.168000000005</v>
      </c>
      <c r="C84" s="276">
        <f t="shared" si="55"/>
        <v>95003.633500571435</v>
      </c>
      <c r="D84" s="276">
        <f t="shared" si="55"/>
        <v>93287.662760571431</v>
      </c>
      <c r="E84" s="276">
        <f t="shared" si="55"/>
        <v>94277</v>
      </c>
      <c r="F84" s="276">
        <f t="shared" si="55"/>
        <v>94277</v>
      </c>
      <c r="G84" s="194">
        <f t="shared" ref="G84" si="56">SUM(G82:G83)</f>
        <v>76465</v>
      </c>
      <c r="H84" s="194">
        <f t="shared" ref="H84:I84" si="57">SUM(H82:H83)</f>
        <v>89992</v>
      </c>
      <c r="I84" s="194">
        <f t="shared" si="57"/>
        <v>105814</v>
      </c>
      <c r="J84" s="194">
        <f t="shared" ref="J84:K84" si="58">SUM(J82:J83)</f>
        <v>104131.47593517868</v>
      </c>
      <c r="K84" s="194">
        <f t="shared" si="58"/>
        <v>104131.47593517869</v>
      </c>
      <c r="L84" s="194">
        <f t="shared" ref="L84:M84" si="59">SUM(L82:L83)</f>
        <v>94627.102370357359</v>
      </c>
      <c r="M84" s="194">
        <f t="shared" si="59"/>
        <v>91446.93066517869</v>
      </c>
      <c r="N84" s="194">
        <f t="shared" ref="N84:O84" si="60">SUM(N82:N83)</f>
        <v>109284.75898517869</v>
      </c>
      <c r="O84" s="194">
        <f t="shared" si="60"/>
        <v>127044.47593517869</v>
      </c>
      <c r="P84" s="194">
        <f t="shared" ref="P84:S84" si="61">SUM(P82:P83)</f>
        <v>127044.47593517868</v>
      </c>
      <c r="Q84" s="2"/>
      <c r="R84" s="194">
        <f>SUM(R82:R83)</f>
        <v>233534.47593517869</v>
      </c>
      <c r="S84" s="194">
        <f t="shared" si="61"/>
        <v>170775.47593517869</v>
      </c>
      <c r="T84" s="194">
        <f t="shared" ref="T84" si="62">SUM(T82:T83)</f>
        <v>216012.47593517869</v>
      </c>
      <c r="U84" s="2"/>
      <c r="V84" s="2"/>
      <c r="W84" s="2"/>
      <c r="X84" s="2"/>
      <c r="Y84" s="2"/>
      <c r="Z84" s="2"/>
      <c r="AA84" s="2"/>
      <c r="AB84" s="2"/>
      <c r="AC84" s="2"/>
      <c r="AD84" s="2"/>
      <c r="AE84" s="2"/>
      <c r="AF84" s="2"/>
      <c r="AG84" s="2"/>
      <c r="AH84" s="2"/>
    </row>
    <row r="85" spans="1:34" x14ac:dyDescent="0.2">
      <c r="A85" s="16"/>
      <c r="B85" s="153"/>
      <c r="C85" s="103"/>
      <c r="D85" s="2"/>
      <c r="E85" s="2"/>
      <c r="F85" s="195"/>
      <c r="G85" s="195"/>
      <c r="H85" s="195"/>
      <c r="I85" s="195"/>
      <c r="J85" s="195"/>
      <c r="K85" s="195"/>
      <c r="L85" s="195"/>
      <c r="M85" s="195"/>
      <c r="N85" s="319"/>
      <c r="O85" s="319"/>
      <c r="P85" s="319"/>
      <c r="Q85" s="2"/>
      <c r="R85" s="343"/>
      <c r="S85" s="343"/>
      <c r="T85" s="343"/>
      <c r="U85" s="2"/>
      <c r="V85" s="2"/>
      <c r="W85" s="2"/>
      <c r="X85" s="2"/>
      <c r="Y85" s="2"/>
      <c r="Z85" s="2"/>
      <c r="AA85" s="2"/>
      <c r="AB85" s="2"/>
      <c r="AC85" s="2"/>
      <c r="AD85" s="2"/>
      <c r="AE85" s="2"/>
      <c r="AF85" s="2"/>
      <c r="AG85" s="2"/>
      <c r="AH85" s="2"/>
    </row>
    <row r="86" spans="1:34" x14ac:dyDescent="0.2">
      <c r="B86" s="153"/>
      <c r="C86" s="103"/>
      <c r="D86" s="2"/>
      <c r="E86" s="2"/>
      <c r="F86" s="195"/>
      <c r="G86" s="195"/>
      <c r="H86" s="195"/>
      <c r="I86" s="195"/>
      <c r="J86" s="195"/>
      <c r="K86" s="195"/>
      <c r="L86" s="195"/>
      <c r="M86" s="195"/>
      <c r="N86" s="319"/>
      <c r="O86" s="319"/>
      <c r="P86" s="319"/>
      <c r="Q86" s="2"/>
      <c r="R86" s="343"/>
      <c r="S86" s="343"/>
      <c r="T86" s="343"/>
      <c r="U86" s="2"/>
      <c r="V86" s="2"/>
      <c r="W86" s="2"/>
      <c r="X86" s="2"/>
      <c r="Y86" s="2"/>
      <c r="Z86" s="2"/>
      <c r="AA86" s="2"/>
      <c r="AB86" s="2"/>
      <c r="AC86" s="2"/>
      <c r="AD86" s="2"/>
      <c r="AE86" s="2"/>
      <c r="AF86" s="2"/>
      <c r="AG86" s="2"/>
      <c r="AH86" s="2"/>
    </row>
    <row r="87" spans="1:34" x14ac:dyDescent="0.2">
      <c r="A87" s="2" t="s">
        <v>258</v>
      </c>
      <c r="B87" s="153"/>
      <c r="C87" s="103"/>
      <c r="K87" s="190"/>
      <c r="L87" s="190"/>
      <c r="M87" s="190"/>
      <c r="N87" s="318"/>
      <c r="O87" s="318"/>
      <c r="P87" s="318"/>
      <c r="Q87" s="56"/>
      <c r="R87" s="340"/>
      <c r="S87" s="340"/>
      <c r="T87" s="340"/>
    </row>
    <row r="88" spans="1:34" x14ac:dyDescent="0.2">
      <c r="C88" s="103"/>
      <c r="D88" s="2"/>
      <c r="E88" s="2"/>
      <c r="F88" s="195"/>
      <c r="G88" s="251">
        <f>SUM('Balance Sheet'!G8,'Balance Sheet'!G10,'Balance Sheet'!G19)</f>
        <v>76465</v>
      </c>
      <c r="H88" s="251">
        <f>SUM('Balance Sheet'!H8,'Balance Sheet'!H10,'Balance Sheet'!H19)</f>
        <v>89992</v>
      </c>
      <c r="I88" s="251">
        <f>SUM('Balance Sheet'!I8,'Balance Sheet'!I10,'Balance Sheet'!I19)</f>
        <v>105814</v>
      </c>
      <c r="J88" s="251">
        <f>SUM('Balance Sheet'!J8,'Balance Sheet'!J10,'Balance Sheet'!J19)</f>
        <v>104131</v>
      </c>
      <c r="K88" s="251">
        <f>SUM('Balance Sheet'!J8,'Balance Sheet'!J10,'Balance Sheet'!J19)</f>
        <v>104131</v>
      </c>
      <c r="L88" s="251">
        <f>SUM('Balance Sheet'!K8,'Balance Sheet'!K10,'Balance Sheet'!K19)</f>
        <v>94627</v>
      </c>
      <c r="M88" s="251">
        <f>SUM('Balance Sheet'!L8,'Balance Sheet'!L10,'Balance Sheet'!L19)</f>
        <v>91447</v>
      </c>
      <c r="N88" s="321">
        <f>SUM('Balance Sheet'!M8,'Balance Sheet'!M10,'Balance Sheet'!M19)</f>
        <v>109285</v>
      </c>
      <c r="O88" s="321">
        <f>SUM('Balance Sheet'!N8,'Balance Sheet'!N10,'Balance Sheet'!N19)</f>
        <v>127044</v>
      </c>
      <c r="P88" s="321">
        <f>SUM('Balance Sheet'!N8,'Balance Sheet'!N10,'Balance Sheet'!N19)</f>
        <v>127044</v>
      </c>
      <c r="R88" s="205">
        <f>SUM('Balance Sheet'!O8,'Balance Sheet'!O10,'Balance Sheet'!O19)</f>
        <v>233534</v>
      </c>
      <c r="S88" s="205">
        <f>SUM('Balance Sheet'!P8,'Balance Sheet'!P10,'Balance Sheet'!P19)</f>
        <v>170775</v>
      </c>
      <c r="T88" s="205">
        <f>SUM('Balance Sheet'!Q8,'Balance Sheet'!Q10,'Balance Sheet'!Q19)</f>
        <v>216012</v>
      </c>
      <c r="U88" s="2"/>
      <c r="V88" s="2"/>
      <c r="W88" s="2"/>
      <c r="X88" s="2"/>
      <c r="Y88" s="2"/>
      <c r="Z88" s="2"/>
      <c r="AA88" s="2"/>
      <c r="AB88" s="2"/>
      <c r="AC88" s="2"/>
      <c r="AD88" s="2"/>
      <c r="AE88" s="2"/>
      <c r="AF88" s="2"/>
      <c r="AG88" s="2"/>
      <c r="AH88" s="2"/>
    </row>
    <row r="89" spans="1:34" x14ac:dyDescent="0.2">
      <c r="C89" s="103"/>
      <c r="G89" s="206">
        <f>G84-G88</f>
        <v>0</v>
      </c>
      <c r="H89" s="206">
        <f t="shared" ref="H89:I89" si="63">H84-H88</f>
        <v>0</v>
      </c>
      <c r="I89" s="206">
        <f t="shared" si="63"/>
        <v>0</v>
      </c>
      <c r="J89" s="206">
        <f t="shared" ref="J89:K89" si="64">J84-J88</f>
        <v>0.47593517867790069</v>
      </c>
      <c r="K89" s="206">
        <f t="shared" si="64"/>
        <v>0.47593517869245261</v>
      </c>
      <c r="L89" s="206">
        <f t="shared" ref="L89:M89" si="65">L84-L88</f>
        <v>0.10237035735917743</v>
      </c>
      <c r="M89" s="206">
        <f t="shared" si="65"/>
        <v>-6.9334821309894323E-2</v>
      </c>
      <c r="N89" s="105">
        <f t="shared" ref="N89" si="66">N84-N88</f>
        <v>-0.24101482130936347</v>
      </c>
      <c r="O89" s="105">
        <f>O84-O88</f>
        <v>0.47593517869245261</v>
      </c>
      <c r="P89" s="105">
        <f t="shared" ref="P89:S89" si="67">P84-P88</f>
        <v>0.47593517867790069</v>
      </c>
      <c r="R89" s="284">
        <f>R84-R88</f>
        <v>0.47593517869245261</v>
      </c>
      <c r="S89" s="284">
        <f t="shared" si="67"/>
        <v>0.47593517869245261</v>
      </c>
      <c r="T89" s="284">
        <f t="shared" ref="T89" si="68">T84-T88</f>
        <v>0.47593517869245261</v>
      </c>
    </row>
    <row r="90" spans="1:34" x14ac:dyDescent="0.2">
      <c r="C90" s="103"/>
    </row>
    <row r="91" spans="1:34" x14ac:dyDescent="0.2">
      <c r="C91" s="103"/>
    </row>
    <row r="92" spans="1:34" x14ac:dyDescent="0.2">
      <c r="C92" s="103"/>
    </row>
    <row r="93" spans="1:34" x14ac:dyDescent="0.2">
      <c r="C93" s="103"/>
    </row>
    <row r="94" spans="1:34" x14ac:dyDescent="0.2">
      <c r="C94" s="103"/>
    </row>
    <row r="95" spans="1:34" x14ac:dyDescent="0.2">
      <c r="C95" s="103"/>
    </row>
    <row r="96" spans="1:34" x14ac:dyDescent="0.2">
      <c r="C96" s="103"/>
    </row>
    <row r="97" spans="3:3" x14ac:dyDescent="0.2">
      <c r="C97" s="103"/>
    </row>
    <row r="98" spans="3:3" x14ac:dyDescent="0.2">
      <c r="C98" s="103"/>
    </row>
    <row r="99" spans="3:3" x14ac:dyDescent="0.2">
      <c r="C99" s="103"/>
    </row>
    <row r="100" spans="3:3" x14ac:dyDescent="0.2">
      <c r="C100" s="103"/>
    </row>
  </sheetData>
  <phoneticPr fontId="17" type="noConversion"/>
  <pageMargins left="0.38" right="0.36" top="0.39" bottom="0.46" header="0.3" footer="0.3"/>
  <pageSetup paperSize="5" scale="49" orientation="landscape" r:id="rId1"/>
  <ignoredErrors>
    <ignoredError sqref="J23 J13 J77 O30 O46 O57:O60 O62:O7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104"/>
  <sheetViews>
    <sheetView showGridLines="0" zoomScale="55" zoomScaleNormal="55" workbookViewId="0">
      <pane xSplit="2" ySplit="4" topLeftCell="T5" activePane="bottomRight" state="frozen"/>
      <selection pane="topRight" activeCell="C1" sqref="C1"/>
      <selection pane="bottomLeft" activeCell="A5" sqref="A5"/>
      <selection pane="bottomRight" activeCell="AD2" sqref="AD2"/>
    </sheetView>
  </sheetViews>
  <sheetFormatPr defaultColWidth="9.140625" defaultRowHeight="21" outlineLevelCol="1" x14ac:dyDescent="0.35"/>
  <cols>
    <col min="1" max="1" width="2.42578125" style="160" customWidth="1"/>
    <col min="2" max="2" width="62.42578125" style="163" customWidth="1"/>
    <col min="3" max="5" width="18.28515625" style="163" hidden="1" customWidth="1" outlineLevel="1"/>
    <col min="6" max="6" width="17.28515625" style="163" hidden="1" customWidth="1" outlineLevel="1"/>
    <col min="7" max="7" width="17.28515625" style="163" bestFit="1" customWidth="1" collapsed="1"/>
    <col min="8" max="10" width="17.28515625" style="163" hidden="1" customWidth="1" outlineLevel="1"/>
    <col min="11" max="11" width="18.42578125" style="265" hidden="1" customWidth="1" outlineLevel="1"/>
    <col min="12" max="12" width="16.85546875" style="265" customWidth="1" collapsed="1"/>
    <col min="13" max="15" width="16.85546875" style="265" customWidth="1"/>
    <col min="16" max="16" width="18.5703125" style="265" customWidth="1"/>
    <col min="17" max="22" width="18.42578125" style="265" customWidth="1"/>
    <col min="23" max="23" width="16.28515625" style="265" customWidth="1"/>
    <col min="24" max="26" width="17.5703125" style="163" customWidth="1"/>
    <col min="27" max="27" width="20.85546875" style="163" customWidth="1"/>
    <col min="28" max="30" width="17.5703125" style="163" customWidth="1"/>
    <col min="31" max="31" width="21.7109375" style="163" bestFit="1" customWidth="1"/>
    <col min="32" max="32" width="20.28515625" style="367" customWidth="1"/>
    <col min="33" max="16384" width="9.140625" style="163"/>
  </cols>
  <sheetData>
    <row r="1" spans="1:32" ht="21.75" thickBot="1" x14ac:dyDescent="0.4">
      <c r="A1" s="160" t="s">
        <v>175</v>
      </c>
      <c r="B1" s="161"/>
      <c r="C1" s="162"/>
    </row>
    <row r="2" spans="1:32" ht="21.75" thickBot="1" x14ac:dyDescent="0.4">
      <c r="B2" s="161"/>
      <c r="C2" s="372">
        <v>2017</v>
      </c>
      <c r="D2" s="373"/>
      <c r="E2" s="373"/>
      <c r="F2" s="373"/>
      <c r="G2" s="374"/>
      <c r="R2" s="372">
        <v>2018</v>
      </c>
      <c r="S2" s="373"/>
      <c r="T2" s="373"/>
      <c r="U2" s="373"/>
      <c r="V2" s="374"/>
      <c r="W2" s="372">
        <v>2019</v>
      </c>
      <c r="X2" s="373"/>
      <c r="Y2" s="373"/>
      <c r="Z2" s="373"/>
      <c r="AA2" s="374"/>
    </row>
    <row r="3" spans="1:32" s="304" customFormat="1" ht="24" thickBot="1" x14ac:dyDescent="0.3">
      <c r="A3" s="300"/>
      <c r="B3" s="301"/>
      <c r="C3" s="302" t="s">
        <v>240</v>
      </c>
      <c r="D3" s="302" t="s">
        <v>240</v>
      </c>
      <c r="E3" s="302" t="s">
        <v>240</v>
      </c>
      <c r="F3" s="302" t="s">
        <v>241</v>
      </c>
      <c r="G3" s="303" t="s">
        <v>241</v>
      </c>
      <c r="H3" s="378">
        <v>2018</v>
      </c>
      <c r="I3" s="379"/>
      <c r="J3" s="379"/>
      <c r="K3" s="379"/>
      <c r="L3" s="380"/>
      <c r="M3" s="375">
        <v>2019</v>
      </c>
      <c r="N3" s="376"/>
      <c r="O3" s="376"/>
      <c r="P3" s="376"/>
      <c r="Q3" s="377"/>
      <c r="R3" s="302" t="s">
        <v>234</v>
      </c>
      <c r="S3" s="302" t="s">
        <v>234</v>
      </c>
      <c r="T3" s="302" t="s">
        <v>234</v>
      </c>
      <c r="U3" s="302" t="s">
        <v>234</v>
      </c>
      <c r="V3" s="303" t="s">
        <v>234</v>
      </c>
      <c r="W3" s="302" t="s">
        <v>234</v>
      </c>
      <c r="X3" s="302" t="s">
        <v>234</v>
      </c>
      <c r="Y3" s="302" t="s">
        <v>234</v>
      </c>
      <c r="Z3" s="302" t="s">
        <v>234</v>
      </c>
      <c r="AA3" s="303" t="s">
        <v>234</v>
      </c>
      <c r="AB3" s="333" t="s">
        <v>242</v>
      </c>
      <c r="AC3" s="333" t="s">
        <v>242</v>
      </c>
      <c r="AD3" s="333" t="s">
        <v>242</v>
      </c>
      <c r="AF3" s="368"/>
    </row>
    <row r="4" spans="1:32" x14ac:dyDescent="0.35">
      <c r="A4" s="164"/>
      <c r="B4" s="165"/>
      <c r="C4" s="238" t="s">
        <v>9</v>
      </c>
      <c r="D4" s="238" t="s">
        <v>10</v>
      </c>
      <c r="E4" s="238" t="s">
        <v>11</v>
      </c>
      <c r="F4" s="238" t="s">
        <v>12</v>
      </c>
      <c r="G4" s="238" t="s">
        <v>194</v>
      </c>
      <c r="H4" s="166" t="s">
        <v>9</v>
      </c>
      <c r="I4" s="166" t="s">
        <v>10</v>
      </c>
      <c r="J4" s="166" t="s">
        <v>11</v>
      </c>
      <c r="K4" s="166" t="s">
        <v>12</v>
      </c>
      <c r="L4" s="166" t="s">
        <v>13</v>
      </c>
      <c r="M4" s="166" t="s">
        <v>9</v>
      </c>
      <c r="N4" s="166" t="s">
        <v>10</v>
      </c>
      <c r="O4" s="166" t="s">
        <v>11</v>
      </c>
      <c r="P4" s="166" t="s">
        <v>12</v>
      </c>
      <c r="Q4" s="166" t="s">
        <v>13</v>
      </c>
      <c r="R4" s="238" t="s">
        <v>9</v>
      </c>
      <c r="S4" s="238" t="s">
        <v>10</v>
      </c>
      <c r="T4" s="238" t="s">
        <v>11</v>
      </c>
      <c r="U4" s="238" t="s">
        <v>12</v>
      </c>
      <c r="V4" s="238" t="s">
        <v>233</v>
      </c>
      <c r="W4" s="238" t="s">
        <v>9</v>
      </c>
      <c r="X4" s="238" t="s">
        <v>10</v>
      </c>
      <c r="Y4" s="238" t="s">
        <v>11</v>
      </c>
      <c r="Z4" s="238" t="s">
        <v>12</v>
      </c>
      <c r="AA4" s="238" t="s">
        <v>231</v>
      </c>
      <c r="AB4" s="166" t="s">
        <v>9</v>
      </c>
      <c r="AC4" s="166" t="s">
        <v>10</v>
      </c>
      <c r="AD4" s="166" t="s">
        <v>11</v>
      </c>
    </row>
    <row r="5" spans="1:32" x14ac:dyDescent="0.35">
      <c r="A5" s="167" t="s">
        <v>1</v>
      </c>
      <c r="B5" s="165"/>
      <c r="C5" s="239"/>
      <c r="D5" s="245"/>
      <c r="E5" s="245"/>
      <c r="F5" s="245"/>
      <c r="G5" s="245"/>
      <c r="R5" s="239"/>
      <c r="S5" s="245"/>
      <c r="T5" s="245"/>
      <c r="U5" s="245"/>
      <c r="V5" s="245"/>
      <c r="W5" s="239"/>
      <c r="X5" s="245"/>
      <c r="Y5" s="245"/>
      <c r="Z5" s="245"/>
      <c r="AA5" s="245"/>
      <c r="AB5" s="265"/>
      <c r="AC5" s="265"/>
    </row>
    <row r="6" spans="1:32" hidden="1" x14ac:dyDescent="0.35">
      <c r="A6" s="169"/>
      <c r="B6" s="170" t="s">
        <v>158</v>
      </c>
      <c r="C6" s="240"/>
      <c r="D6" s="240"/>
      <c r="E6" s="244"/>
      <c r="F6" s="244"/>
      <c r="G6" s="244"/>
      <c r="H6" s="178"/>
      <c r="I6" s="178"/>
      <c r="J6" s="178"/>
      <c r="R6" s="240"/>
      <c r="S6" s="240"/>
      <c r="T6" s="244"/>
      <c r="U6" s="244"/>
      <c r="V6" s="244"/>
      <c r="W6" s="240"/>
      <c r="X6" s="240"/>
      <c r="Y6" s="244"/>
      <c r="Z6" s="244"/>
      <c r="AA6" s="244"/>
      <c r="AB6" s="265"/>
      <c r="AC6" s="265"/>
    </row>
    <row r="7" spans="1:32" hidden="1" x14ac:dyDescent="0.35">
      <c r="A7" s="164"/>
      <c r="B7" s="172" t="s">
        <v>149</v>
      </c>
      <c r="C7" s="241"/>
      <c r="D7" s="245"/>
      <c r="E7" s="245"/>
      <c r="F7" s="245"/>
      <c r="G7" s="245"/>
      <c r="R7" s="241"/>
      <c r="S7" s="245"/>
      <c r="T7" s="245"/>
      <c r="U7" s="245"/>
      <c r="V7" s="245"/>
      <c r="W7" s="241"/>
      <c r="X7" s="245"/>
      <c r="Y7" s="245"/>
      <c r="Z7" s="245"/>
      <c r="AA7" s="245"/>
      <c r="AB7" s="265"/>
      <c r="AC7" s="265"/>
    </row>
    <row r="8" spans="1:32" hidden="1" x14ac:dyDescent="0.35">
      <c r="A8" s="164"/>
      <c r="B8" s="172" t="s">
        <v>160</v>
      </c>
      <c r="C8" s="242"/>
      <c r="D8" s="246"/>
      <c r="E8" s="245"/>
      <c r="F8" s="245"/>
      <c r="G8" s="245"/>
      <c r="R8" s="242"/>
      <c r="S8" s="246"/>
      <c r="T8" s="245"/>
      <c r="U8" s="245"/>
      <c r="V8" s="245"/>
      <c r="W8" s="242"/>
      <c r="X8" s="246"/>
      <c r="Y8" s="245"/>
      <c r="Z8" s="245"/>
      <c r="AA8" s="245"/>
      <c r="AB8" s="265"/>
      <c r="AC8" s="265"/>
    </row>
    <row r="9" spans="1:32" hidden="1" x14ac:dyDescent="0.35">
      <c r="A9" s="164"/>
      <c r="B9" s="172" t="s">
        <v>58</v>
      </c>
      <c r="C9" s="243"/>
      <c r="D9" s="245"/>
      <c r="E9" s="245"/>
      <c r="F9" s="245"/>
      <c r="G9" s="245"/>
      <c r="R9" s="243"/>
      <c r="S9" s="245"/>
      <c r="T9" s="245"/>
      <c r="U9" s="245"/>
      <c r="V9" s="245"/>
      <c r="W9" s="243"/>
      <c r="X9" s="245"/>
      <c r="Y9" s="245"/>
      <c r="Z9" s="245"/>
      <c r="AA9" s="245"/>
      <c r="AB9" s="265"/>
      <c r="AC9" s="265"/>
    </row>
    <row r="10" spans="1:32" hidden="1" x14ac:dyDescent="0.35">
      <c r="A10" s="164"/>
      <c r="B10" s="172" t="s">
        <v>60</v>
      </c>
      <c r="C10" s="242"/>
      <c r="D10" s="245"/>
      <c r="E10" s="245"/>
      <c r="F10" s="245"/>
      <c r="G10" s="245"/>
      <c r="R10" s="242"/>
      <c r="S10" s="245"/>
      <c r="T10" s="245"/>
      <c r="U10" s="245"/>
      <c r="V10" s="245"/>
      <c r="W10" s="242"/>
      <c r="X10" s="245"/>
      <c r="Y10" s="245"/>
      <c r="Z10" s="245"/>
      <c r="AA10" s="245"/>
      <c r="AB10" s="265"/>
      <c r="AC10" s="265"/>
    </row>
    <row r="11" spans="1:32" hidden="1" x14ac:dyDescent="0.35">
      <c r="A11" s="164"/>
      <c r="B11" s="165"/>
      <c r="C11" s="239"/>
      <c r="D11" s="245"/>
      <c r="E11" s="245"/>
      <c r="F11" s="245"/>
      <c r="G11" s="245"/>
      <c r="R11" s="239"/>
      <c r="S11" s="245"/>
      <c r="T11" s="245"/>
      <c r="U11" s="245"/>
      <c r="V11" s="245"/>
      <c r="W11" s="239"/>
      <c r="X11" s="245"/>
      <c r="Y11" s="245"/>
      <c r="Z11" s="245"/>
      <c r="AA11" s="245"/>
      <c r="AB11" s="265"/>
      <c r="AC11" s="265"/>
    </row>
    <row r="12" spans="1:32" hidden="1" x14ac:dyDescent="0.35">
      <c r="A12" s="169"/>
      <c r="B12" s="170" t="s">
        <v>159</v>
      </c>
      <c r="C12" s="240"/>
      <c r="D12" s="240"/>
      <c r="E12" s="244"/>
      <c r="F12" s="244"/>
      <c r="G12" s="244"/>
      <c r="H12" s="178"/>
      <c r="I12" s="178"/>
      <c r="J12" s="178"/>
      <c r="R12" s="240"/>
      <c r="S12" s="240"/>
      <c r="T12" s="244"/>
      <c r="U12" s="244"/>
      <c r="V12" s="244"/>
      <c r="W12" s="240"/>
      <c r="X12" s="240"/>
      <c r="Y12" s="244"/>
      <c r="Z12" s="244"/>
      <c r="AA12" s="244"/>
      <c r="AB12" s="265"/>
      <c r="AC12" s="265"/>
    </row>
    <row r="13" spans="1:32" hidden="1" x14ac:dyDescent="0.35">
      <c r="A13" s="164"/>
      <c r="B13" s="172" t="s">
        <v>149</v>
      </c>
      <c r="C13" s="241"/>
      <c r="D13" s="245"/>
      <c r="E13" s="245"/>
      <c r="F13" s="245"/>
      <c r="G13" s="245"/>
      <c r="R13" s="241"/>
      <c r="S13" s="245"/>
      <c r="T13" s="245"/>
      <c r="U13" s="245"/>
      <c r="V13" s="245"/>
      <c r="W13" s="241"/>
      <c r="X13" s="245"/>
      <c r="Y13" s="245"/>
      <c r="Z13" s="245"/>
      <c r="AA13" s="245"/>
      <c r="AB13" s="265"/>
      <c r="AC13" s="265"/>
    </row>
    <row r="14" spans="1:32" hidden="1" x14ac:dyDescent="0.35">
      <c r="A14" s="164"/>
      <c r="B14" s="172" t="s">
        <v>58</v>
      </c>
      <c r="C14" s="243"/>
      <c r="D14" s="245"/>
      <c r="E14" s="245"/>
      <c r="F14" s="245"/>
      <c r="G14" s="245"/>
      <c r="R14" s="243"/>
      <c r="S14" s="245"/>
      <c r="T14" s="245"/>
      <c r="U14" s="245"/>
      <c r="V14" s="245"/>
      <c r="W14" s="243"/>
      <c r="X14" s="245"/>
      <c r="Y14" s="245"/>
      <c r="Z14" s="245"/>
      <c r="AA14" s="245"/>
      <c r="AB14" s="265"/>
      <c r="AC14" s="265"/>
    </row>
    <row r="15" spans="1:32" hidden="1" x14ac:dyDescent="0.35">
      <c r="A15" s="164"/>
      <c r="B15" s="172" t="s">
        <v>60</v>
      </c>
      <c r="C15" s="242"/>
      <c r="D15" s="245"/>
      <c r="E15" s="245"/>
      <c r="F15" s="245"/>
      <c r="G15" s="245"/>
      <c r="R15" s="242"/>
      <c r="S15" s="245"/>
      <c r="T15" s="245"/>
      <c r="U15" s="245"/>
      <c r="V15" s="245"/>
      <c r="W15" s="242"/>
      <c r="X15" s="245"/>
      <c r="Y15" s="245"/>
      <c r="Z15" s="245"/>
      <c r="AA15" s="245"/>
      <c r="AB15" s="265"/>
      <c r="AC15" s="265"/>
    </row>
    <row r="16" spans="1:32" x14ac:dyDescent="0.35">
      <c r="A16" s="167"/>
      <c r="B16" s="165"/>
      <c r="C16" s="239"/>
      <c r="D16" s="245"/>
      <c r="E16" s="245"/>
      <c r="F16" s="245"/>
      <c r="G16" s="245"/>
      <c r="R16" s="239"/>
      <c r="S16" s="245"/>
      <c r="T16" s="245"/>
      <c r="U16" s="245"/>
      <c r="V16" s="245"/>
      <c r="W16" s="239"/>
      <c r="X16" s="245"/>
      <c r="Y16" s="245"/>
      <c r="Z16" s="245"/>
      <c r="AA16" s="245"/>
      <c r="AB16" s="265"/>
      <c r="AC16" s="265"/>
    </row>
    <row r="17" spans="1:32" x14ac:dyDescent="0.35">
      <c r="A17" s="169"/>
      <c r="B17" s="170" t="s">
        <v>238</v>
      </c>
      <c r="C17" s="171">
        <f t="shared" ref="C17:L17" si="0">C23+C30+C42+C48+C54</f>
        <v>134026</v>
      </c>
      <c r="D17" s="171">
        <f t="shared" si="0"/>
        <v>137498</v>
      </c>
      <c r="E17" s="171">
        <f t="shared" si="0"/>
        <v>138601</v>
      </c>
      <c r="F17" s="171">
        <f t="shared" si="0"/>
        <v>142242</v>
      </c>
      <c r="G17" s="171">
        <f t="shared" si="0"/>
        <v>552367</v>
      </c>
      <c r="H17" s="171">
        <f t="shared" si="0"/>
        <v>149871</v>
      </c>
      <c r="I17" s="171">
        <f t="shared" si="0"/>
        <v>150494</v>
      </c>
      <c r="J17" s="171">
        <f t="shared" si="0"/>
        <v>148417</v>
      </c>
      <c r="K17" s="171">
        <f t="shared" si="0"/>
        <v>149040</v>
      </c>
      <c r="L17" s="171">
        <f t="shared" si="0"/>
        <v>597822</v>
      </c>
      <c r="M17" s="171">
        <f t="shared" ref="M17:Q17" si="1">M23+M30+M42+M48+M54+M36</f>
        <v>152612</v>
      </c>
      <c r="N17" s="171">
        <f t="shared" si="1"/>
        <v>155638</v>
      </c>
      <c r="O17" s="171">
        <f t="shared" si="1"/>
        <v>162639</v>
      </c>
      <c r="P17" s="171">
        <f t="shared" si="1"/>
        <v>163128</v>
      </c>
      <c r="Q17" s="171">
        <f t="shared" si="1"/>
        <v>634017</v>
      </c>
      <c r="R17" s="240">
        <f>R23+R30+R36</f>
        <v>149870.96685598622</v>
      </c>
      <c r="S17" s="240">
        <f t="shared" ref="S17:V17" si="2">S23+S30+S36</f>
        <v>150494.46117321268</v>
      </c>
      <c r="T17" s="240">
        <f t="shared" si="2"/>
        <v>148416.88236976153</v>
      </c>
      <c r="U17" s="240">
        <f t="shared" si="2"/>
        <v>149040.3301324464</v>
      </c>
      <c r="V17" s="240">
        <f t="shared" si="2"/>
        <v>597821.64053140674</v>
      </c>
      <c r="W17" s="240">
        <f>W23+W30+W36</f>
        <v>152612</v>
      </c>
      <c r="X17" s="240">
        <f t="shared" ref="X17:AD17" si="3">X23+X30+X36</f>
        <v>155638</v>
      </c>
      <c r="Y17" s="240">
        <f t="shared" si="3"/>
        <v>162639</v>
      </c>
      <c r="Z17" s="240">
        <f t="shared" si="3"/>
        <v>163128</v>
      </c>
      <c r="AA17" s="240">
        <f t="shared" si="3"/>
        <v>634017</v>
      </c>
      <c r="AB17" s="325">
        <f t="shared" si="3"/>
        <v>153559</v>
      </c>
      <c r="AC17" s="325">
        <f t="shared" si="3"/>
        <v>140794</v>
      </c>
      <c r="AD17" s="325">
        <f t="shared" si="3"/>
        <v>150519.13785266777</v>
      </c>
      <c r="AF17" s="348"/>
    </row>
    <row r="18" spans="1:32" x14ac:dyDescent="0.35">
      <c r="A18" s="164"/>
      <c r="B18" s="172" t="s">
        <v>149</v>
      </c>
      <c r="C18" s="241">
        <v>4.6505817131256455E-2</v>
      </c>
      <c r="D18" s="241">
        <v>5.065370714225681E-2</v>
      </c>
      <c r="E18" s="241">
        <v>6.975756967652802E-2</v>
      </c>
      <c r="F18" s="241">
        <v>7.9619284716740513E-2</v>
      </c>
      <c r="G18" s="241">
        <v>6.1725618640125823E-2</v>
      </c>
      <c r="H18" s="173">
        <f t="shared" ref="H18:Q18" si="4">H17/C17-1</f>
        <v>0.11822332980168038</v>
      </c>
      <c r="I18" s="173">
        <f t="shared" si="4"/>
        <v>9.4517738439831911E-2</v>
      </c>
      <c r="J18" s="173">
        <f t="shared" si="4"/>
        <v>7.0821999841270911E-2</v>
      </c>
      <c r="K18" s="173">
        <f t="shared" si="4"/>
        <v>4.779179145400092E-2</v>
      </c>
      <c r="L18" s="173">
        <f t="shared" si="4"/>
        <v>8.2291302702732105E-2</v>
      </c>
      <c r="M18" s="173">
        <f t="shared" si="4"/>
        <v>1.82890619265903E-2</v>
      </c>
      <c r="N18" s="173">
        <f t="shared" si="4"/>
        <v>3.4180764681648546E-2</v>
      </c>
      <c r="O18" s="173">
        <f t="shared" si="4"/>
        <v>9.5824602302970741E-2</v>
      </c>
      <c r="P18" s="173">
        <f t="shared" si="4"/>
        <v>9.4524959742350978E-2</v>
      </c>
      <c r="Q18" s="173">
        <f t="shared" si="4"/>
        <v>6.0544777542479222E-2</v>
      </c>
      <c r="R18" s="241">
        <v>0.11822412187019271</v>
      </c>
      <c r="S18" s="241">
        <v>9.4516632636036713E-2</v>
      </c>
      <c r="T18" s="241">
        <v>7.0822240426617E-2</v>
      </c>
      <c r="U18" s="241">
        <v>4.7790611168654351E-2</v>
      </c>
      <c r="V18" s="241">
        <v>8.2287332816930681E-2</v>
      </c>
      <c r="W18" s="241">
        <v>1.8289287121552311E-2</v>
      </c>
      <c r="X18" s="241">
        <v>3.4177595551954099E-2</v>
      </c>
      <c r="Y18" s="241">
        <v>9.5825470816762515E-2</v>
      </c>
      <c r="Z18" s="241">
        <v>9.4522535309969014E-2</v>
      </c>
      <c r="AA18" s="241">
        <v>6.0547189264690049E-2</v>
      </c>
      <c r="AB18" s="173">
        <f t="shared" ref="AB18:AD18" si="5">AB17/W17-1</f>
        <v>6.2052787461013281E-3</v>
      </c>
      <c r="AC18" s="173">
        <f t="shared" si="5"/>
        <v>-9.5375165448026822E-2</v>
      </c>
      <c r="AD18" s="173">
        <f t="shared" si="5"/>
        <v>-7.4520023778627653E-2</v>
      </c>
      <c r="AF18" s="181"/>
    </row>
    <row r="19" spans="1:32" x14ac:dyDescent="0.35">
      <c r="A19" s="164"/>
      <c r="B19" s="172" t="s">
        <v>160</v>
      </c>
      <c r="C19" s="242">
        <v>4.9000000000000002E-2</v>
      </c>
      <c r="D19" s="246">
        <v>4.8525496185022776E-2</v>
      </c>
      <c r="E19" s="241">
        <v>6.4270961809923532E-2</v>
      </c>
      <c r="F19" s="241">
        <v>6.8680050795172143E-2</v>
      </c>
      <c r="G19" s="241">
        <v>5.7701269035152603E-2</v>
      </c>
      <c r="H19" s="173">
        <v>0.104152477303735</v>
      </c>
      <c r="I19" s="173">
        <v>9.7943653485765836E-2</v>
      </c>
      <c r="J19" s="174">
        <v>8.7427961273436328E-2</v>
      </c>
      <c r="K19" s="174">
        <v>6.7816377226745272E-2</v>
      </c>
      <c r="L19" s="173">
        <v>8.905334615962901E-2</v>
      </c>
      <c r="M19" s="173">
        <v>3.9E-2</v>
      </c>
      <c r="N19" s="181">
        <v>4.3999999999999997E-2</v>
      </c>
      <c r="O19" s="181">
        <v>0.10100000000000001</v>
      </c>
      <c r="P19" s="181">
        <v>9.5000000000000001E-2</v>
      </c>
      <c r="Q19" s="173">
        <v>7.0000000000000007E-2</v>
      </c>
      <c r="R19" s="353">
        <f>H19</f>
        <v>0.104152477303735</v>
      </c>
      <c r="S19" s="353">
        <f t="shared" ref="S19:V19" si="6">I19</f>
        <v>9.7943653485765836E-2</v>
      </c>
      <c r="T19" s="353">
        <f t="shared" si="6"/>
        <v>8.7427961273436328E-2</v>
      </c>
      <c r="U19" s="353">
        <f t="shared" si="6"/>
        <v>6.7816377226745272E-2</v>
      </c>
      <c r="V19" s="353">
        <f t="shared" si="6"/>
        <v>8.905334615962901E-2</v>
      </c>
      <c r="W19" s="353">
        <f>M19</f>
        <v>3.9E-2</v>
      </c>
      <c r="X19" s="353">
        <f>N19</f>
        <v>4.3999999999999997E-2</v>
      </c>
      <c r="Y19" s="353">
        <f>O19</f>
        <v>0.10100000000000001</v>
      </c>
      <c r="Z19" s="353">
        <f>P19</f>
        <v>9.5000000000000001E-2</v>
      </c>
      <c r="AA19" s="353">
        <f>Q19</f>
        <v>7.0000000000000007E-2</v>
      </c>
      <c r="AB19" s="181">
        <v>1.5189806188657951E-2</v>
      </c>
      <c r="AC19" s="181">
        <v>-8.5113869530994424E-2</v>
      </c>
      <c r="AD19" s="181">
        <v>-7.3818017746927533E-2</v>
      </c>
      <c r="AF19" s="181"/>
    </row>
    <row r="20" spans="1:32" x14ac:dyDescent="0.35">
      <c r="A20" s="164"/>
      <c r="B20" s="172" t="s">
        <v>58</v>
      </c>
      <c r="C20" s="243">
        <f t="shared" ref="C20:L20" si="7">ROUND(C26+C33+C45+C51+C57,0)</f>
        <v>46710</v>
      </c>
      <c r="D20" s="243">
        <f t="shared" si="7"/>
        <v>47415</v>
      </c>
      <c r="E20" s="243">
        <f t="shared" si="7"/>
        <v>51154</v>
      </c>
      <c r="F20" s="243">
        <f t="shared" si="7"/>
        <v>48906</v>
      </c>
      <c r="G20" s="243">
        <f t="shared" si="7"/>
        <v>194185</v>
      </c>
      <c r="H20" s="175">
        <f t="shared" si="7"/>
        <v>49845</v>
      </c>
      <c r="I20" s="175">
        <f t="shared" si="7"/>
        <v>49501</v>
      </c>
      <c r="J20" s="175">
        <f t="shared" si="7"/>
        <v>49898</v>
      </c>
      <c r="K20" s="175">
        <f t="shared" si="7"/>
        <v>48327</v>
      </c>
      <c r="L20" s="175">
        <f t="shared" si="7"/>
        <v>197571</v>
      </c>
      <c r="M20" s="175">
        <f>ROUND(M26+M33+M45+M51+M57+M39,0)</f>
        <v>52274</v>
      </c>
      <c r="N20" s="175">
        <f t="shared" ref="N20:Q20" si="8">ROUND(N26+N33+N45+N51+N57+N39,0)</f>
        <v>50623</v>
      </c>
      <c r="O20" s="175">
        <f t="shared" si="8"/>
        <v>52930</v>
      </c>
      <c r="P20" s="175">
        <f t="shared" si="8"/>
        <v>53945</v>
      </c>
      <c r="Q20" s="175">
        <f t="shared" si="8"/>
        <v>209772</v>
      </c>
      <c r="R20" s="243">
        <f>ROUND(R26+R33+R39,0)</f>
        <v>49845</v>
      </c>
      <c r="S20" s="243">
        <f>ROUND(S26+S33+S39,0)-1</f>
        <v>49501</v>
      </c>
      <c r="T20" s="243">
        <f t="shared" ref="T20:V20" si="9">ROUND(T26+T33+T39,0)</f>
        <v>49898</v>
      </c>
      <c r="U20" s="243">
        <f t="shared" si="9"/>
        <v>48327</v>
      </c>
      <c r="V20" s="243">
        <f t="shared" si="9"/>
        <v>197571</v>
      </c>
      <c r="W20" s="243">
        <f>ROUND(W26+W33+W39,0)</f>
        <v>52274</v>
      </c>
      <c r="X20" s="243">
        <f t="shared" ref="X20:AD20" si="10">ROUND(X26+X33+X39,0)</f>
        <v>50623</v>
      </c>
      <c r="Y20" s="243">
        <f t="shared" si="10"/>
        <v>52930</v>
      </c>
      <c r="Z20" s="243">
        <f t="shared" si="10"/>
        <v>53945</v>
      </c>
      <c r="AA20" s="243">
        <f t="shared" si="10"/>
        <v>209772</v>
      </c>
      <c r="AB20" s="175">
        <f t="shared" si="10"/>
        <v>49519</v>
      </c>
      <c r="AC20" s="175">
        <f t="shared" si="10"/>
        <v>39625</v>
      </c>
      <c r="AD20" s="175">
        <f t="shared" si="10"/>
        <v>54903</v>
      </c>
      <c r="AF20" s="349"/>
    </row>
    <row r="21" spans="1:32" x14ac:dyDescent="0.35">
      <c r="A21" s="164"/>
      <c r="B21" s="172" t="s">
        <v>60</v>
      </c>
      <c r="C21" s="242">
        <f t="shared" ref="C21:H21" si="11">C20/C17</f>
        <v>0.34851446734215752</v>
      </c>
      <c r="D21" s="242">
        <f t="shared" si="11"/>
        <v>0.34484137951097471</v>
      </c>
      <c r="E21" s="242">
        <f t="shared" si="11"/>
        <v>0.36907381620623225</v>
      </c>
      <c r="F21" s="242">
        <f t="shared" ref="F21" si="12">F20/F17</f>
        <v>0.34382249968363776</v>
      </c>
      <c r="G21" s="242">
        <f t="shared" ref="G21" si="13">G20/G17</f>
        <v>0.35155069003036027</v>
      </c>
      <c r="H21" s="174">
        <f t="shared" si="11"/>
        <v>0.33258602398062331</v>
      </c>
      <c r="I21" s="174">
        <f>I20/I17</f>
        <v>0.32892341222905896</v>
      </c>
      <c r="J21" s="174">
        <f>J20/J17</f>
        <v>0.33620137854827953</v>
      </c>
      <c r="K21" s="174">
        <f>K20/K17</f>
        <v>0.32425523349436391</v>
      </c>
      <c r="L21" s="174">
        <f t="shared" ref="L21:M21" si="14">L20/L17</f>
        <v>0.33048465931330728</v>
      </c>
      <c r="M21" s="174">
        <f t="shared" si="14"/>
        <v>0.34252876575891805</v>
      </c>
      <c r="N21" s="174">
        <f t="shared" ref="N21:O21" si="15">N20/N17</f>
        <v>0.32526118300158058</v>
      </c>
      <c r="O21" s="174">
        <f t="shared" si="15"/>
        <v>0.3254446965365011</v>
      </c>
      <c r="P21" s="174">
        <f t="shared" ref="P21:AA21" si="16">P20/P17</f>
        <v>0.33069123632975334</v>
      </c>
      <c r="Q21" s="174">
        <f t="shared" si="16"/>
        <v>0.3308617907721717</v>
      </c>
      <c r="R21" s="242">
        <f t="shared" si="16"/>
        <v>0.33258609753213231</v>
      </c>
      <c r="S21" s="242">
        <f t="shared" si="16"/>
        <v>0.32892240428055669</v>
      </c>
      <c r="T21" s="242">
        <f t="shared" si="16"/>
        <v>0.33620164501020555</v>
      </c>
      <c r="U21" s="242">
        <f t="shared" si="16"/>
        <v>0.32425451525136623</v>
      </c>
      <c r="V21" s="242">
        <f t="shared" si="16"/>
        <v>0.33048485803287103</v>
      </c>
      <c r="W21" s="242">
        <f t="shared" si="16"/>
        <v>0.34252876575891805</v>
      </c>
      <c r="X21" s="242">
        <f t="shared" si="16"/>
        <v>0.32526118300158058</v>
      </c>
      <c r="Y21" s="242">
        <f t="shared" si="16"/>
        <v>0.3254446965365011</v>
      </c>
      <c r="Z21" s="242">
        <f t="shared" si="16"/>
        <v>0.33069123632975334</v>
      </c>
      <c r="AA21" s="242">
        <f t="shared" si="16"/>
        <v>0.3308617907721717</v>
      </c>
      <c r="AB21" s="174">
        <f t="shared" ref="AB21:AD21" si="17">AB20/AB17</f>
        <v>0.32247540033472477</v>
      </c>
      <c r="AC21" s="174">
        <f t="shared" si="17"/>
        <v>0.28143954998082304</v>
      </c>
      <c r="AD21" s="174">
        <f t="shared" si="17"/>
        <v>0.36475760347325764</v>
      </c>
      <c r="AF21" s="182"/>
    </row>
    <row r="22" spans="1:32" x14ac:dyDescent="0.35">
      <c r="A22" s="164"/>
      <c r="B22" s="172"/>
      <c r="C22" s="242"/>
      <c r="D22" s="245"/>
      <c r="E22" s="245"/>
      <c r="F22" s="245"/>
      <c r="G22" s="245"/>
      <c r="K22" s="163"/>
      <c r="L22" s="163"/>
      <c r="M22" s="163"/>
      <c r="N22" s="163"/>
      <c r="O22" s="163"/>
      <c r="P22" s="163"/>
      <c r="Q22" s="163"/>
      <c r="R22" s="242"/>
      <c r="S22" s="245"/>
      <c r="T22" s="245"/>
      <c r="U22" s="245"/>
      <c r="V22" s="245"/>
      <c r="W22" s="242"/>
      <c r="X22" s="245"/>
      <c r="Y22" s="245"/>
      <c r="Z22" s="245"/>
      <c r="AA22" s="245"/>
    </row>
    <row r="23" spans="1:32" x14ac:dyDescent="0.35">
      <c r="A23" s="177"/>
      <c r="B23" s="177" t="s">
        <v>153</v>
      </c>
      <c r="C23" s="244">
        <v>55921</v>
      </c>
      <c r="D23" s="247">
        <v>58255</v>
      </c>
      <c r="E23" s="247">
        <v>59608</v>
      </c>
      <c r="F23" s="247">
        <f>+G23-SUM(C23,D23,E23)</f>
        <v>61010</v>
      </c>
      <c r="G23" s="247">
        <v>234794</v>
      </c>
      <c r="H23" s="179">
        <v>63903</v>
      </c>
      <c r="I23" s="179">
        <v>64812</v>
      </c>
      <c r="J23" s="179">
        <v>64303</v>
      </c>
      <c r="K23" s="179">
        <f>+L23-SUM(H23:J23)</f>
        <v>65126</v>
      </c>
      <c r="L23" s="179">
        <v>258144</v>
      </c>
      <c r="M23" s="179">
        <v>69038</v>
      </c>
      <c r="N23" s="179">
        <v>72236</v>
      </c>
      <c r="O23" s="179">
        <v>77714</v>
      </c>
      <c r="P23" s="179">
        <f>+Q23-SUM(M23:O23)</f>
        <v>75171</v>
      </c>
      <c r="Q23" s="179">
        <v>294159</v>
      </c>
      <c r="R23" s="240">
        <v>76148.167060416323</v>
      </c>
      <c r="S23" s="248">
        <v>78614.312935322407</v>
      </c>
      <c r="T23" s="248">
        <v>77757.039113754727</v>
      </c>
      <c r="U23" s="248">
        <v>78632.585690686348</v>
      </c>
      <c r="V23" s="248">
        <v>311152.10480017978</v>
      </c>
      <c r="W23" s="240">
        <v>81286</v>
      </c>
      <c r="X23" s="248">
        <v>85581</v>
      </c>
      <c r="Y23" s="248">
        <v>91096</v>
      </c>
      <c r="Z23" s="248">
        <v>88471</v>
      </c>
      <c r="AA23" s="248">
        <v>346434</v>
      </c>
      <c r="AB23" s="179">
        <v>83739</v>
      </c>
      <c r="AC23" s="179">
        <v>81281</v>
      </c>
      <c r="AD23" s="179">
        <v>87830.240012667782</v>
      </c>
      <c r="AF23" s="348"/>
    </row>
    <row r="24" spans="1:32" x14ac:dyDescent="0.35">
      <c r="A24" s="164"/>
      <c r="B24" s="172" t="s">
        <v>149</v>
      </c>
      <c r="C24" s="241">
        <v>0.15781609425933762</v>
      </c>
      <c r="D24" s="241">
        <v>0.15136182816147836</v>
      </c>
      <c r="E24" s="241">
        <v>0.12891676635079641</v>
      </c>
      <c r="F24" s="241">
        <v>0.1167645106386701</v>
      </c>
      <c r="G24" s="241">
        <v>0.13796817406137452</v>
      </c>
      <c r="H24" s="173">
        <f t="shared" ref="H24:Q24" si="18">H23/C23-1</f>
        <v>0.14273707551724746</v>
      </c>
      <c r="I24" s="173">
        <f t="shared" si="18"/>
        <v>0.11255686207192506</v>
      </c>
      <c r="J24" s="173">
        <f t="shared" si="18"/>
        <v>7.8764595356328071E-2</v>
      </c>
      <c r="K24" s="173">
        <f t="shared" si="18"/>
        <v>6.746435010653995E-2</v>
      </c>
      <c r="L24" s="173">
        <f t="shared" si="18"/>
        <v>9.9448878591446022E-2</v>
      </c>
      <c r="M24" s="173">
        <f t="shared" si="18"/>
        <v>8.0356164812293684E-2</v>
      </c>
      <c r="N24" s="173">
        <f t="shared" si="18"/>
        <v>0.11454668888477437</v>
      </c>
      <c r="O24" s="173">
        <f t="shared" si="18"/>
        <v>0.20855947622972493</v>
      </c>
      <c r="P24" s="173">
        <f t="shared" si="18"/>
        <v>0.15423947424991558</v>
      </c>
      <c r="Q24" s="173">
        <f t="shared" si="18"/>
        <v>0.13951515433246553</v>
      </c>
      <c r="R24" s="241">
        <v>0.2121233488330192</v>
      </c>
      <c r="S24" s="241">
        <v>0.18933606925635882</v>
      </c>
      <c r="T24" s="241">
        <v>0.14559720208257043</v>
      </c>
      <c r="U24" s="241">
        <v>9.3570729091322358E-2</v>
      </c>
      <c r="V24" s="241">
        <v>0.15798827964705398</v>
      </c>
      <c r="W24" s="241">
        <v>6.7471524764441071E-2</v>
      </c>
      <c r="X24" s="241">
        <v>8.8618558180483253E-2</v>
      </c>
      <c r="Y24" s="241">
        <v>0.17154666687772191</v>
      </c>
      <c r="Z24" s="241">
        <v>0.12511879423645822</v>
      </c>
      <c r="AA24" s="241">
        <v>0.11339115068007688</v>
      </c>
      <c r="AB24" s="173">
        <f t="shared" ref="AB24:AD24" si="19">AB23/W23-1</f>
        <v>3.0177398321974191E-2</v>
      </c>
      <c r="AC24" s="173">
        <f t="shared" si="19"/>
        <v>-5.0244797326509438E-2</v>
      </c>
      <c r="AD24" s="173">
        <f t="shared" si="19"/>
        <v>-3.5849652974139556E-2</v>
      </c>
      <c r="AF24" s="181"/>
    </row>
    <row r="25" spans="1:32" x14ac:dyDescent="0.35">
      <c r="A25" s="164"/>
      <c r="B25" s="172" t="s">
        <v>160</v>
      </c>
      <c r="C25" s="241">
        <v>0.15235101898850245</v>
      </c>
      <c r="D25" s="246">
        <v>0.14485320587353745</v>
      </c>
      <c r="E25" s="241">
        <v>0.12063360440937987</v>
      </c>
      <c r="F25" s="241">
        <v>0.10686042279762753</v>
      </c>
      <c r="G25" s="241">
        <v>0.13035117064593615</v>
      </c>
      <c r="H25" s="173">
        <v>0.12985053069688801</v>
      </c>
      <c r="I25" s="173">
        <v>0.11510196684888774</v>
      </c>
      <c r="J25" s="174">
        <v>9.0617499511791433E-2</v>
      </c>
      <c r="K25" s="174">
        <v>8.1936981556266941E-2</v>
      </c>
      <c r="L25" s="173">
        <v>0.1037809117620101</v>
      </c>
      <c r="M25" s="173">
        <v>0.1</v>
      </c>
      <c r="N25" s="181">
        <v>0.126</v>
      </c>
      <c r="O25" s="181">
        <v>0.217</v>
      </c>
      <c r="P25" s="173">
        <v>0.156</v>
      </c>
      <c r="Q25" s="173">
        <v>0.15</v>
      </c>
      <c r="R25" s="242">
        <v>0.19238882504405108</v>
      </c>
      <c r="S25" s="242">
        <v>0.18952045791185457</v>
      </c>
      <c r="T25" s="242">
        <v>0.15739406888615903</v>
      </c>
      <c r="U25" s="242">
        <v>0.10894136492313544</v>
      </c>
      <c r="V25" s="242">
        <v>0.1605128318680098</v>
      </c>
      <c r="W25" s="242">
        <v>8.76506851370491E-2</v>
      </c>
      <c r="X25" s="242">
        <v>0.10010589674361836</v>
      </c>
      <c r="Y25" s="242">
        <v>0.18068313647309786</v>
      </c>
      <c r="Z25" s="242">
        <v>0.12654231897760515</v>
      </c>
      <c r="AA25" s="242">
        <v>0.12386732726735761</v>
      </c>
      <c r="AB25" s="181">
        <v>4.1131479135403604E-2</v>
      </c>
      <c r="AC25" s="181">
        <v>-4.1522462219852341E-2</v>
      </c>
      <c r="AD25" s="181">
        <v>-3.891677633948698E-2</v>
      </c>
      <c r="AF25" s="181"/>
    </row>
    <row r="26" spans="1:32" x14ac:dyDescent="0.35">
      <c r="A26" s="164"/>
      <c r="B26" s="172" t="s">
        <v>58</v>
      </c>
      <c r="C26" s="243">
        <f>ROUND(17890.6824188671,0)</f>
        <v>17891</v>
      </c>
      <c r="D26" s="243">
        <v>17784.168604602171</v>
      </c>
      <c r="E26" s="243">
        <f>ROUND(20434.2308482625,0)</f>
        <v>20434</v>
      </c>
      <c r="F26" s="243">
        <f>ROUND(+G26-SUM(C26,D26,E26),0)</f>
        <v>19252</v>
      </c>
      <c r="G26" s="243">
        <f>ROUND(75361.1380508299,0)</f>
        <v>75361</v>
      </c>
      <c r="H26" s="175">
        <v>21476</v>
      </c>
      <c r="I26" s="175">
        <v>20779</v>
      </c>
      <c r="J26" s="175">
        <v>20779</v>
      </c>
      <c r="K26" s="175">
        <f>+L26-SUM(H26:J26)</f>
        <v>20189</v>
      </c>
      <c r="L26" s="175">
        <v>83223</v>
      </c>
      <c r="M26" s="175">
        <v>22346</v>
      </c>
      <c r="N26" s="175">
        <v>22330</v>
      </c>
      <c r="O26" s="175">
        <v>26227</v>
      </c>
      <c r="P26" s="175">
        <f>+Q26-SUM(M26:O26)</f>
        <v>23578</v>
      </c>
      <c r="Q26" s="175">
        <v>94481</v>
      </c>
      <c r="R26" s="243">
        <v>24247.168207756244</v>
      </c>
      <c r="S26" s="243">
        <v>25806.112536955741</v>
      </c>
      <c r="T26" s="243">
        <v>24717.498250572389</v>
      </c>
      <c r="U26" s="243">
        <v>24563.072901162224</v>
      </c>
      <c r="V26" s="243">
        <v>99333.851896446577</v>
      </c>
      <c r="W26" s="243">
        <v>26043</v>
      </c>
      <c r="X26" s="243">
        <v>26167</v>
      </c>
      <c r="Y26" s="243">
        <v>28863</v>
      </c>
      <c r="Z26" s="243">
        <v>26781</v>
      </c>
      <c r="AA26" s="243">
        <v>107854</v>
      </c>
      <c r="AB26" s="175">
        <v>24774</v>
      </c>
      <c r="AC26" s="175">
        <v>22168</v>
      </c>
      <c r="AD26" s="292">
        <v>30999.199395507716</v>
      </c>
      <c r="AF26" s="369"/>
    </row>
    <row r="27" spans="1:32" x14ac:dyDescent="0.35">
      <c r="A27" s="164"/>
      <c r="B27" s="172" t="s">
        <v>60</v>
      </c>
      <c r="C27" s="242">
        <f>C26/C23</f>
        <v>0.31993347758444951</v>
      </c>
      <c r="D27" s="242">
        <f t="shared" ref="D27:H27" si="20">D26/D23</f>
        <v>0.30528141111667961</v>
      </c>
      <c r="E27" s="242">
        <f t="shared" si="20"/>
        <v>0.3428063347201718</v>
      </c>
      <c r="F27" s="242">
        <f t="shared" ref="F27" si="21">F26/F23</f>
        <v>0.3155548270775283</v>
      </c>
      <c r="G27" s="242">
        <f t="shared" ref="G27" si="22">G26/G23</f>
        <v>0.32096646421969899</v>
      </c>
      <c r="H27" s="174">
        <f t="shared" si="20"/>
        <v>0.33607185891116226</v>
      </c>
      <c r="I27" s="174">
        <f t="shared" ref="I27:J27" si="23">I26/I23</f>
        <v>0.32060420909708076</v>
      </c>
      <c r="J27" s="174">
        <f t="shared" si="23"/>
        <v>0.32314199959566425</v>
      </c>
      <c r="K27" s="174">
        <f t="shared" ref="K27:L27" si="24">K26/K23</f>
        <v>0.30999907870896415</v>
      </c>
      <c r="L27" s="174">
        <f t="shared" si="24"/>
        <v>0.32238982893268875</v>
      </c>
      <c r="M27" s="174">
        <f t="shared" ref="M27:N27" si="25">M26/M23</f>
        <v>0.32367681566673429</v>
      </c>
      <c r="N27" s="174">
        <f t="shared" si="25"/>
        <v>0.30912564372335122</v>
      </c>
      <c r="O27" s="174">
        <f t="shared" ref="O27:P27" si="26">O26/O23</f>
        <v>0.33748102015080939</v>
      </c>
      <c r="P27" s="174">
        <f t="shared" si="26"/>
        <v>0.31365819265408201</v>
      </c>
      <c r="Q27" s="174">
        <f>Q26/Q23</f>
        <v>0.32119024065216428</v>
      </c>
      <c r="R27" s="242">
        <f>R26/R23</f>
        <v>0.31842090418957064</v>
      </c>
      <c r="S27" s="242">
        <f t="shared" ref="S27:V27" si="27">S26/S23</f>
        <v>0.32826226641689221</v>
      </c>
      <c r="T27" s="242">
        <f t="shared" si="27"/>
        <v>0.31788116590205939</v>
      </c>
      <c r="U27" s="242">
        <f t="shared" si="27"/>
        <v>0.31237778441859887</v>
      </c>
      <c r="V27" s="242">
        <f t="shared" si="27"/>
        <v>0.31924531559970726</v>
      </c>
      <c r="W27" s="242">
        <f>W26/W23</f>
        <v>0.32038727456142507</v>
      </c>
      <c r="X27" s="242">
        <f t="shared" ref="X27:AA27" si="28">X26/X23</f>
        <v>0.30575711898669095</v>
      </c>
      <c r="Y27" s="242">
        <f t="shared" si="28"/>
        <v>0.31684157372442256</v>
      </c>
      <c r="Z27" s="242">
        <f t="shared" si="28"/>
        <v>0.30270936238993568</v>
      </c>
      <c r="AA27" s="242">
        <f t="shared" si="28"/>
        <v>0.31132625550609927</v>
      </c>
      <c r="AB27" s="174">
        <f t="shared" ref="AB27:AD27" si="29">AB26/AB23</f>
        <v>0.29584781284706052</v>
      </c>
      <c r="AC27" s="174">
        <f t="shared" si="29"/>
        <v>0.2727328649992003</v>
      </c>
      <c r="AD27" s="174">
        <f t="shared" si="29"/>
        <v>0.3529444914534754</v>
      </c>
      <c r="AF27" s="182"/>
    </row>
    <row r="28" spans="1:32" x14ac:dyDescent="0.35">
      <c r="A28" s="164"/>
      <c r="B28" s="172"/>
      <c r="C28" s="242"/>
      <c r="D28" s="245"/>
      <c r="E28" s="245"/>
      <c r="F28" s="245"/>
      <c r="G28" s="245"/>
      <c r="K28" s="163"/>
      <c r="L28" s="163"/>
      <c r="M28" s="163"/>
      <c r="N28" s="163"/>
      <c r="O28" s="163"/>
      <c r="P28" s="163"/>
      <c r="Q28" s="163"/>
      <c r="R28" s="242"/>
      <c r="S28" s="245"/>
      <c r="T28" s="245"/>
      <c r="U28" s="245"/>
      <c r="V28" s="245"/>
      <c r="W28" s="242"/>
      <c r="X28" s="245"/>
      <c r="Y28" s="245"/>
      <c r="Z28" s="245"/>
      <c r="AA28" s="245"/>
    </row>
    <row r="29" spans="1:32" x14ac:dyDescent="0.35">
      <c r="A29" s="164"/>
      <c r="B29" s="172"/>
      <c r="C29" s="242"/>
      <c r="D29" s="245"/>
      <c r="E29" s="245"/>
      <c r="F29" s="245"/>
      <c r="G29" s="245"/>
      <c r="K29" s="163"/>
      <c r="L29" s="163"/>
      <c r="M29" s="163"/>
      <c r="N29" s="163"/>
      <c r="O29" s="163"/>
      <c r="P29" s="163"/>
      <c r="Q29" s="163"/>
      <c r="R29" s="242"/>
      <c r="S29" s="245"/>
      <c r="T29" s="245"/>
      <c r="U29" s="245"/>
      <c r="V29" s="245"/>
      <c r="W29" s="242"/>
      <c r="X29" s="245"/>
      <c r="Y29" s="245"/>
      <c r="Z29" s="245"/>
      <c r="AA29" s="245"/>
    </row>
    <row r="30" spans="1:32" x14ac:dyDescent="0.35">
      <c r="A30" s="177"/>
      <c r="B30" s="177" t="s">
        <v>152</v>
      </c>
      <c r="C30" s="244">
        <v>18932</v>
      </c>
      <c r="D30" s="247">
        <v>18923</v>
      </c>
      <c r="E30" s="247">
        <v>18872</v>
      </c>
      <c r="F30" s="247">
        <f>+G30-SUM(C30,D30,E30)</f>
        <v>20286</v>
      </c>
      <c r="G30" s="247">
        <v>77013</v>
      </c>
      <c r="H30" s="179">
        <v>22797</v>
      </c>
      <c r="I30" s="179">
        <v>19817</v>
      </c>
      <c r="J30" s="179">
        <v>20375</v>
      </c>
      <c r="K30" s="179">
        <f>+L30-SUM(H30:J30)</f>
        <v>21402</v>
      </c>
      <c r="L30" s="179">
        <v>84391</v>
      </c>
      <c r="M30" s="179">
        <v>20569</v>
      </c>
      <c r="N30" s="179">
        <v>20016</v>
      </c>
      <c r="O30" s="179">
        <v>23978</v>
      </c>
      <c r="P30" s="179">
        <f>+Q30-SUM(M30:O30)</f>
        <v>26026</v>
      </c>
      <c r="Q30" s="179">
        <v>90589</v>
      </c>
      <c r="R30" s="240">
        <v>24140.716187444454</v>
      </c>
      <c r="S30" s="248">
        <v>21172.537169999996</v>
      </c>
      <c r="T30" s="248">
        <v>21666.227190000001</v>
      </c>
      <c r="U30" s="248">
        <v>22865.514659999993</v>
      </c>
      <c r="V30" s="248">
        <v>89844.995207444445</v>
      </c>
      <c r="W30" s="240">
        <v>22248</v>
      </c>
      <c r="X30" s="248">
        <v>21730</v>
      </c>
      <c r="Y30" s="248">
        <v>25631</v>
      </c>
      <c r="Z30" s="248">
        <v>27856</v>
      </c>
      <c r="AA30" s="248">
        <v>97465</v>
      </c>
      <c r="AB30" s="179">
        <v>27029</v>
      </c>
      <c r="AC30" s="179">
        <v>24978</v>
      </c>
      <c r="AD30" s="179">
        <v>25111.897839999998</v>
      </c>
      <c r="AF30" s="348"/>
    </row>
    <row r="31" spans="1:32" x14ac:dyDescent="0.35">
      <c r="A31" s="164"/>
      <c r="B31" s="172" t="s">
        <v>149</v>
      </c>
      <c r="C31" s="241">
        <v>0.15526481317864382</v>
      </c>
      <c r="D31" s="241">
        <v>8.4913876829762813E-2</v>
      </c>
      <c r="E31" s="241">
        <v>0.18255626641190092</v>
      </c>
      <c r="F31" s="241">
        <v>7.5171344960278219E-2</v>
      </c>
      <c r="G31" s="241">
        <v>0.12172505947529899</v>
      </c>
      <c r="H31" s="181">
        <f t="shared" ref="H31:Q31" si="30">H30/C30-1</f>
        <v>0.20415170082400169</v>
      </c>
      <c r="I31" s="181">
        <f t="shared" si="30"/>
        <v>4.7244094488188892E-2</v>
      </c>
      <c r="J31" s="181">
        <f t="shared" si="30"/>
        <v>7.9641797371767797E-2</v>
      </c>
      <c r="K31" s="181">
        <f t="shared" si="30"/>
        <v>5.501330967169471E-2</v>
      </c>
      <c r="L31" s="181">
        <f t="shared" si="30"/>
        <v>9.5802007453287041E-2</v>
      </c>
      <c r="M31" s="181">
        <f t="shared" si="30"/>
        <v>-9.7732157740053505E-2</v>
      </c>
      <c r="N31" s="181">
        <f t="shared" si="30"/>
        <v>1.004188323156896E-2</v>
      </c>
      <c r="O31" s="181">
        <f t="shared" si="30"/>
        <v>0.17683435582822082</v>
      </c>
      <c r="P31" s="181">
        <f t="shared" si="30"/>
        <v>0.21605457433884689</v>
      </c>
      <c r="Q31" s="181">
        <f t="shared" si="30"/>
        <v>7.3443850647580966E-2</v>
      </c>
      <c r="R31" s="241">
        <v>0.13532522794008672</v>
      </c>
      <c r="S31" s="241">
        <v>3.8818963441629162E-3</v>
      </c>
      <c r="T31" s="241">
        <v>3.9368385784354087E-2</v>
      </c>
      <c r="U31" s="241">
        <v>3.6832266521939383E-2</v>
      </c>
      <c r="V31" s="241">
        <v>5.3866943787367783E-2</v>
      </c>
      <c r="W31" s="241">
        <v>-7.8403481187059865E-2</v>
      </c>
      <c r="X31" s="241">
        <v>2.6329524209780963E-2</v>
      </c>
      <c r="Y31" s="241">
        <v>0.18299322605783108</v>
      </c>
      <c r="Z31" s="241">
        <v>0.21825379459882255</v>
      </c>
      <c r="AA31" s="241">
        <v>8.4812790906845903E-2</v>
      </c>
      <c r="AB31" s="181">
        <f t="shared" ref="AB31:AD31" si="31">AB30/W30-1</f>
        <v>0.21489572096368215</v>
      </c>
      <c r="AC31" s="181">
        <f t="shared" si="31"/>
        <v>0.1494707777266453</v>
      </c>
      <c r="AD31" s="181">
        <f t="shared" si="31"/>
        <v>-2.0252903125121957E-2</v>
      </c>
      <c r="AF31" s="181"/>
    </row>
    <row r="32" spans="1:32" x14ac:dyDescent="0.35">
      <c r="A32" s="164"/>
      <c r="B32" s="172" t="s">
        <v>160</v>
      </c>
      <c r="C32" s="241">
        <v>0.15625881183456625</v>
      </c>
      <c r="D32" s="246">
        <v>8.5925937063991764E-2</v>
      </c>
      <c r="E32" s="241">
        <v>0.18313485759232662</v>
      </c>
      <c r="F32" s="241">
        <v>7.5285882262229098E-2</v>
      </c>
      <c r="G32" s="241">
        <v>0.12238539808923177</v>
      </c>
      <c r="H32" s="173">
        <v>0.20412407210167127</v>
      </c>
      <c r="I32" s="173">
        <v>4.725912118564346E-2</v>
      </c>
      <c r="J32" s="174">
        <v>7.9651754267672015E-2</v>
      </c>
      <c r="K32" s="174">
        <v>5.5000409410426609E-2</v>
      </c>
      <c r="L32" s="173">
        <v>9.5797890578221301E-2</v>
      </c>
      <c r="M32" s="173">
        <v>-9.8000000000000004E-2</v>
      </c>
      <c r="N32" s="181">
        <v>0.01</v>
      </c>
      <c r="O32" s="181">
        <v>0.17699999999999999</v>
      </c>
      <c r="P32" s="173">
        <v>0.216</v>
      </c>
      <c r="Q32" s="173">
        <v>7.2999999999999995E-2</v>
      </c>
      <c r="R32" s="242">
        <v>0.13502306072919135</v>
      </c>
      <c r="S32" s="242">
        <v>4.5258241443262293E-3</v>
      </c>
      <c r="T32" s="242">
        <v>4.0815849427945139E-2</v>
      </c>
      <c r="U32" s="242">
        <v>3.8181547156444173E-2</v>
      </c>
      <c r="V32" s="242">
        <v>5.465384128904871E-2</v>
      </c>
      <c r="W32" s="242">
        <v>-7.6661845867398548E-2</v>
      </c>
      <c r="X32" s="242">
        <v>2.6975149432786338E-2</v>
      </c>
      <c r="Y32" s="242">
        <v>0.18286178794395647</v>
      </c>
      <c r="Z32" s="242">
        <v>0.21831034469248523</v>
      </c>
      <c r="AA32" s="242">
        <v>8.5416247648292698E-2</v>
      </c>
      <c r="AB32" s="181">
        <v>0.21561497984223843</v>
      </c>
      <c r="AC32" s="181">
        <v>0.15089951509570332</v>
      </c>
      <c r="AD32" s="181">
        <v>-1.9461249231818911E-2</v>
      </c>
      <c r="AF32" s="181"/>
    </row>
    <row r="33" spans="1:32" x14ac:dyDescent="0.35">
      <c r="A33" s="164"/>
      <c r="B33" s="172" t="s">
        <v>58</v>
      </c>
      <c r="C33" s="243">
        <f>ROUND(6623.4364085443,0)</f>
        <v>6623</v>
      </c>
      <c r="D33" s="243">
        <v>6616.794367465307</v>
      </c>
      <c r="E33" s="243">
        <f>ROUND(6797.84019495859,0)+1</f>
        <v>6799</v>
      </c>
      <c r="F33" s="243">
        <f>ROUND(+G33-SUM(C33,D33,E33),0)</f>
        <v>7562</v>
      </c>
      <c r="G33" s="243">
        <f>ROUND(27600.7825640754,0)</f>
        <v>27601</v>
      </c>
      <c r="H33" s="175">
        <v>5555</v>
      </c>
      <c r="I33" s="175">
        <v>3104</v>
      </c>
      <c r="J33" s="175">
        <v>4578</v>
      </c>
      <c r="K33" s="175">
        <f>+L33-SUM(H33:J33)</f>
        <v>4386</v>
      </c>
      <c r="L33" s="175">
        <v>17623</v>
      </c>
      <c r="M33" s="175">
        <v>3574</v>
      </c>
      <c r="N33" s="175">
        <v>3151</v>
      </c>
      <c r="O33" s="175">
        <v>4590</v>
      </c>
      <c r="P33" s="175">
        <f>+Q33-SUM(M33:O33)</f>
        <v>5624</v>
      </c>
      <c r="Q33" s="175">
        <v>16939</v>
      </c>
      <c r="R33" s="243">
        <v>5511.3214201459086</v>
      </c>
      <c r="S33" s="243">
        <v>3496.5549440261566</v>
      </c>
      <c r="T33" s="243">
        <v>5257.7920387148552</v>
      </c>
      <c r="U33" s="243">
        <v>5132.9121908205634</v>
      </c>
      <c r="V33" s="243">
        <v>19398.580593707491</v>
      </c>
      <c r="W33" s="243">
        <v>4446</v>
      </c>
      <c r="X33" s="243">
        <v>3981</v>
      </c>
      <c r="Y33" s="243">
        <v>5222</v>
      </c>
      <c r="Z33" s="243">
        <v>6768</v>
      </c>
      <c r="AA33" s="243">
        <v>20417</v>
      </c>
      <c r="AB33" s="175">
        <v>7436</v>
      </c>
      <c r="AC33" s="175">
        <v>5338</v>
      </c>
      <c r="AD33" s="292">
        <v>7119.2778883515457</v>
      </c>
      <c r="AF33" s="369"/>
    </row>
    <row r="34" spans="1:32" x14ac:dyDescent="0.35">
      <c r="A34" s="164"/>
      <c r="B34" s="172" t="s">
        <v>60</v>
      </c>
      <c r="C34" s="242">
        <f t="shared" ref="C34:H34" si="32">C33/C30</f>
        <v>0.34983097401225438</v>
      </c>
      <c r="D34" s="242">
        <f t="shared" si="32"/>
        <v>0.34966941644904648</v>
      </c>
      <c r="E34" s="242">
        <f t="shared" si="32"/>
        <v>0.36026918185671897</v>
      </c>
      <c r="F34" s="242">
        <f t="shared" ref="F34" si="33">F33/F30</f>
        <v>0.37276939761411809</v>
      </c>
      <c r="G34" s="242">
        <f t="shared" ref="G34" si="34">G33/G30</f>
        <v>0.35839403737031411</v>
      </c>
      <c r="H34" s="174">
        <f t="shared" si="32"/>
        <v>0.24367241303680309</v>
      </c>
      <c r="I34" s="174">
        <f t="shared" ref="I34:J34" si="35">I33/I30</f>
        <v>0.15663319372256143</v>
      </c>
      <c r="J34" s="174">
        <f t="shared" si="35"/>
        <v>0.22468711656441717</v>
      </c>
      <c r="K34" s="174">
        <f t="shared" ref="K34:L34" si="36">K33/K30</f>
        <v>0.2049341183067003</v>
      </c>
      <c r="L34" s="174">
        <f t="shared" si="36"/>
        <v>0.20882558566671802</v>
      </c>
      <c r="M34" s="174">
        <f t="shared" ref="M34:N34" si="37">M33/M30</f>
        <v>0.17375662404589431</v>
      </c>
      <c r="N34" s="174">
        <f t="shared" si="37"/>
        <v>0.15742406075139889</v>
      </c>
      <c r="O34" s="174">
        <f t="shared" ref="O34:Q34" si="38">O33/O30</f>
        <v>0.19142547335057136</v>
      </c>
      <c r="P34" s="174">
        <f t="shared" si="38"/>
        <v>0.21609160070698533</v>
      </c>
      <c r="Q34" s="174">
        <f t="shared" si="38"/>
        <v>0.18698738257404321</v>
      </c>
      <c r="R34" s="242">
        <f>R33/R30</f>
        <v>0.22829983076526691</v>
      </c>
      <c r="S34" s="242">
        <f t="shared" ref="S34:V34" si="39">S33/S30</f>
        <v>0.16514576953868951</v>
      </c>
      <c r="T34" s="242">
        <f t="shared" si="39"/>
        <v>0.24267224711562044</v>
      </c>
      <c r="U34" s="242">
        <f t="shared" si="39"/>
        <v>0.2244826878880567</v>
      </c>
      <c r="V34" s="242">
        <f t="shared" si="39"/>
        <v>0.21591164370277743</v>
      </c>
      <c r="W34" s="242">
        <f>W33/W30</f>
        <v>0.19983818770226539</v>
      </c>
      <c r="X34" s="242">
        <f t="shared" ref="X34:AA34" si="40">X33/X30</f>
        <v>0.18320294523699954</v>
      </c>
      <c r="Y34" s="242">
        <f t="shared" si="40"/>
        <v>0.20373766142561742</v>
      </c>
      <c r="Z34" s="242">
        <f t="shared" si="40"/>
        <v>0.24296381390005745</v>
      </c>
      <c r="AA34" s="242">
        <f t="shared" si="40"/>
        <v>0.20948032627096907</v>
      </c>
      <c r="AB34" s="174">
        <f t="shared" ref="AB34:AD34" si="41">AB33/AB30</f>
        <v>0.27511191683007141</v>
      </c>
      <c r="AC34" s="174">
        <f t="shared" si="41"/>
        <v>0.21370806309552406</v>
      </c>
      <c r="AD34" s="174">
        <f t="shared" si="41"/>
        <v>0.2835021842519389</v>
      </c>
      <c r="AF34" s="182"/>
    </row>
    <row r="35" spans="1:32" x14ac:dyDescent="0.35">
      <c r="A35" s="164"/>
      <c r="B35" s="172"/>
      <c r="C35" s="242"/>
      <c r="D35" s="242"/>
      <c r="E35" s="242"/>
      <c r="F35" s="242"/>
      <c r="G35" s="242"/>
      <c r="H35" s="174"/>
      <c r="I35" s="174"/>
      <c r="J35" s="174"/>
      <c r="K35" s="174"/>
      <c r="L35" s="174"/>
      <c r="M35" s="174"/>
      <c r="N35" s="174"/>
      <c r="O35" s="174"/>
      <c r="P35" s="174"/>
      <c r="Q35" s="174"/>
      <c r="R35" s="242"/>
      <c r="S35" s="242"/>
      <c r="T35" s="242"/>
      <c r="U35" s="242"/>
      <c r="V35" s="242"/>
      <c r="W35" s="242"/>
      <c r="X35" s="242"/>
      <c r="Y35" s="242"/>
      <c r="Z35" s="242"/>
      <c r="AA35" s="242"/>
      <c r="AB35" s="174"/>
      <c r="AC35" s="174"/>
    </row>
    <row r="36" spans="1:32" x14ac:dyDescent="0.35">
      <c r="A36" s="177"/>
      <c r="B36" s="177" t="s">
        <v>232</v>
      </c>
      <c r="C36" s="244"/>
      <c r="D36" s="247"/>
      <c r="E36" s="247"/>
      <c r="F36" s="247"/>
      <c r="G36" s="247"/>
      <c r="H36" s="179"/>
      <c r="I36" s="179"/>
      <c r="J36" s="179"/>
      <c r="K36" s="179"/>
      <c r="L36" s="179"/>
      <c r="M36" s="179"/>
      <c r="N36" s="179"/>
      <c r="O36" s="179"/>
      <c r="P36" s="179"/>
      <c r="Q36" s="179"/>
      <c r="R36" s="240">
        <v>49582.083608125431</v>
      </c>
      <c r="S36" s="248">
        <v>50707.611067890277</v>
      </c>
      <c r="T36" s="248">
        <v>48993.616066006805</v>
      </c>
      <c r="U36" s="248">
        <v>47542.229781760056</v>
      </c>
      <c r="V36" s="248">
        <v>196824.54052378255</v>
      </c>
      <c r="W36" s="240">
        <v>49078</v>
      </c>
      <c r="X36" s="248">
        <v>48327</v>
      </c>
      <c r="Y36" s="248">
        <v>45912</v>
      </c>
      <c r="Z36" s="248">
        <v>46801</v>
      </c>
      <c r="AA36" s="248">
        <v>190118</v>
      </c>
      <c r="AB36" s="179">
        <v>42791</v>
      </c>
      <c r="AC36" s="179">
        <v>34535</v>
      </c>
      <c r="AD36" s="179">
        <v>37577</v>
      </c>
      <c r="AF36" s="348"/>
    </row>
    <row r="37" spans="1:32" x14ac:dyDescent="0.35">
      <c r="A37" s="164"/>
      <c r="B37" s="172" t="s">
        <v>149</v>
      </c>
      <c r="C37" s="241"/>
      <c r="D37" s="241"/>
      <c r="E37" s="241"/>
      <c r="F37" s="241"/>
      <c r="G37" s="241"/>
      <c r="H37" s="173"/>
      <c r="I37" s="173"/>
      <c r="J37" s="173"/>
      <c r="K37" s="173"/>
      <c r="L37" s="173"/>
      <c r="M37" s="173"/>
      <c r="N37" s="173"/>
      <c r="O37" s="173"/>
      <c r="P37" s="173"/>
      <c r="Q37" s="173"/>
      <c r="R37" s="241">
        <v>-7.1766246416520296E-3</v>
      </c>
      <c r="S37" s="241">
        <v>7.3355111803201645E-3</v>
      </c>
      <c r="T37" s="241">
        <v>-1.7200992854702113E-2</v>
      </c>
      <c r="U37" s="241">
        <v>-1.5358179166956365E-2</v>
      </c>
      <c r="V37" s="241">
        <v>-8.0080471518180207E-3</v>
      </c>
      <c r="W37" s="241">
        <v>-1.0166648342362583E-2</v>
      </c>
      <c r="X37" s="241">
        <v>-4.694780562040235E-2</v>
      </c>
      <c r="Y37" s="241">
        <v>-6.2898318463676772E-2</v>
      </c>
      <c r="Z37" s="241">
        <v>-1.5590976383788258E-2</v>
      </c>
      <c r="AA37" s="241">
        <v>-3.4068793325929936E-2</v>
      </c>
      <c r="AB37" s="173">
        <f t="shared" ref="AB37:AD37" si="42">AB36/W36-1</f>
        <v>-0.12810220465381639</v>
      </c>
      <c r="AC37" s="173">
        <f t="shared" si="42"/>
        <v>-0.28538911995364913</v>
      </c>
      <c r="AD37" s="173">
        <f t="shared" si="42"/>
        <v>-0.18154295173375157</v>
      </c>
      <c r="AF37" s="181"/>
    </row>
    <row r="38" spans="1:32" x14ac:dyDescent="0.35">
      <c r="A38" s="164"/>
      <c r="B38" s="172" t="s">
        <v>160</v>
      </c>
      <c r="C38" s="241"/>
      <c r="D38" s="246"/>
      <c r="E38" s="241"/>
      <c r="F38" s="241"/>
      <c r="G38" s="241"/>
      <c r="H38" s="173"/>
      <c r="I38" s="173"/>
      <c r="J38" s="174"/>
      <c r="K38" s="174"/>
      <c r="L38" s="173"/>
      <c r="M38" s="173"/>
      <c r="N38" s="181"/>
      <c r="O38" s="181"/>
      <c r="P38" s="173"/>
      <c r="Q38" s="173"/>
      <c r="R38" s="242">
        <v>-1.9987302814858054E-2</v>
      </c>
      <c r="S38" s="242">
        <v>1.6785846230720658E-2</v>
      </c>
      <c r="T38" s="242">
        <v>1.1701728919066845E-2</v>
      </c>
      <c r="U38" s="242">
        <v>2.0109333595353496E-2</v>
      </c>
      <c r="V38" s="242">
        <v>7.0608280109063504E-3</v>
      </c>
      <c r="W38" s="242">
        <v>1.6162810467584166E-2</v>
      </c>
      <c r="X38" s="242">
        <v>-3.5680958427906306E-2</v>
      </c>
      <c r="Y38" s="242">
        <v>-6.2191215513976217E-2</v>
      </c>
      <c r="Z38" s="242">
        <v>-1.671263092743791E-2</v>
      </c>
      <c r="AA38" s="242">
        <v>-2.4642124558533207E-2</v>
      </c>
      <c r="AB38" s="181">
        <v>-0.11863677605004952</v>
      </c>
      <c r="AC38" s="181">
        <v>-0.26842847954829785</v>
      </c>
      <c r="AD38" s="181">
        <v>-0.17341488098325408</v>
      </c>
      <c r="AF38" s="181"/>
    </row>
    <row r="39" spans="1:32" x14ac:dyDescent="0.35">
      <c r="A39" s="164"/>
      <c r="B39" s="172" t="s">
        <v>58</v>
      </c>
      <c r="C39" s="243"/>
      <c r="D39" s="243"/>
      <c r="E39" s="243"/>
      <c r="F39" s="243"/>
      <c r="G39" s="243"/>
      <c r="H39" s="175"/>
      <c r="I39" s="175"/>
      <c r="J39" s="175"/>
      <c r="K39" s="175"/>
      <c r="L39" s="175"/>
      <c r="M39" s="175"/>
      <c r="N39" s="175"/>
      <c r="O39" s="175"/>
      <c r="P39" s="175"/>
      <c r="Q39" s="175"/>
      <c r="R39" s="243">
        <v>20086.983382073111</v>
      </c>
      <c r="S39" s="243">
        <v>20199.203012760525</v>
      </c>
      <c r="T39" s="243">
        <v>19922.494664906415</v>
      </c>
      <c r="U39" s="243">
        <v>18631.327774917048</v>
      </c>
      <c r="V39" s="243">
        <v>78839.00883465707</v>
      </c>
      <c r="W39" s="243">
        <v>21785</v>
      </c>
      <c r="X39" s="243">
        <v>20475</v>
      </c>
      <c r="Y39" s="243">
        <v>18845</v>
      </c>
      <c r="Z39" s="243">
        <v>20396</v>
      </c>
      <c r="AA39" s="243">
        <v>81501</v>
      </c>
      <c r="AB39" s="175">
        <v>17309</v>
      </c>
      <c r="AC39" s="175">
        <v>12119</v>
      </c>
      <c r="AD39" s="292">
        <v>16785</v>
      </c>
      <c r="AF39" s="369"/>
    </row>
    <row r="40" spans="1:32" x14ac:dyDescent="0.35">
      <c r="A40" s="164"/>
      <c r="B40" s="172" t="s">
        <v>60</v>
      </c>
      <c r="C40" s="242"/>
      <c r="D40" s="242"/>
      <c r="E40" s="242"/>
      <c r="F40" s="242"/>
      <c r="G40" s="242"/>
      <c r="H40" s="174"/>
      <c r="I40" s="174"/>
      <c r="J40" s="174"/>
      <c r="K40" s="174"/>
      <c r="L40" s="174"/>
      <c r="M40" s="174"/>
      <c r="N40" s="174"/>
      <c r="O40" s="174"/>
      <c r="P40" s="174"/>
      <c r="Q40" s="174"/>
      <c r="R40" s="242">
        <f t="shared" ref="R40:V40" si="43">R39/R36</f>
        <v>0.40512584224639742</v>
      </c>
      <c r="S40" s="242">
        <f t="shared" si="43"/>
        <v>0.39834657139963991</v>
      </c>
      <c r="T40" s="242">
        <f t="shared" si="43"/>
        <v>0.40663450189236433</v>
      </c>
      <c r="U40" s="242">
        <f t="shared" si="43"/>
        <v>0.39189007037413087</v>
      </c>
      <c r="V40" s="242">
        <f t="shared" si="43"/>
        <v>0.40055477139615553</v>
      </c>
      <c r="W40" s="242">
        <f t="shared" ref="W40:AA40" si="44">W39/W36</f>
        <v>0.44388524389746936</v>
      </c>
      <c r="X40" s="242">
        <f t="shared" si="44"/>
        <v>0.4236762058476628</v>
      </c>
      <c r="Y40" s="242">
        <f t="shared" si="44"/>
        <v>0.41045913922286115</v>
      </c>
      <c r="Z40" s="242">
        <f t="shared" si="44"/>
        <v>0.43580265378944893</v>
      </c>
      <c r="AA40" s="242">
        <f t="shared" si="44"/>
        <v>0.42868639476535625</v>
      </c>
      <c r="AB40" s="174">
        <f t="shared" ref="AB40:AD40" si="45">AB39/AB36</f>
        <v>0.40450094646070434</v>
      </c>
      <c r="AC40" s="174">
        <f t="shared" si="45"/>
        <v>0.35091935717388156</v>
      </c>
      <c r="AD40" s="174">
        <f t="shared" si="45"/>
        <v>0.44668281129414267</v>
      </c>
      <c r="AF40" s="182"/>
    </row>
    <row r="41" spans="1:32" x14ac:dyDescent="0.35">
      <c r="A41" s="164"/>
      <c r="B41" s="172"/>
      <c r="C41" s="242"/>
      <c r="D41" s="245"/>
      <c r="E41" s="245"/>
      <c r="F41" s="245"/>
      <c r="G41" s="245"/>
      <c r="K41" s="163"/>
      <c r="L41" s="163"/>
      <c r="M41" s="163"/>
      <c r="N41" s="163"/>
      <c r="O41" s="163"/>
      <c r="P41" s="163"/>
      <c r="Q41" s="163"/>
      <c r="R41" s="242"/>
      <c r="S41" s="245"/>
      <c r="T41" s="245"/>
      <c r="U41" s="245"/>
      <c r="V41" s="245"/>
      <c r="W41" s="242"/>
      <c r="X41" s="245"/>
      <c r="Y41" s="245"/>
      <c r="Z41" s="245"/>
      <c r="AA41" s="245"/>
    </row>
    <row r="42" spans="1:32" x14ac:dyDescent="0.35">
      <c r="A42" s="177"/>
      <c r="B42" s="177" t="s">
        <v>150</v>
      </c>
      <c r="C42" s="244">
        <v>17043</v>
      </c>
      <c r="D42" s="247">
        <v>17835</v>
      </c>
      <c r="E42" s="247">
        <v>18496</v>
      </c>
      <c r="F42" s="247">
        <f>+G42-SUM(C42,D42,E42)</f>
        <v>17577</v>
      </c>
      <c r="G42" s="247">
        <v>70951</v>
      </c>
      <c r="H42" s="179">
        <v>17499</v>
      </c>
      <c r="I42" s="179">
        <v>18549</v>
      </c>
      <c r="J42" s="179">
        <v>17278</v>
      </c>
      <c r="K42" s="179">
        <f>+L42-SUM(H42:J42)</f>
        <v>16911</v>
      </c>
      <c r="L42" s="179">
        <v>70237</v>
      </c>
      <c r="M42" s="179">
        <v>17425</v>
      </c>
      <c r="N42" s="179">
        <v>17541</v>
      </c>
      <c r="O42" s="179">
        <v>16950</v>
      </c>
      <c r="P42" s="179">
        <f>+Q42-SUM(M42:O42)</f>
        <v>16094</v>
      </c>
      <c r="Q42" s="179">
        <v>68010</v>
      </c>
      <c r="R42" s="244"/>
      <c r="S42" s="247"/>
      <c r="T42" s="247"/>
      <c r="U42" s="247"/>
      <c r="V42" s="247"/>
      <c r="W42" s="244"/>
      <c r="X42" s="247"/>
      <c r="Y42" s="247"/>
      <c r="Z42" s="247"/>
      <c r="AA42" s="247"/>
      <c r="AB42" s="348"/>
      <c r="AC42" s="348"/>
    </row>
    <row r="43" spans="1:32" x14ac:dyDescent="0.35">
      <c r="A43" s="164"/>
      <c r="B43" s="172" t="s">
        <v>149</v>
      </c>
      <c r="C43" s="241">
        <v>-2.9384857740985537E-2</v>
      </c>
      <c r="D43" s="241">
        <v>1.6522774338959989E-2</v>
      </c>
      <c r="E43" s="241">
        <v>5.5768957384487727E-2</v>
      </c>
      <c r="F43" s="241">
        <v>4.9804676911162193E-2</v>
      </c>
      <c r="G43" s="241">
        <v>2.2847259742702963E-2</v>
      </c>
      <c r="H43" s="173">
        <f t="shared" ref="H43:Q43" si="46">H42/C42-1</f>
        <v>2.6755852842809347E-2</v>
      </c>
      <c r="I43" s="173">
        <f t="shared" si="46"/>
        <v>4.003364171572743E-2</v>
      </c>
      <c r="J43" s="173">
        <f t="shared" si="46"/>
        <v>-6.5852076124567449E-2</v>
      </c>
      <c r="K43" s="173">
        <f t="shared" si="46"/>
        <v>-3.7890424987199189E-2</v>
      </c>
      <c r="L43" s="173">
        <f t="shared" si="46"/>
        <v>-1.006328311087934E-2</v>
      </c>
      <c r="M43" s="173">
        <f t="shared" si="46"/>
        <v>-4.2288130750328667E-3</v>
      </c>
      <c r="N43" s="173">
        <f t="shared" si="46"/>
        <v>-5.4342552159146074E-2</v>
      </c>
      <c r="O43" s="173">
        <f t="shared" si="46"/>
        <v>-1.8983678666512294E-2</v>
      </c>
      <c r="P43" s="173">
        <f t="shared" si="46"/>
        <v>-4.8311749748684241E-2</v>
      </c>
      <c r="Q43" s="173">
        <f t="shared" si="46"/>
        <v>-3.1706935091191268E-2</v>
      </c>
      <c r="R43" s="241"/>
      <c r="S43" s="241"/>
      <c r="T43" s="241"/>
      <c r="U43" s="241"/>
      <c r="V43" s="241"/>
      <c r="W43" s="241"/>
      <c r="X43" s="241"/>
      <c r="Y43" s="241"/>
      <c r="Z43" s="241"/>
      <c r="AA43" s="241"/>
      <c r="AB43" s="181"/>
      <c r="AC43" s="181"/>
    </row>
    <row r="44" spans="1:32" x14ac:dyDescent="0.35">
      <c r="A44" s="164"/>
      <c r="B44" s="172" t="s">
        <v>160</v>
      </c>
      <c r="C44" s="241">
        <v>-8.7898081101827064E-3</v>
      </c>
      <c r="D44" s="246">
        <v>3.0415633413528154E-2</v>
      </c>
      <c r="E44" s="241">
        <v>6.9456755626851718E-2</v>
      </c>
      <c r="F44" s="241">
        <v>5.1325079581286515E-2</v>
      </c>
      <c r="G44" s="241">
        <v>3.5398495320312362E-2</v>
      </c>
      <c r="H44" s="173">
        <v>2.2017804564526511E-2</v>
      </c>
      <c r="I44" s="173">
        <v>4.6765098007093719E-2</v>
      </c>
      <c r="J44" s="174">
        <v>-4.7263843395054406E-2</v>
      </c>
      <c r="K44" s="174">
        <v>-1.2110295222743761E-2</v>
      </c>
      <c r="L44" s="173">
        <v>1.7229201583262022E-3</v>
      </c>
      <c r="M44" s="173">
        <v>1.6E-2</v>
      </c>
      <c r="N44" s="181">
        <v>-0.05</v>
      </c>
      <c r="O44" s="181">
        <v>-2.1000000000000001E-2</v>
      </c>
      <c r="P44" s="181">
        <v>-0.05</v>
      </c>
      <c r="Q44" s="173">
        <v>-2.7E-2</v>
      </c>
      <c r="R44" s="241"/>
      <c r="S44" s="246"/>
      <c r="T44" s="241"/>
      <c r="U44" s="241"/>
      <c r="V44" s="241"/>
      <c r="W44" s="241"/>
      <c r="X44" s="246"/>
      <c r="Y44" s="241"/>
      <c r="Z44" s="241"/>
      <c r="AA44" s="241"/>
      <c r="AB44" s="181"/>
      <c r="AC44" s="181"/>
    </row>
    <row r="45" spans="1:32" x14ac:dyDescent="0.35">
      <c r="A45" s="164"/>
      <c r="B45" s="172" t="s">
        <v>58</v>
      </c>
      <c r="C45" s="243">
        <f>ROUND(6904.8321447588,0)</f>
        <v>6905</v>
      </c>
      <c r="D45" s="243">
        <v>7512.1982279049298</v>
      </c>
      <c r="E45" s="243">
        <f>ROUND(8500.24509549765,0)</f>
        <v>8500</v>
      </c>
      <c r="F45" s="243">
        <f>ROUND(+G45-SUM(C45,D45,E45),0)</f>
        <v>6697</v>
      </c>
      <c r="G45" s="243">
        <f>ROUND(29614.3890430638,0)</f>
        <v>29614</v>
      </c>
      <c r="H45" s="175">
        <v>7056</v>
      </c>
      <c r="I45" s="175">
        <v>7924</v>
      </c>
      <c r="J45" s="175">
        <v>7320</v>
      </c>
      <c r="K45" s="175">
        <f>+L45-SUM(H45:J45)</f>
        <v>6871</v>
      </c>
      <c r="L45" s="175">
        <v>29171</v>
      </c>
      <c r="M45" s="175">
        <v>7625</v>
      </c>
      <c r="N45" s="175">
        <v>7552</v>
      </c>
      <c r="O45" s="175">
        <v>7150</v>
      </c>
      <c r="P45" s="175">
        <f>+Q45-SUM(M45:O45)</f>
        <v>6947</v>
      </c>
      <c r="Q45" s="175">
        <v>29274</v>
      </c>
      <c r="R45" s="243"/>
      <c r="S45" s="243"/>
      <c r="T45" s="243"/>
      <c r="U45" s="243"/>
      <c r="V45" s="243"/>
      <c r="W45" s="243"/>
      <c r="X45" s="243"/>
      <c r="Y45" s="243"/>
      <c r="Z45" s="243"/>
      <c r="AA45" s="243"/>
      <c r="AB45" s="349"/>
      <c r="AC45" s="349"/>
    </row>
    <row r="46" spans="1:32" x14ac:dyDescent="0.35">
      <c r="A46" s="164"/>
      <c r="B46" s="172" t="s">
        <v>60</v>
      </c>
      <c r="C46" s="242">
        <f t="shared" ref="C46:H46" si="47">C45/C42</f>
        <v>0.40515167517455847</v>
      </c>
      <c r="D46" s="242">
        <f t="shared" si="47"/>
        <v>0.42120539545303781</v>
      </c>
      <c r="E46" s="242">
        <f t="shared" si="47"/>
        <v>0.45955882352941174</v>
      </c>
      <c r="F46" s="242">
        <f t="shared" ref="F46" si="48">F45/F42</f>
        <v>0.38100927348239177</v>
      </c>
      <c r="G46" s="242">
        <f t="shared" ref="G46" si="49">G45/G42</f>
        <v>0.4173866471226621</v>
      </c>
      <c r="H46" s="182">
        <f t="shared" si="47"/>
        <v>0.40322304131664666</v>
      </c>
      <c r="I46" s="182">
        <f t="shared" ref="I46:J46" si="50">I45/I42</f>
        <v>0.4271928405843981</v>
      </c>
      <c r="J46" s="182">
        <f t="shared" si="50"/>
        <v>0.42366014585021416</v>
      </c>
      <c r="K46" s="182">
        <f t="shared" ref="K46:L46" si="51">K45/K42</f>
        <v>0.40630358937969369</v>
      </c>
      <c r="L46" s="182">
        <f t="shared" si="51"/>
        <v>0.41532240841721602</v>
      </c>
      <c r="M46" s="182">
        <f t="shared" ref="M46:N46" si="52">M45/M42</f>
        <v>0.43758967001434718</v>
      </c>
      <c r="N46" s="182">
        <f t="shared" si="52"/>
        <v>0.43053417707086256</v>
      </c>
      <c r="O46" s="182">
        <f t="shared" ref="O46" si="53">O45/O42</f>
        <v>0.42182890855457228</v>
      </c>
      <c r="P46" s="182">
        <f>P45/P42</f>
        <v>0.43165154716043247</v>
      </c>
      <c r="Q46" s="182">
        <f>Q45/Q42</f>
        <v>0.43043670048522276</v>
      </c>
      <c r="R46" s="242"/>
      <c r="S46" s="242"/>
      <c r="T46" s="242"/>
      <c r="U46" s="242"/>
      <c r="V46" s="242"/>
      <c r="W46" s="242"/>
      <c r="X46" s="242"/>
      <c r="Y46" s="242"/>
      <c r="Z46" s="242"/>
      <c r="AA46" s="242"/>
      <c r="AB46" s="182"/>
      <c r="AC46" s="182"/>
    </row>
    <row r="47" spans="1:32" x14ac:dyDescent="0.35">
      <c r="A47" s="164"/>
      <c r="B47" s="172"/>
      <c r="C47" s="242"/>
      <c r="D47" s="245"/>
      <c r="E47" s="245"/>
      <c r="F47" s="245"/>
      <c r="G47" s="245"/>
      <c r="K47" s="163"/>
      <c r="L47" s="163"/>
      <c r="M47" s="163"/>
      <c r="N47" s="163"/>
      <c r="O47" s="163"/>
      <c r="P47" s="163"/>
      <c r="Q47" s="163"/>
      <c r="R47" s="242"/>
      <c r="S47" s="245"/>
      <c r="T47" s="245"/>
      <c r="U47" s="245"/>
      <c r="V47" s="245"/>
      <c r="W47" s="242"/>
      <c r="X47" s="245"/>
      <c r="Y47" s="245"/>
      <c r="Z47" s="245"/>
      <c r="AA47" s="245"/>
      <c r="AB47" s="350"/>
      <c r="AC47" s="350"/>
    </row>
    <row r="48" spans="1:32" x14ac:dyDescent="0.35">
      <c r="A48" s="177"/>
      <c r="B48" s="177" t="s">
        <v>169</v>
      </c>
      <c r="C48" s="244">
        <v>21014</v>
      </c>
      <c r="D48" s="247">
        <v>21038</v>
      </c>
      <c r="E48" s="247">
        <v>21642</v>
      </c>
      <c r="F48" s="247">
        <f>+G48-SUM(C48,D48,E48)</f>
        <v>22833</v>
      </c>
      <c r="G48" s="247">
        <v>86527</v>
      </c>
      <c r="H48" s="179">
        <v>23972</v>
      </c>
      <c r="I48" s="179">
        <v>24228</v>
      </c>
      <c r="J48" s="179">
        <v>24517</v>
      </c>
      <c r="K48" s="179">
        <f>+L48-SUM(H48:J48)</f>
        <v>25224</v>
      </c>
      <c r="L48" s="179">
        <v>97941</v>
      </c>
      <c r="M48" s="179">
        <v>25724</v>
      </c>
      <c r="N48" s="179">
        <v>26422</v>
      </c>
      <c r="O48" s="179">
        <v>26542</v>
      </c>
      <c r="P48" s="179">
        <f>+Q48-SUM(M48:O48)</f>
        <v>27892</v>
      </c>
      <c r="Q48" s="179">
        <v>106580</v>
      </c>
      <c r="R48" s="244"/>
      <c r="S48" s="247"/>
      <c r="T48" s="247"/>
      <c r="U48" s="247"/>
      <c r="V48" s="247"/>
      <c r="W48" s="244"/>
      <c r="X48" s="247"/>
      <c r="Y48" s="247"/>
      <c r="Z48" s="247"/>
      <c r="AA48" s="247"/>
      <c r="AB48" s="348"/>
      <c r="AC48" s="348"/>
    </row>
    <row r="49" spans="1:32" x14ac:dyDescent="0.35">
      <c r="A49" s="164"/>
      <c r="B49" s="172" t="s">
        <v>149</v>
      </c>
      <c r="C49" s="241">
        <v>6.033033591401038E-2</v>
      </c>
      <c r="D49" s="241">
        <v>9.0929353505007082E-2</v>
      </c>
      <c r="E49" s="241">
        <v>8.98484146246743E-2</v>
      </c>
      <c r="F49" s="241">
        <v>0.11622234807444021</v>
      </c>
      <c r="G49" s="241">
        <v>8.953790310479226E-2</v>
      </c>
      <c r="H49" s="173">
        <f t="shared" ref="H49:Q49" si="54">H48/C48-1</f>
        <v>0.14076330065670506</v>
      </c>
      <c r="I49" s="173">
        <f t="shared" si="54"/>
        <v>0.15163038311626575</v>
      </c>
      <c r="J49" s="173">
        <f t="shared" si="54"/>
        <v>0.13284354495887629</v>
      </c>
      <c r="K49" s="173">
        <f t="shared" si="54"/>
        <v>0.10471685718039669</v>
      </c>
      <c r="L49" s="173">
        <f t="shared" si="54"/>
        <v>0.13191258219977575</v>
      </c>
      <c r="M49" s="173">
        <f t="shared" si="54"/>
        <v>7.3085266143834371E-2</v>
      </c>
      <c r="N49" s="173">
        <f t="shared" si="54"/>
        <v>9.05563810467227E-2</v>
      </c>
      <c r="O49" s="173">
        <f t="shared" si="54"/>
        <v>8.2595749887832914E-2</v>
      </c>
      <c r="P49" s="173">
        <f t="shared" si="54"/>
        <v>0.10577228036790354</v>
      </c>
      <c r="Q49" s="173">
        <f t="shared" si="54"/>
        <v>8.8206164936032838E-2</v>
      </c>
      <c r="R49" s="241"/>
      <c r="S49" s="241"/>
      <c r="T49" s="241"/>
      <c r="U49" s="241"/>
      <c r="V49" s="241"/>
      <c r="W49" s="241"/>
      <c r="X49" s="241"/>
      <c r="Y49" s="241"/>
      <c r="Z49" s="241"/>
      <c r="AA49" s="241"/>
      <c r="AB49" s="181"/>
      <c r="AC49" s="181"/>
    </row>
    <row r="50" spans="1:32" x14ac:dyDescent="0.35">
      <c r="A50" s="164"/>
      <c r="B50" s="172" t="s">
        <v>160</v>
      </c>
      <c r="C50" s="241">
        <v>5.9375507743957501E-2</v>
      </c>
      <c r="D50" s="246">
        <v>8.7111291904700794E-2</v>
      </c>
      <c r="E50" s="241">
        <v>7.8793541177875737E-2</v>
      </c>
      <c r="F50" s="241">
        <v>9.9241949534063068E-2</v>
      </c>
      <c r="G50" s="241">
        <v>8.1234534877984155E-2</v>
      </c>
      <c r="H50" s="173">
        <v>0.11758214400387579</v>
      </c>
      <c r="I50" s="173">
        <v>0.15109154048019469</v>
      </c>
      <c r="J50" s="174">
        <v>0.15493095253100586</v>
      </c>
      <c r="K50" s="174">
        <v>0.12982663917595483</v>
      </c>
      <c r="L50" s="173">
        <v>0.13830205588900712</v>
      </c>
      <c r="M50" s="173">
        <v>0.1</v>
      </c>
      <c r="N50" s="181">
        <v>0.10299999999999999</v>
      </c>
      <c r="O50" s="181">
        <v>8.6999999999999994E-2</v>
      </c>
      <c r="P50" s="181">
        <v>0.106</v>
      </c>
      <c r="Q50" s="173">
        <v>9.9000000000000005E-2</v>
      </c>
      <c r="R50" s="241"/>
      <c r="S50" s="246"/>
      <c r="T50" s="241"/>
      <c r="U50" s="241"/>
      <c r="V50" s="241"/>
      <c r="W50" s="241"/>
      <c r="X50" s="246"/>
      <c r="Y50" s="241"/>
      <c r="Z50" s="241"/>
      <c r="AA50" s="241"/>
      <c r="AB50" s="181"/>
      <c r="AC50" s="181"/>
    </row>
    <row r="51" spans="1:32" x14ac:dyDescent="0.35">
      <c r="A51" s="164"/>
      <c r="B51" s="172" t="s">
        <v>58</v>
      </c>
      <c r="C51" s="243">
        <f>ROUND(8588.46080539107,0)</f>
        <v>8588</v>
      </c>
      <c r="D51" s="243">
        <v>8699.880853350036</v>
      </c>
      <c r="E51" s="243">
        <f>ROUND(9007.93462975813,0)</f>
        <v>9008</v>
      </c>
      <c r="F51" s="243">
        <f>ROUND(+G51-SUM(C51,D51,E51),0)</f>
        <v>8869</v>
      </c>
      <c r="G51" s="243">
        <f>ROUND(35165.0600100329,0)</f>
        <v>35165</v>
      </c>
      <c r="H51" s="175">
        <v>9243</v>
      </c>
      <c r="I51" s="175">
        <v>9685</v>
      </c>
      <c r="J51" s="175">
        <v>9600</v>
      </c>
      <c r="K51" s="175">
        <f>+L51-SUM(H51:J51)</f>
        <v>10258</v>
      </c>
      <c r="L51" s="175">
        <v>38786</v>
      </c>
      <c r="M51" s="175">
        <v>11450</v>
      </c>
      <c r="N51" s="175">
        <v>10428</v>
      </c>
      <c r="O51" s="175">
        <v>9891</v>
      </c>
      <c r="P51" s="175">
        <f>+Q51-SUM(M51:O51)</f>
        <v>11494</v>
      </c>
      <c r="Q51" s="175">
        <v>43263</v>
      </c>
      <c r="R51" s="243"/>
      <c r="S51" s="243"/>
      <c r="T51" s="243"/>
      <c r="U51" s="243"/>
      <c r="V51" s="243"/>
      <c r="W51" s="243"/>
      <c r="X51" s="243"/>
      <c r="Y51" s="243"/>
      <c r="Z51" s="243"/>
      <c r="AA51" s="243"/>
      <c r="AB51" s="349"/>
      <c r="AC51" s="349"/>
    </row>
    <row r="52" spans="1:32" x14ac:dyDescent="0.35">
      <c r="A52" s="164"/>
      <c r="B52" s="172" t="s">
        <v>60</v>
      </c>
      <c r="C52" s="242">
        <f t="shared" ref="C52:H52" si="55">C51/C48</f>
        <v>0.40867992766726946</v>
      </c>
      <c r="D52" s="242">
        <f t="shared" si="55"/>
        <v>0.41353174509696911</v>
      </c>
      <c r="E52" s="242">
        <f t="shared" si="55"/>
        <v>0.41622770538767212</v>
      </c>
      <c r="F52" s="242">
        <f t="shared" ref="F52" si="56">F51/F48</f>
        <v>0.38842902816099506</v>
      </c>
      <c r="G52" s="242">
        <f t="shared" ref="G52" si="57">G51/G48</f>
        <v>0.40640493718723636</v>
      </c>
      <c r="H52" s="182">
        <f t="shared" si="55"/>
        <v>0.38557483731019521</v>
      </c>
      <c r="I52" s="182">
        <f t="shared" ref="I52:J52" si="58">I51/I48</f>
        <v>0.39974409773815422</v>
      </c>
      <c r="J52" s="182">
        <f t="shared" si="58"/>
        <v>0.39156503650528207</v>
      </c>
      <c r="K52" s="182">
        <f t="shared" ref="K52:L52" si="59">K51/K48</f>
        <v>0.40667618141452583</v>
      </c>
      <c r="L52" s="182">
        <f t="shared" si="59"/>
        <v>0.39601392675181996</v>
      </c>
      <c r="M52" s="182">
        <f t="shared" ref="M52:N52" si="60">M51/M48</f>
        <v>0.44510962525268233</v>
      </c>
      <c r="N52" s="182">
        <f t="shared" si="60"/>
        <v>0.39467110741049127</v>
      </c>
      <c r="O52" s="182">
        <f t="shared" ref="O52:Q52" si="61">O51/O48</f>
        <v>0.37265466053801521</v>
      </c>
      <c r="P52" s="182">
        <f>P51/P48</f>
        <v>0.4120894880252402</v>
      </c>
      <c r="Q52" s="182">
        <f t="shared" si="61"/>
        <v>0.40592043535372491</v>
      </c>
      <c r="R52" s="242"/>
      <c r="S52" s="242"/>
      <c r="T52" s="242"/>
      <c r="U52" s="242"/>
      <c r="V52" s="242"/>
      <c r="W52" s="242"/>
      <c r="X52" s="242"/>
      <c r="Y52" s="242"/>
      <c r="Z52" s="242"/>
      <c r="AA52" s="242"/>
      <c r="AB52" s="182"/>
      <c r="AC52" s="182"/>
    </row>
    <row r="53" spans="1:32" x14ac:dyDescent="0.35">
      <c r="A53" s="164"/>
      <c r="B53" s="172"/>
      <c r="C53" s="242"/>
      <c r="D53" s="245"/>
      <c r="E53" s="245"/>
      <c r="F53" s="245"/>
      <c r="G53" s="245"/>
      <c r="K53" s="163"/>
      <c r="L53" s="163"/>
      <c r="M53" s="163"/>
      <c r="N53" s="163"/>
      <c r="O53" s="163"/>
      <c r="P53" s="163"/>
      <c r="Q53" s="163"/>
      <c r="R53" s="242"/>
      <c r="S53" s="245"/>
      <c r="T53" s="245"/>
      <c r="U53" s="245"/>
      <c r="V53" s="245"/>
      <c r="W53" s="242"/>
      <c r="X53" s="245"/>
      <c r="Y53" s="245"/>
      <c r="Z53" s="245"/>
      <c r="AA53" s="245"/>
      <c r="AB53" s="350"/>
      <c r="AC53" s="350"/>
    </row>
    <row r="54" spans="1:32" x14ac:dyDescent="0.35">
      <c r="A54" s="177"/>
      <c r="B54" s="177" t="s">
        <v>170</v>
      </c>
      <c r="C54" s="244">
        <v>21116</v>
      </c>
      <c r="D54" s="247">
        <v>21447</v>
      </c>
      <c r="E54" s="247">
        <v>19983</v>
      </c>
      <c r="F54" s="247">
        <f>+G54-SUM(C54,D54,E54)</f>
        <v>20536</v>
      </c>
      <c r="G54" s="247">
        <v>83082</v>
      </c>
      <c r="H54" s="179">
        <v>21700</v>
      </c>
      <c r="I54" s="179">
        <v>23088</v>
      </c>
      <c r="J54" s="179">
        <v>21944</v>
      </c>
      <c r="K54" s="179">
        <f>+L54-SUM(H54:J54)</f>
        <v>20377</v>
      </c>
      <c r="L54" s="179">
        <v>87109</v>
      </c>
      <c r="M54" s="179">
        <v>19856</v>
      </c>
      <c r="N54" s="179">
        <v>19423</v>
      </c>
      <c r="O54" s="179">
        <v>17455</v>
      </c>
      <c r="P54" s="179">
        <f>+Q54-SUM(M54:O54)</f>
        <v>17945</v>
      </c>
      <c r="Q54" s="179">
        <v>74679</v>
      </c>
      <c r="R54" s="244"/>
      <c r="S54" s="247"/>
      <c r="T54" s="247"/>
      <c r="U54" s="247"/>
      <c r="V54" s="247"/>
      <c r="W54" s="244"/>
      <c r="X54" s="247"/>
      <c r="Y54" s="247"/>
      <c r="Z54" s="247"/>
      <c r="AA54" s="247"/>
      <c r="AB54" s="348"/>
      <c r="AC54" s="348"/>
    </row>
    <row r="55" spans="1:32" x14ac:dyDescent="0.35">
      <c r="A55" s="164"/>
      <c r="B55" s="172" t="s">
        <v>149</v>
      </c>
      <c r="C55" s="241">
        <v>-0.18804620311319431</v>
      </c>
      <c r="D55" s="241">
        <v>-0.17514317269040014</v>
      </c>
      <c r="E55" s="241">
        <v>-0.14699169248747368</v>
      </c>
      <c r="F55" s="241">
        <v>-2.4629302876210457E-2</v>
      </c>
      <c r="G55" s="241">
        <v>-0.13894260862881636</v>
      </c>
      <c r="H55" s="173">
        <f t="shared" ref="H55:Q55" si="62">H54/C54-1</f>
        <v>2.7656753172949466E-2</v>
      </c>
      <c r="I55" s="173">
        <f t="shared" si="62"/>
        <v>7.6514197789900651E-2</v>
      </c>
      <c r="J55" s="173">
        <f t="shared" si="62"/>
        <v>9.8133413401391145E-2</v>
      </c>
      <c r="K55" s="173">
        <f t="shared" si="62"/>
        <v>-7.7425009738995021E-3</v>
      </c>
      <c r="L55" s="173">
        <f t="shared" si="62"/>
        <v>4.847018608122089E-2</v>
      </c>
      <c r="M55" s="173">
        <f t="shared" si="62"/>
        <v>-8.4976958525345592E-2</v>
      </c>
      <c r="N55" s="173">
        <f t="shared" si="62"/>
        <v>-0.15874047124047119</v>
      </c>
      <c r="O55" s="173">
        <f t="shared" si="62"/>
        <v>-0.20456616842872766</v>
      </c>
      <c r="P55" s="173">
        <f t="shared" si="62"/>
        <v>-0.11935024782843406</v>
      </c>
      <c r="Q55" s="173">
        <f t="shared" si="62"/>
        <v>-0.14269478469503727</v>
      </c>
      <c r="R55" s="241"/>
      <c r="S55" s="241"/>
      <c r="T55" s="241"/>
      <c r="U55" s="241"/>
      <c r="V55" s="241"/>
      <c r="W55" s="241"/>
      <c r="X55" s="241"/>
      <c r="Y55" s="241"/>
      <c r="Z55" s="241"/>
      <c r="AA55" s="241"/>
      <c r="AB55" s="181"/>
      <c r="AC55" s="181"/>
    </row>
    <row r="56" spans="1:32" x14ac:dyDescent="0.35">
      <c r="A56" s="164"/>
      <c r="B56" s="172" t="s">
        <v>160</v>
      </c>
      <c r="C56" s="241">
        <v>-0.17873627364342526</v>
      </c>
      <c r="D56" s="246">
        <v>-0.18041377630015187</v>
      </c>
      <c r="E56" s="241">
        <v>-0.1599352906915209</v>
      </c>
      <c r="F56" s="241">
        <v>-5.2199751882280876E-2</v>
      </c>
      <c r="G56" s="241">
        <v>-0.14701258829889308</v>
      </c>
      <c r="H56" s="173">
        <v>-6.1027868993246415E-4</v>
      </c>
      <c r="I56" s="173">
        <v>8.6483353637906601E-2</v>
      </c>
      <c r="J56" s="174">
        <v>0.1368210449347933</v>
      </c>
      <c r="K56" s="174">
        <v>3.7987330551400689E-2</v>
      </c>
      <c r="L56" s="173">
        <v>6.4468661522303128E-2</v>
      </c>
      <c r="M56" s="173">
        <v>-4.3999999999999997E-2</v>
      </c>
      <c r="N56" s="181">
        <v>-0.14399999999999999</v>
      </c>
      <c r="O56" s="181">
        <v>-0.19900000000000001</v>
      </c>
      <c r="P56" s="181">
        <v>-0.11899999999999999</v>
      </c>
      <c r="Q56" s="173">
        <v>-0.127</v>
      </c>
      <c r="R56" s="241"/>
      <c r="S56" s="246"/>
      <c r="T56" s="241"/>
      <c r="U56" s="241"/>
      <c r="V56" s="241"/>
      <c r="W56" s="241"/>
      <c r="X56" s="246"/>
      <c r="Y56" s="241"/>
      <c r="Z56" s="241"/>
      <c r="AA56" s="241"/>
      <c r="AB56" s="173"/>
      <c r="AC56" s="173"/>
    </row>
    <row r="57" spans="1:32" x14ac:dyDescent="0.35">
      <c r="A57" s="164"/>
      <c r="B57" s="172" t="s">
        <v>58</v>
      </c>
      <c r="C57" s="243">
        <f>ROUND(6703.27249362086,0)</f>
        <v>6703</v>
      </c>
      <c r="D57" s="243">
        <v>6801.5654992821783</v>
      </c>
      <c r="E57" s="243">
        <f>ROUND(6413.60301117024,0)-1</f>
        <v>6413</v>
      </c>
      <c r="F57" s="243">
        <f>ROUND(+G57-SUM(C57,D57,E57),0)</f>
        <v>6526</v>
      </c>
      <c r="G57" s="243">
        <f>ROUND(26442.9387487777,0)+1</f>
        <v>26444</v>
      </c>
      <c r="H57" s="175">
        <v>6515</v>
      </c>
      <c r="I57" s="175">
        <v>8009</v>
      </c>
      <c r="J57" s="175">
        <v>7621</v>
      </c>
      <c r="K57" s="175">
        <f>+L57-SUM(H57:J57)</f>
        <v>6623</v>
      </c>
      <c r="L57" s="175">
        <v>28768</v>
      </c>
      <c r="M57" s="175">
        <v>7279</v>
      </c>
      <c r="N57" s="175">
        <v>7162</v>
      </c>
      <c r="O57" s="175">
        <v>5072</v>
      </c>
      <c r="P57" s="175">
        <f>+Q57-SUM(M57:O57)</f>
        <v>6302</v>
      </c>
      <c r="Q57" s="175">
        <v>25815</v>
      </c>
      <c r="R57" s="243"/>
      <c r="S57" s="243"/>
      <c r="T57" s="243"/>
      <c r="U57" s="243"/>
      <c r="V57" s="243"/>
      <c r="W57" s="243"/>
      <c r="X57" s="243"/>
      <c r="Y57" s="243"/>
      <c r="Z57" s="243"/>
      <c r="AA57" s="243"/>
      <c r="AB57" s="175"/>
      <c r="AC57" s="175"/>
    </row>
    <row r="58" spans="1:32" x14ac:dyDescent="0.35">
      <c r="A58" s="164"/>
      <c r="B58" s="172" t="s">
        <v>60</v>
      </c>
      <c r="C58" s="242">
        <f t="shared" ref="C58:H58" si="63">C57/C54</f>
        <v>0.31743701458609586</v>
      </c>
      <c r="D58" s="242">
        <f t="shared" si="63"/>
        <v>0.31713365502318169</v>
      </c>
      <c r="E58" s="242">
        <f t="shared" si="63"/>
        <v>0.32092278436671168</v>
      </c>
      <c r="F58" s="242">
        <f t="shared" ref="F58" si="64">F57/F54</f>
        <v>0.31778340475262951</v>
      </c>
      <c r="G58" s="242">
        <f t="shared" ref="G58" si="65">G57/G54</f>
        <v>0.3182879564767338</v>
      </c>
      <c r="H58" s="174">
        <f t="shared" si="63"/>
        <v>0.30023041474654377</v>
      </c>
      <c r="I58" s="174">
        <f t="shared" ref="I58:J58" si="66">I57/I54</f>
        <v>0.34689015939015938</v>
      </c>
      <c r="J58" s="174">
        <f t="shared" si="66"/>
        <v>0.34729310973386801</v>
      </c>
      <c r="K58" s="174">
        <f t="shared" ref="K58:L58" si="67">K57/K54</f>
        <v>0.325023310595279</v>
      </c>
      <c r="L58" s="174">
        <f t="shared" si="67"/>
        <v>0.33025290153715459</v>
      </c>
      <c r="M58" s="174">
        <f t="shared" ref="M58:N58" si="68">M57/M54</f>
        <v>0.36658944399677679</v>
      </c>
      <c r="N58" s="174">
        <f t="shared" si="68"/>
        <v>0.36873809401225349</v>
      </c>
      <c r="O58" s="174">
        <f t="shared" ref="O58" si="69">O57/O54</f>
        <v>0.29057576625608705</v>
      </c>
      <c r="P58" s="174">
        <f>P57/P54</f>
        <v>0.35118417386458622</v>
      </c>
      <c r="Q58" s="174">
        <f>Q57/Q54</f>
        <v>0.34567950829550476</v>
      </c>
      <c r="R58" s="242"/>
      <c r="S58" s="242"/>
      <c r="T58" s="242"/>
      <c r="U58" s="242"/>
      <c r="V58" s="242"/>
      <c r="W58" s="242"/>
      <c r="X58" s="242"/>
      <c r="Y58" s="242"/>
      <c r="Z58" s="242"/>
      <c r="AA58" s="242"/>
      <c r="AB58" s="174"/>
      <c r="AC58" s="174"/>
    </row>
    <row r="59" spans="1:32" x14ac:dyDescent="0.35">
      <c r="A59" s="164"/>
      <c r="B59" s="172"/>
      <c r="C59" s="242"/>
      <c r="D59" s="245"/>
      <c r="E59" s="245"/>
      <c r="F59" s="245"/>
      <c r="G59" s="245"/>
      <c r="K59" s="163"/>
      <c r="L59" s="163"/>
      <c r="M59" s="163"/>
      <c r="N59" s="163"/>
      <c r="O59" s="163"/>
      <c r="P59" s="163"/>
      <c r="Q59" s="163"/>
      <c r="R59" s="242"/>
      <c r="S59" s="245"/>
      <c r="T59" s="245"/>
      <c r="U59" s="245"/>
      <c r="V59" s="245"/>
      <c r="W59" s="242"/>
      <c r="X59" s="245"/>
      <c r="Y59" s="245"/>
      <c r="Z59" s="245"/>
      <c r="AA59" s="245"/>
    </row>
    <row r="60" spans="1:32" x14ac:dyDescent="0.35">
      <c r="A60" s="164"/>
      <c r="B60" s="165"/>
      <c r="C60" s="239"/>
      <c r="D60" s="245"/>
      <c r="E60" s="245"/>
      <c r="F60" s="245"/>
      <c r="G60" s="245"/>
      <c r="H60" s="201"/>
      <c r="I60" s="201"/>
      <c r="J60" s="201"/>
      <c r="K60" s="201"/>
      <c r="L60" s="201"/>
      <c r="M60" s="306"/>
      <c r="N60" s="306"/>
      <c r="O60" s="306"/>
      <c r="P60" s="306"/>
      <c r="Q60" s="201"/>
      <c r="R60" s="239"/>
      <c r="S60" s="245"/>
      <c r="T60" s="245"/>
      <c r="U60" s="245"/>
      <c r="V60" s="245"/>
      <c r="W60" s="239"/>
      <c r="X60" s="245"/>
      <c r="Y60" s="245"/>
      <c r="Z60" s="245"/>
      <c r="AA60" s="245"/>
      <c r="AB60" s="306"/>
      <c r="AC60" s="306"/>
      <c r="AD60" s="306"/>
      <c r="AF60" s="370"/>
    </row>
    <row r="61" spans="1:32" x14ac:dyDescent="0.35">
      <c r="A61" s="169"/>
      <c r="B61" s="170" t="s">
        <v>239</v>
      </c>
      <c r="C61" s="240">
        <v>49007</v>
      </c>
      <c r="D61" s="248">
        <v>51559</v>
      </c>
      <c r="E61" s="248">
        <v>53744</v>
      </c>
      <c r="F61" s="248">
        <f>+G61-SUM(C61,D61,E61)</f>
        <v>55633</v>
      </c>
      <c r="G61" s="248">
        <v>209943</v>
      </c>
      <c r="H61" s="200">
        <v>57102</v>
      </c>
      <c r="I61" s="200">
        <v>59618</v>
      </c>
      <c r="J61" s="200">
        <v>82707</v>
      </c>
      <c r="K61" s="200">
        <f>+L61-SUM(H61:J61)</f>
        <v>85863</v>
      </c>
      <c r="L61" s="200">
        <v>285290</v>
      </c>
      <c r="M61" s="200">
        <v>86961</v>
      </c>
      <c r="N61" s="200">
        <v>87871</v>
      </c>
      <c r="O61" s="200">
        <v>88753</v>
      </c>
      <c r="P61" s="325">
        <f>+Q61-SUM(M61:O61)</f>
        <v>93744</v>
      </c>
      <c r="Q61" s="200">
        <v>357329</v>
      </c>
      <c r="R61" s="248">
        <f>H61</f>
        <v>57102</v>
      </c>
      <c r="S61" s="248">
        <f t="shared" ref="S61:V62" si="70">I61</f>
        <v>59618</v>
      </c>
      <c r="T61" s="248">
        <f t="shared" si="70"/>
        <v>82707</v>
      </c>
      <c r="U61" s="248">
        <f t="shared" si="70"/>
        <v>85863</v>
      </c>
      <c r="V61" s="248">
        <f t="shared" si="70"/>
        <v>285290</v>
      </c>
      <c r="W61" s="248">
        <f t="shared" ref="W61:AA62" si="71">M61</f>
        <v>86961</v>
      </c>
      <c r="X61" s="248">
        <f t="shared" si="71"/>
        <v>87871</v>
      </c>
      <c r="Y61" s="248">
        <f t="shared" si="71"/>
        <v>88753</v>
      </c>
      <c r="Z61" s="248">
        <f t="shared" si="71"/>
        <v>93744</v>
      </c>
      <c r="AA61" s="248">
        <f t="shared" si="71"/>
        <v>357329</v>
      </c>
      <c r="AB61" s="200">
        <v>92431</v>
      </c>
      <c r="AC61" s="200">
        <v>81679</v>
      </c>
      <c r="AD61" s="200">
        <v>90498.952496695405</v>
      </c>
      <c r="AF61" s="348"/>
    </row>
    <row r="62" spans="1:32" x14ac:dyDescent="0.35">
      <c r="A62" s="164"/>
      <c r="B62" s="172" t="s">
        <v>149</v>
      </c>
      <c r="C62" s="241">
        <v>0.25768618795873333</v>
      </c>
      <c r="D62" s="241">
        <v>0.30169910878840667</v>
      </c>
      <c r="E62" s="241">
        <v>0.29077503182265763</v>
      </c>
      <c r="F62" s="241">
        <v>0.22211238522033305</v>
      </c>
      <c r="G62" s="241">
        <v>0.26674671461498556</v>
      </c>
      <c r="H62" s="173">
        <f t="shared" ref="H62:Q62" si="72">H61/C61-1</f>
        <v>0.16518048442059308</v>
      </c>
      <c r="I62" s="173">
        <f t="shared" si="72"/>
        <v>0.15630636746251869</v>
      </c>
      <c r="J62" s="173">
        <f t="shared" si="72"/>
        <v>0.53890666865138437</v>
      </c>
      <c r="K62" s="173">
        <f t="shared" si="72"/>
        <v>0.54338252476048399</v>
      </c>
      <c r="L62" s="173">
        <f t="shared" si="72"/>
        <v>0.35889265181501639</v>
      </c>
      <c r="M62" s="173">
        <f t="shared" si="72"/>
        <v>0.52290637806031315</v>
      </c>
      <c r="N62" s="173">
        <f t="shared" si="72"/>
        <v>0.47390049984903881</v>
      </c>
      <c r="O62" s="173">
        <f t="shared" si="72"/>
        <v>7.3101430350514418E-2</v>
      </c>
      <c r="P62" s="173">
        <f t="shared" si="72"/>
        <v>9.178575172076453E-2</v>
      </c>
      <c r="Q62" s="173">
        <f t="shared" si="72"/>
        <v>0.25251147954712749</v>
      </c>
      <c r="R62" s="241">
        <f t="shared" ref="R62" si="73">H62</f>
        <v>0.16518048442059308</v>
      </c>
      <c r="S62" s="241">
        <f t="shared" si="70"/>
        <v>0.15630636746251869</v>
      </c>
      <c r="T62" s="241">
        <f t="shared" si="70"/>
        <v>0.53890666865138437</v>
      </c>
      <c r="U62" s="241">
        <f t="shared" si="70"/>
        <v>0.54338252476048399</v>
      </c>
      <c r="V62" s="241">
        <f>L62</f>
        <v>0.35889265181501639</v>
      </c>
      <c r="W62" s="241">
        <f t="shared" si="71"/>
        <v>0.52290637806031315</v>
      </c>
      <c r="X62" s="241">
        <f t="shared" si="71"/>
        <v>0.47390049984903881</v>
      </c>
      <c r="Y62" s="241">
        <f t="shared" si="71"/>
        <v>7.3101430350514418E-2</v>
      </c>
      <c r="Z62" s="241">
        <f t="shared" si="71"/>
        <v>9.178575172076453E-2</v>
      </c>
      <c r="AA62" s="241">
        <f t="shared" si="71"/>
        <v>0.25251147954712749</v>
      </c>
      <c r="AB62" s="173">
        <f t="shared" ref="AB62:AD62" si="74">AB61/W61-1</f>
        <v>6.2901760559331166E-2</v>
      </c>
      <c r="AC62" s="173">
        <f t="shared" si="74"/>
        <v>-7.0466934483504273E-2</v>
      </c>
      <c r="AD62" s="173">
        <f t="shared" si="74"/>
        <v>1.9672039217777382E-2</v>
      </c>
      <c r="AF62" s="181"/>
    </row>
    <row r="63" spans="1:32" x14ac:dyDescent="0.35">
      <c r="A63" s="164"/>
      <c r="B63" s="172" t="s">
        <v>160</v>
      </c>
      <c r="C63" s="242">
        <v>0.26449313786220241</v>
      </c>
      <c r="D63" s="246">
        <v>0.30672714056653971</v>
      </c>
      <c r="E63" s="241">
        <v>0.28622381929732188</v>
      </c>
      <c r="F63" s="241">
        <v>0.21556896689772653</v>
      </c>
      <c r="G63" s="241">
        <v>0.2666081850078057</v>
      </c>
      <c r="H63" s="173">
        <v>0.15791931376504653</v>
      </c>
      <c r="I63" s="173">
        <v>0.1540402023110381</v>
      </c>
      <c r="J63" s="174">
        <v>0.5407405328511683</v>
      </c>
      <c r="K63" s="174">
        <v>0.54969054598859524</v>
      </c>
      <c r="L63" s="173">
        <v>0.35878167493354329</v>
      </c>
      <c r="M63" s="173">
        <v>0.53100000000000003</v>
      </c>
      <c r="N63" s="181">
        <v>0.47899999999999998</v>
      </c>
      <c r="O63" s="181">
        <v>7.8E-2</v>
      </c>
      <c r="P63" s="181">
        <v>0.09</v>
      </c>
      <c r="Q63" s="173">
        <v>0.25600000000000001</v>
      </c>
      <c r="R63" s="353">
        <f>H63</f>
        <v>0.15791931376504653</v>
      </c>
      <c r="S63" s="353">
        <f t="shared" ref="S63:W63" si="75">I63</f>
        <v>0.1540402023110381</v>
      </c>
      <c r="T63" s="353">
        <f t="shared" si="75"/>
        <v>0.5407405328511683</v>
      </c>
      <c r="U63" s="353">
        <f t="shared" si="75"/>
        <v>0.54969054598859524</v>
      </c>
      <c r="V63" s="353">
        <f t="shared" si="75"/>
        <v>0.35878167493354329</v>
      </c>
      <c r="W63" s="353">
        <f t="shared" si="75"/>
        <v>0.53100000000000003</v>
      </c>
      <c r="X63" s="353">
        <f t="shared" ref="X63" si="76">N63</f>
        <v>0.47899999999999998</v>
      </c>
      <c r="Y63" s="353">
        <f t="shared" ref="Y63" si="77">O63</f>
        <v>7.8E-2</v>
      </c>
      <c r="Z63" s="353">
        <f t="shared" ref="Z63" si="78">P63</f>
        <v>0.09</v>
      </c>
      <c r="AA63" s="353">
        <f t="shared" ref="AA63" si="79">Q63</f>
        <v>0.25600000000000001</v>
      </c>
      <c r="AB63" s="181">
        <v>6.6205178752887672E-2</v>
      </c>
      <c r="AC63" s="181">
        <v>-6.8137737405081777E-2</v>
      </c>
      <c r="AD63" s="181">
        <v>1.6102449288212473E-2</v>
      </c>
      <c r="AF63" s="181"/>
    </row>
    <row r="64" spans="1:32" x14ac:dyDescent="0.35">
      <c r="A64" s="164"/>
      <c r="B64" s="172" t="s">
        <v>58</v>
      </c>
      <c r="C64" s="243">
        <f>ROUND(17250.6004479698,0)</f>
        <v>17251</v>
      </c>
      <c r="D64" s="243">
        <f>ROUND(17907.9207157307,0)</f>
        <v>17908</v>
      </c>
      <c r="E64" s="243">
        <f>ROUND(18114.961717834,0)-1</f>
        <v>18114</v>
      </c>
      <c r="F64" s="243">
        <f>ROUND(+G64-SUM(C64,D64,E64),0)</f>
        <v>19710</v>
      </c>
      <c r="G64" s="243">
        <f>ROUND(72983.3295386044,0)</f>
        <v>72983</v>
      </c>
      <c r="H64" s="175">
        <v>19027</v>
      </c>
      <c r="I64" s="175">
        <v>20962</v>
      </c>
      <c r="J64" s="175">
        <v>29069</v>
      </c>
      <c r="K64" s="175">
        <f>+L64-SUM(H64:J64)</f>
        <v>31628</v>
      </c>
      <c r="L64" s="175">
        <v>100686</v>
      </c>
      <c r="M64" s="175">
        <v>30059</v>
      </c>
      <c r="N64" s="175">
        <v>30440</v>
      </c>
      <c r="O64" s="175">
        <v>30920</v>
      </c>
      <c r="P64" s="175">
        <f>+Q64-SUM(M64:O64)</f>
        <v>34665</v>
      </c>
      <c r="Q64" s="175">
        <v>126084</v>
      </c>
      <c r="R64" s="243">
        <f>H64</f>
        <v>19027</v>
      </c>
      <c r="S64" s="243">
        <f t="shared" ref="S64:V64" si="80">I64</f>
        <v>20962</v>
      </c>
      <c r="T64" s="243">
        <f t="shared" si="80"/>
        <v>29069</v>
      </c>
      <c r="U64" s="243">
        <f t="shared" si="80"/>
        <v>31628</v>
      </c>
      <c r="V64" s="243">
        <f t="shared" si="80"/>
        <v>100686</v>
      </c>
      <c r="W64" s="243">
        <f t="shared" ref="W64:W65" si="81">M64</f>
        <v>30059</v>
      </c>
      <c r="X64" s="243">
        <f t="shared" ref="X64:X65" si="82">N64</f>
        <v>30440</v>
      </c>
      <c r="Y64" s="243">
        <f t="shared" ref="Y64:Y65" si="83">O64</f>
        <v>30920</v>
      </c>
      <c r="Z64" s="243">
        <f t="shared" ref="Z64:Z65" si="84">P64</f>
        <v>34665</v>
      </c>
      <c r="AA64" s="243">
        <f t="shared" ref="AA64:AA65" si="85">Q64</f>
        <v>126084</v>
      </c>
      <c r="AB64" s="175">
        <v>33815</v>
      </c>
      <c r="AC64" s="175">
        <v>24447</v>
      </c>
      <c r="AD64" s="292">
        <v>34027.680296218474</v>
      </c>
      <c r="AF64" s="369"/>
    </row>
    <row r="65" spans="1:32" x14ac:dyDescent="0.35">
      <c r="A65" s="164"/>
      <c r="B65" s="172" t="s">
        <v>60</v>
      </c>
      <c r="C65" s="242">
        <f t="shared" ref="C65:H65" si="86">C64/C61</f>
        <v>0.35201093721305121</v>
      </c>
      <c r="D65" s="242">
        <f t="shared" si="86"/>
        <v>0.34733024302255666</v>
      </c>
      <c r="E65" s="242">
        <f t="shared" si="86"/>
        <v>0.3370422744864543</v>
      </c>
      <c r="F65" s="242">
        <f t="shared" ref="F65" si="87">F64/F61</f>
        <v>0.35428612514155267</v>
      </c>
      <c r="G65" s="242">
        <f t="shared" ref="G65" si="88">G64/G61</f>
        <v>0.34763245261809156</v>
      </c>
      <c r="H65" s="174">
        <f t="shared" si="86"/>
        <v>0.33321074568316345</v>
      </c>
      <c r="I65" s="174">
        <f t="shared" ref="I65:J65" si="89">I64/I61</f>
        <v>0.35160521990003019</v>
      </c>
      <c r="J65" s="174">
        <f t="shared" si="89"/>
        <v>0.35146964585827078</v>
      </c>
      <c r="K65" s="174">
        <f t="shared" ref="K65:L65" si="90">K64/K61</f>
        <v>0.36835423872913831</v>
      </c>
      <c r="L65" s="174">
        <f t="shared" si="90"/>
        <v>0.35292509376423992</v>
      </c>
      <c r="M65" s="174">
        <f t="shared" ref="M65:N65" si="91">M64/M61</f>
        <v>0.34566069847402858</v>
      </c>
      <c r="N65" s="174">
        <f t="shared" si="91"/>
        <v>0.34641690660172297</v>
      </c>
      <c r="O65" s="174">
        <f t="shared" ref="O65:P65" si="92">O64/O61</f>
        <v>0.34838258988428561</v>
      </c>
      <c r="P65" s="174">
        <f t="shared" si="92"/>
        <v>0.36978366615463387</v>
      </c>
      <c r="Q65" s="174">
        <f>Q64/Q61</f>
        <v>0.35285129390561637</v>
      </c>
      <c r="R65" s="242">
        <f t="shared" ref="R65" si="93">H65</f>
        <v>0.33321074568316345</v>
      </c>
      <c r="S65" s="242">
        <f t="shared" ref="S65" si="94">I65</f>
        <v>0.35160521990003019</v>
      </c>
      <c r="T65" s="242">
        <f t="shared" ref="T65" si="95">J65</f>
        <v>0.35146964585827078</v>
      </c>
      <c r="U65" s="242">
        <f t="shared" ref="U65" si="96">K65</f>
        <v>0.36835423872913831</v>
      </c>
      <c r="V65" s="242">
        <f t="shared" ref="V65" si="97">L65</f>
        <v>0.35292509376423992</v>
      </c>
      <c r="W65" s="242">
        <f t="shared" si="81"/>
        <v>0.34566069847402858</v>
      </c>
      <c r="X65" s="242">
        <f t="shared" si="82"/>
        <v>0.34641690660172297</v>
      </c>
      <c r="Y65" s="242">
        <f t="shared" si="83"/>
        <v>0.34838258988428561</v>
      </c>
      <c r="Z65" s="242">
        <f t="shared" si="84"/>
        <v>0.36978366615463387</v>
      </c>
      <c r="AA65" s="242">
        <f t="shared" si="85"/>
        <v>0.35285129390561637</v>
      </c>
      <c r="AB65" s="174">
        <f t="shared" ref="AB65:AD65" si="98">AB64/AB61</f>
        <v>0.36584046477913257</v>
      </c>
      <c r="AC65" s="174">
        <f t="shared" si="98"/>
        <v>0.29930581912119392</v>
      </c>
      <c r="AD65" s="174">
        <f t="shared" si="98"/>
        <v>0.37600081942894314</v>
      </c>
      <c r="AF65" s="182"/>
    </row>
    <row r="66" spans="1:32" x14ac:dyDescent="0.35">
      <c r="A66" s="164"/>
      <c r="B66" s="172"/>
      <c r="C66" s="242"/>
      <c r="D66" s="245"/>
      <c r="E66" s="245"/>
      <c r="F66" s="245"/>
      <c r="G66" s="245"/>
      <c r="K66" s="163"/>
      <c r="L66" s="163"/>
      <c r="M66" s="163"/>
      <c r="N66" s="163"/>
      <c r="O66" s="163"/>
      <c r="P66" s="163"/>
      <c r="Q66" s="163"/>
      <c r="R66" s="242"/>
      <c r="S66" s="245"/>
      <c r="T66" s="245"/>
      <c r="U66" s="245"/>
      <c r="V66" s="245"/>
      <c r="W66" s="242"/>
      <c r="X66" s="245"/>
      <c r="Y66" s="245"/>
      <c r="Z66" s="245"/>
      <c r="AA66" s="245"/>
    </row>
    <row r="67" spans="1:32" x14ac:dyDescent="0.35">
      <c r="A67" s="169"/>
      <c r="B67" s="170" t="s">
        <v>84</v>
      </c>
      <c r="C67" s="171">
        <f t="shared" ref="C67:U67" si="99">+C61+C17</f>
        <v>183033</v>
      </c>
      <c r="D67" s="171">
        <f t="shared" si="99"/>
        <v>189057</v>
      </c>
      <c r="E67" s="171">
        <f t="shared" si="99"/>
        <v>192345</v>
      </c>
      <c r="F67" s="171">
        <f t="shared" si="99"/>
        <v>197875</v>
      </c>
      <c r="G67" s="171">
        <f t="shared" si="99"/>
        <v>762310</v>
      </c>
      <c r="H67" s="171">
        <f t="shared" si="99"/>
        <v>206973</v>
      </c>
      <c r="I67" s="171">
        <f t="shared" si="99"/>
        <v>210112</v>
      </c>
      <c r="J67" s="171">
        <f t="shared" si="99"/>
        <v>231124</v>
      </c>
      <c r="K67" s="171">
        <f t="shared" si="99"/>
        <v>234903</v>
      </c>
      <c r="L67" s="171">
        <f t="shared" si="99"/>
        <v>883112</v>
      </c>
      <c r="M67" s="171">
        <f t="shared" si="99"/>
        <v>239573</v>
      </c>
      <c r="N67" s="171">
        <f t="shared" si="99"/>
        <v>243509</v>
      </c>
      <c r="O67" s="171">
        <f t="shared" si="99"/>
        <v>251392</v>
      </c>
      <c r="P67" s="171">
        <f t="shared" si="99"/>
        <v>256872</v>
      </c>
      <c r="Q67" s="171">
        <f t="shared" si="99"/>
        <v>991346</v>
      </c>
      <c r="R67" s="351">
        <f t="shared" si="99"/>
        <v>206972.96685598622</v>
      </c>
      <c r="S67" s="351">
        <f>+S61+S17</f>
        <v>210112.46117321268</v>
      </c>
      <c r="T67" s="351">
        <f t="shared" si="99"/>
        <v>231123.88236976153</v>
      </c>
      <c r="U67" s="351">
        <f t="shared" si="99"/>
        <v>234903.3301324464</v>
      </c>
      <c r="V67" s="351">
        <f>+V61+V17</f>
        <v>883111.64053140674</v>
      </c>
      <c r="W67" s="351">
        <f t="shared" ref="W67:Z67" si="100">+W61+W17</f>
        <v>239573</v>
      </c>
      <c r="X67" s="351">
        <f t="shared" si="100"/>
        <v>243509</v>
      </c>
      <c r="Y67" s="351">
        <f t="shared" si="100"/>
        <v>251392</v>
      </c>
      <c r="Z67" s="351">
        <f t="shared" si="100"/>
        <v>256872</v>
      </c>
      <c r="AA67" s="351">
        <f>+AA61+AA17</f>
        <v>991346</v>
      </c>
      <c r="AB67" s="351">
        <f>+AB61+AB17</f>
        <v>245990</v>
      </c>
      <c r="AC67" s="351">
        <f>+AC61+AC17</f>
        <v>222473</v>
      </c>
      <c r="AD67" s="351">
        <f>+AD61+AD17</f>
        <v>241018.09034936316</v>
      </c>
      <c r="AF67" s="371"/>
    </row>
    <row r="68" spans="1:32" x14ac:dyDescent="0.35">
      <c r="A68" s="164"/>
      <c r="B68" s="172"/>
      <c r="C68" s="291"/>
      <c r="D68" s="291"/>
      <c r="E68" s="291"/>
      <c r="F68" s="291"/>
      <c r="G68" s="291"/>
      <c r="K68" s="163"/>
      <c r="L68" s="163"/>
      <c r="M68" s="163"/>
      <c r="N68" s="163"/>
      <c r="O68" s="163"/>
      <c r="P68" s="163"/>
      <c r="Q68" s="163"/>
      <c r="R68" s="355"/>
      <c r="S68" s="355"/>
      <c r="T68" s="355"/>
      <c r="U68" s="355"/>
      <c r="V68" s="355"/>
      <c r="W68" s="352"/>
      <c r="X68" s="352"/>
      <c r="Y68" s="352"/>
      <c r="Z68" s="352"/>
      <c r="AA68" s="352"/>
    </row>
    <row r="69" spans="1:32" x14ac:dyDescent="0.35">
      <c r="A69" s="164"/>
      <c r="B69" s="172" t="s">
        <v>244</v>
      </c>
      <c r="C69" s="174"/>
      <c r="K69" s="163"/>
      <c r="L69" s="163"/>
      <c r="M69" s="163"/>
      <c r="N69" s="163"/>
      <c r="O69" s="163"/>
      <c r="P69" s="163"/>
      <c r="Q69" s="163"/>
      <c r="R69" s="163"/>
      <c r="S69" s="163"/>
      <c r="T69" s="163"/>
      <c r="U69" s="163"/>
      <c r="V69" s="163"/>
      <c r="W69" s="266"/>
    </row>
    <row r="70" spans="1:32" x14ac:dyDescent="0.35">
      <c r="A70" s="164"/>
      <c r="B70" s="180" t="s">
        <v>243</v>
      </c>
      <c r="C70" s="174"/>
      <c r="K70" s="163"/>
      <c r="L70" s="163"/>
      <c r="M70" s="163"/>
      <c r="N70" s="163"/>
      <c r="O70" s="163"/>
      <c r="P70" s="163"/>
      <c r="Q70" s="163"/>
      <c r="R70" s="163"/>
      <c r="S70" s="163"/>
      <c r="T70" s="163"/>
      <c r="U70" s="163"/>
      <c r="V70" s="163"/>
      <c r="W70" s="266"/>
    </row>
    <row r="71" spans="1:32" x14ac:dyDescent="0.35">
      <c r="A71" s="164"/>
      <c r="B71" s="180"/>
      <c r="C71" s="174"/>
      <c r="K71" s="163"/>
      <c r="L71" s="163"/>
      <c r="M71" s="163"/>
      <c r="N71" s="163"/>
      <c r="O71" s="163"/>
      <c r="P71" s="163"/>
      <c r="Q71" s="163"/>
      <c r="R71" s="163"/>
      <c r="S71" s="163"/>
      <c r="T71" s="163"/>
      <c r="U71" s="163"/>
      <c r="V71" s="163"/>
      <c r="W71" s="266"/>
    </row>
    <row r="72" spans="1:32" x14ac:dyDescent="0.35">
      <c r="A72" s="164"/>
      <c r="B72" s="172" t="s">
        <v>245</v>
      </c>
      <c r="C72" s="174"/>
      <c r="K72" s="163"/>
      <c r="L72" s="163"/>
      <c r="M72" s="163"/>
      <c r="N72" s="163"/>
      <c r="O72" s="163"/>
      <c r="P72" s="163"/>
      <c r="Q72" s="163"/>
      <c r="R72" s="163"/>
      <c r="S72" s="163"/>
      <c r="T72" s="163"/>
      <c r="U72" s="163"/>
      <c r="V72" s="163"/>
      <c r="W72" s="266"/>
    </row>
    <row r="73" spans="1:32" x14ac:dyDescent="0.35">
      <c r="A73" s="164"/>
      <c r="B73" s="172" t="s">
        <v>246</v>
      </c>
      <c r="C73" s="174"/>
      <c r="K73" s="163"/>
      <c r="L73" s="163"/>
      <c r="M73" s="163"/>
      <c r="N73" s="163"/>
      <c r="O73" s="163"/>
      <c r="P73" s="163"/>
      <c r="Q73" s="163"/>
      <c r="R73" s="163"/>
      <c r="S73" s="163"/>
      <c r="T73" s="163"/>
      <c r="U73" s="163"/>
      <c r="V73" s="163"/>
      <c r="W73" s="266"/>
    </row>
    <row r="74" spans="1:32" x14ac:dyDescent="0.35">
      <c r="A74" s="164"/>
      <c r="B74" s="172"/>
      <c r="C74" s="174"/>
      <c r="K74" s="163"/>
      <c r="L74" s="163"/>
      <c r="M74" s="163"/>
      <c r="N74" s="163"/>
      <c r="O74" s="163"/>
      <c r="P74" s="163"/>
      <c r="Q74" s="163"/>
      <c r="R74" s="163"/>
      <c r="S74" s="163"/>
      <c r="T74" s="163"/>
      <c r="U74" s="163"/>
      <c r="V74" s="163"/>
      <c r="W74" s="266"/>
    </row>
    <row r="75" spans="1:32" x14ac:dyDescent="0.35">
      <c r="A75" s="164"/>
      <c r="B75" s="172"/>
      <c r="C75" s="174"/>
      <c r="K75" s="163"/>
      <c r="L75" s="163"/>
      <c r="M75" s="163"/>
      <c r="N75" s="163"/>
      <c r="O75" s="163"/>
      <c r="P75" s="163"/>
      <c r="Q75" s="163"/>
      <c r="R75" s="163"/>
      <c r="S75" s="163"/>
      <c r="T75" s="163"/>
      <c r="U75" s="163"/>
      <c r="V75" s="163"/>
      <c r="W75" s="266"/>
    </row>
    <row r="76" spans="1:32" x14ac:dyDescent="0.35">
      <c r="A76" s="169"/>
      <c r="B76" s="170" t="s">
        <v>235</v>
      </c>
      <c r="C76" s="183"/>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356"/>
    </row>
    <row r="77" spans="1:32" x14ac:dyDescent="0.35">
      <c r="A77" s="164"/>
      <c r="B77" s="184" t="s">
        <v>153</v>
      </c>
      <c r="C77" s="252">
        <v>77240.412532799455</v>
      </c>
      <c r="D77" s="252">
        <v>79617.534971087662</v>
      </c>
      <c r="E77" s="252">
        <v>80949.247830402906</v>
      </c>
      <c r="F77" s="252">
        <v>83284.909143715704</v>
      </c>
      <c r="G77" s="252">
        <f>C77+D77+E77+F77</f>
        <v>321092.10447800573</v>
      </c>
      <c r="H77" s="185">
        <v>90659.480287046856</v>
      </c>
      <c r="I77" s="185">
        <v>93663.40367665753</v>
      </c>
      <c r="J77" s="185">
        <v>96028.058361202435</v>
      </c>
      <c r="K77" s="185">
        <v>95227.546474638701</v>
      </c>
      <c r="L77" s="185">
        <f>H77+I77+J77+K77</f>
        <v>375578.48879954551</v>
      </c>
      <c r="M77" s="185">
        <v>100958.7534962692</v>
      </c>
      <c r="N77" s="185">
        <v>103525.8957768306</v>
      </c>
      <c r="O77" s="185">
        <v>109286.83625354461</v>
      </c>
      <c r="P77" s="331">
        <v>107198.73751952131</v>
      </c>
      <c r="Q77" s="331">
        <v>420970.22304616572</v>
      </c>
      <c r="R77" s="252">
        <v>90659.480287046856</v>
      </c>
      <c r="S77" s="252">
        <v>93663.40367665753</v>
      </c>
      <c r="T77" s="252">
        <v>96028.058361202435</v>
      </c>
      <c r="U77" s="252">
        <v>95227.546474638701</v>
      </c>
      <c r="V77" s="252">
        <f>SUM(R77:U77)</f>
        <v>375578.48879954551</v>
      </c>
      <c r="W77" s="252">
        <v>100958.7534962692</v>
      </c>
      <c r="X77" s="252">
        <v>103525.8957768306</v>
      </c>
      <c r="Y77" s="252">
        <v>109286.83625354461</v>
      </c>
      <c r="Z77" s="252">
        <v>107198.73751952131</v>
      </c>
      <c r="AA77" s="252">
        <v>420970.22304616572</v>
      </c>
      <c r="AB77" s="331">
        <v>107827.65817521796</v>
      </c>
      <c r="AC77" s="331">
        <v>100706.54271371941</v>
      </c>
      <c r="AD77" s="331">
        <v>109678.25203491189</v>
      </c>
      <c r="AE77" s="357"/>
    </row>
    <row r="78" spans="1:32" x14ac:dyDescent="0.35">
      <c r="A78" s="186"/>
      <c r="B78" s="184"/>
      <c r="C78" s="253">
        <f>C77/$C$67</f>
        <v>0.42200265816983523</v>
      </c>
      <c r="D78" s="253">
        <f>D77/$D$67</f>
        <v>0.42112979139141987</v>
      </c>
      <c r="E78" s="253">
        <f>E77/$E$67</f>
        <v>0.42085444295616165</v>
      </c>
      <c r="F78" s="253">
        <f>F77/$F$67</f>
        <v>0.42089657179388856</v>
      </c>
      <c r="G78" s="253">
        <f>G77/$G$67</f>
        <v>0.42120935640094676</v>
      </c>
      <c r="H78" s="258">
        <f>+H77/$H$67</f>
        <v>0.43802563758097363</v>
      </c>
      <c r="I78" s="258">
        <f>+I77/$I$67</f>
        <v>0.44577845947236489</v>
      </c>
      <c r="J78" s="258">
        <f>+J77/$J$67</f>
        <v>0.4154828505962273</v>
      </c>
      <c r="K78" s="258">
        <f>+K77/$K$67</f>
        <v>0.4053909335965854</v>
      </c>
      <c r="L78" s="258">
        <f>L77/$L$67</f>
        <v>0.42528975803697094</v>
      </c>
      <c r="M78" s="258">
        <f>M77/$M$67</f>
        <v>0.42141123372111716</v>
      </c>
      <c r="N78" s="258">
        <f>N77/$N$67</f>
        <v>0.42514196919551472</v>
      </c>
      <c r="O78" s="258">
        <f>O77/$O$67</f>
        <v>0.43472678626823691</v>
      </c>
      <c r="P78" s="258">
        <f>P77/$P$67</f>
        <v>0.41732356005917853</v>
      </c>
      <c r="Q78" s="258">
        <f>Q77/$Q$67</f>
        <v>0.42464510175676878</v>
      </c>
      <c r="R78" s="353">
        <f>R77/SUM(R$77,R$79,R$81)</f>
        <v>0.43802486616990721</v>
      </c>
      <c r="S78" s="353">
        <f t="shared" ref="S78:V78" si="101">S77/SUM(S$77,S$79,S$81)</f>
        <v>0.44577835604948013</v>
      </c>
      <c r="T78" s="353">
        <f t="shared" si="101"/>
        <v>0.41548271064062137</v>
      </c>
      <c r="U78" s="353">
        <f t="shared" si="101"/>
        <v>0.40539085016031123</v>
      </c>
      <c r="V78" s="353">
        <f t="shared" si="101"/>
        <v>0.42528949824786805</v>
      </c>
      <c r="W78" s="353">
        <f>W77/$W$67</f>
        <v>0.42141123372111716</v>
      </c>
      <c r="X78" s="353">
        <f>X77/$X$67</f>
        <v>0.42514196919551472</v>
      </c>
      <c r="Y78" s="353">
        <f>Y77/$Y$67</f>
        <v>0.43472678626823691</v>
      </c>
      <c r="Z78" s="353">
        <f>Z77/$Z$67</f>
        <v>0.41732356005917853</v>
      </c>
      <c r="AA78" s="353">
        <f>AA77/$AA$67</f>
        <v>0.42464510175676878</v>
      </c>
      <c r="AB78" s="258">
        <f>AB77/$AB$67</f>
        <v>0.43834163248594643</v>
      </c>
      <c r="AC78" s="258">
        <f>AC77/$AC$67</f>
        <v>0.45266860569021594</v>
      </c>
      <c r="AD78" s="258">
        <f>AD77/$AD$67</f>
        <v>0.45506232281539477</v>
      </c>
    </row>
    <row r="79" spans="1:32" x14ac:dyDescent="0.35">
      <c r="A79" s="186"/>
      <c r="B79" s="184" t="s">
        <v>152</v>
      </c>
      <c r="C79" s="252">
        <v>28565.750130000004</v>
      </c>
      <c r="D79" s="252">
        <v>28156.917699999998</v>
      </c>
      <c r="E79" s="252">
        <v>30230.509270000002</v>
      </c>
      <c r="F79" s="252">
        <v>33211.816870000002</v>
      </c>
      <c r="G79" s="252">
        <f>C79+D79+E79+F79</f>
        <v>120164.99397000001</v>
      </c>
      <c r="H79" s="185">
        <v>34104.735787288213</v>
      </c>
      <c r="I79" s="185">
        <v>31671.265590000003</v>
      </c>
      <c r="J79" s="185">
        <v>52232.656980799991</v>
      </c>
      <c r="K79" s="185">
        <v>57047.38757359999</v>
      </c>
      <c r="L79" s="185">
        <f>H79+I79+J79+K79</f>
        <v>175056.04593168822</v>
      </c>
      <c r="M79" s="185">
        <v>53248.401116638008</v>
      </c>
      <c r="N79" s="185">
        <v>53986.086069446013</v>
      </c>
      <c r="O79" s="185">
        <v>55980.109864710008</v>
      </c>
      <c r="P79" s="331">
        <v>62630.014391522003</v>
      </c>
      <c r="Q79" s="331">
        <v>225844.61144231603</v>
      </c>
      <c r="R79" s="252">
        <v>27724.645749843756</v>
      </c>
      <c r="S79" s="252">
        <v>28127.229320000002</v>
      </c>
      <c r="T79" s="252">
        <v>48542.749710799981</v>
      </c>
      <c r="U79" s="252">
        <v>52943.65687359999</v>
      </c>
      <c r="V79" s="252">
        <f>SUM(R79:U79)</f>
        <v>157338.28165424371</v>
      </c>
      <c r="W79" s="252">
        <v>51950.064850000002</v>
      </c>
      <c r="X79" s="252">
        <v>52531.364070000011</v>
      </c>
      <c r="Y79" s="252">
        <v>54590.176680000004</v>
      </c>
      <c r="Z79" s="252">
        <v>61376.957519999989</v>
      </c>
      <c r="AA79" s="252">
        <v>220448.56312000001</v>
      </c>
      <c r="AB79" s="331">
        <v>57262.171140788683</v>
      </c>
      <c r="AC79" s="331">
        <v>53513.086060000031</v>
      </c>
      <c r="AD79" s="331">
        <v>58187.223970000006</v>
      </c>
      <c r="AE79" s="357"/>
    </row>
    <row r="80" spans="1:32" x14ac:dyDescent="0.35">
      <c r="A80" s="186"/>
      <c r="B80" s="184"/>
      <c r="C80" s="253">
        <f>C79/$C$67</f>
        <v>0.15606885168248349</v>
      </c>
      <c r="D80" s="253">
        <f>D79/$D$67</f>
        <v>0.14893348408152038</v>
      </c>
      <c r="E80" s="253">
        <f>E79/$E$67</f>
        <v>0.15716815758142921</v>
      </c>
      <c r="F80" s="253">
        <f>F79/$F$67</f>
        <v>0.16784240995578018</v>
      </c>
      <c r="G80" s="253">
        <f>+G79/$G$67</f>
        <v>0.15763271368603327</v>
      </c>
      <c r="H80" s="258">
        <f>+H79/$H$67</f>
        <v>0.16477867058644466</v>
      </c>
      <c r="I80" s="258">
        <f>+I79/$I$67</f>
        <v>0.15073515834412124</v>
      </c>
      <c r="J80" s="258">
        <f>+J79/$J$67</f>
        <v>0.22599408534293275</v>
      </c>
      <c r="K80" s="258">
        <f>+K79/$K$67</f>
        <v>0.24285508304959916</v>
      </c>
      <c r="L80" s="258">
        <f>+L79/$L$67</f>
        <v>0.19822632455644157</v>
      </c>
      <c r="M80" s="258">
        <f>+M79/$M$67</f>
        <v>0.22226378229866475</v>
      </c>
      <c r="N80" s="258">
        <f>+N79/$N$67</f>
        <v>0.2217005780872412</v>
      </c>
      <c r="O80" s="258">
        <f>+O79/$O$67</f>
        <v>0.22268055413342511</v>
      </c>
      <c r="P80" s="258">
        <f>+P79/$P$67</f>
        <v>0.24381798869289764</v>
      </c>
      <c r="Q80" s="258">
        <f>+Q79/$Q$67</f>
        <v>0.22781613225081457</v>
      </c>
      <c r="R80" s="353">
        <f>R79/SUM(R$77,R$79,R$81)</f>
        <v>0.13395272293347249</v>
      </c>
      <c r="S80" s="353">
        <f t="shared" ref="S80:V80" si="102">S79/SUM(S$77,S$79,S$81)</f>
        <v>0.13386776002483819</v>
      </c>
      <c r="T80" s="353">
        <f t="shared" si="102"/>
        <v>0.21002896003509144</v>
      </c>
      <c r="U80" s="353">
        <f t="shared" si="102"/>
        <v>0.22538514185389166</v>
      </c>
      <c r="V80" s="353">
        <f t="shared" si="102"/>
        <v>0.17816334229841554</v>
      </c>
      <c r="W80" s="353">
        <f>+W79/$W$67</f>
        <v>0.21684440588046233</v>
      </c>
      <c r="X80" s="353">
        <f>+X79/$X$67</f>
        <v>0.21572658123519053</v>
      </c>
      <c r="Y80" s="353">
        <f>+Y79/$Y$67</f>
        <v>0.21715160657459268</v>
      </c>
      <c r="Z80" s="353">
        <f>+Z79/$Z$67</f>
        <v>0.23893985144352048</v>
      </c>
      <c r="AA80" s="353">
        <f>+AA79/$AA$67</f>
        <v>0.22237297887922078</v>
      </c>
      <c r="AB80" s="258">
        <f>+AB79/$AB$67</f>
        <v>0.23278251612174755</v>
      </c>
      <c r="AC80" s="258">
        <f>+AC79/$AC$67</f>
        <v>0.24053744076809336</v>
      </c>
      <c r="AD80" s="258">
        <f>+AD79/$AD$67</f>
        <v>0.24142264128661806</v>
      </c>
    </row>
    <row r="81" spans="1:31" x14ac:dyDescent="0.35">
      <c r="A81" s="186"/>
      <c r="B81" s="184" t="s">
        <v>232</v>
      </c>
      <c r="C81" s="253"/>
      <c r="D81" s="253"/>
      <c r="E81" s="253"/>
      <c r="F81" s="253"/>
      <c r="G81" s="253"/>
      <c r="H81" s="241"/>
      <c r="I81" s="241"/>
      <c r="J81" s="241"/>
      <c r="K81" s="241"/>
      <c r="L81" s="241"/>
      <c r="M81" s="241"/>
      <c r="N81" s="241"/>
      <c r="O81" s="241"/>
      <c r="P81" s="241"/>
      <c r="Q81" s="241"/>
      <c r="R81" s="252">
        <v>88589.238465846531</v>
      </c>
      <c r="S81" s="252">
        <v>88321.415750413449</v>
      </c>
      <c r="T81" s="252">
        <v>86553.269782258722</v>
      </c>
      <c r="U81" s="252">
        <v>86731.844998760513</v>
      </c>
      <c r="V81" s="252">
        <f>SUM(R81:U81)</f>
        <v>350195.76899727923</v>
      </c>
      <c r="W81" s="252">
        <v>86664.207151561772</v>
      </c>
      <c r="X81" s="252">
        <v>87452.22949955985</v>
      </c>
      <c r="Y81" s="252">
        <v>87514.540471899702</v>
      </c>
      <c r="Z81" s="252">
        <v>88296.757855205593</v>
      </c>
      <c r="AA81" s="252">
        <v>349926.734978227</v>
      </c>
      <c r="AB81" s="331">
        <v>80900.367339627395</v>
      </c>
      <c r="AC81" s="331">
        <v>68253.371226280564</v>
      </c>
      <c r="AD81" s="331">
        <v>73152.783378038745</v>
      </c>
      <c r="AE81" s="357"/>
    </row>
    <row r="82" spans="1:31" x14ac:dyDescent="0.35">
      <c r="A82" s="186"/>
      <c r="B82" s="184"/>
      <c r="C82" s="253"/>
      <c r="D82" s="253"/>
      <c r="E82" s="253"/>
      <c r="F82" s="253"/>
      <c r="G82" s="253"/>
      <c r="H82" s="241"/>
      <c r="I82" s="241"/>
      <c r="J82" s="241"/>
      <c r="K82" s="241"/>
      <c r="L82" s="241"/>
      <c r="M82" s="241"/>
      <c r="N82" s="241"/>
      <c r="O82" s="241"/>
      <c r="P82" s="241"/>
      <c r="Q82" s="241"/>
      <c r="R82" s="353">
        <f>R81/SUM(R$77,R$79,R$81)</f>
        <v>0.42802241089662035</v>
      </c>
      <c r="S82" s="353">
        <f t="shared" ref="S82:V82" si="103">S81/SUM(S$77,S$79,S$81)</f>
        <v>0.42035388392568168</v>
      </c>
      <c r="T82" s="353">
        <f t="shared" si="103"/>
        <v>0.37448832932428711</v>
      </c>
      <c r="U82" s="353">
        <f t="shared" si="103"/>
        <v>0.36922400798579708</v>
      </c>
      <c r="V82" s="353">
        <f t="shared" si="103"/>
        <v>0.39654715945371632</v>
      </c>
      <c r="W82" s="353">
        <f>+W81/$W$67</f>
        <v>0.36174446682874017</v>
      </c>
      <c r="X82" s="353">
        <f>+X81/$X$67</f>
        <v>0.35913345913111977</v>
      </c>
      <c r="Y82" s="353">
        <f>+Y81/$Y$67</f>
        <v>0.3481198306704259</v>
      </c>
      <c r="Z82" s="353">
        <f>+Z81/$Z$67</f>
        <v>0.34373835161171945</v>
      </c>
      <c r="AA82" s="353">
        <f>+AA81/$AA$67</f>
        <v>0.35298143632821133</v>
      </c>
      <c r="AB82" s="258">
        <f>+AB81/$AB$67</f>
        <v>0.32887665083795031</v>
      </c>
      <c r="AC82" s="258">
        <f>+AC81/$AC$67</f>
        <v>0.30679395354169076</v>
      </c>
      <c r="AD82" s="258">
        <f>+AD81/$AD$67</f>
        <v>0.30351573722952302</v>
      </c>
    </row>
    <row r="83" spans="1:31" x14ac:dyDescent="0.35">
      <c r="A83" s="186"/>
      <c r="B83" s="172" t="s">
        <v>85</v>
      </c>
      <c r="C83" s="252">
        <v>11777.272072499996</v>
      </c>
      <c r="D83" s="252">
        <v>11915.431817500003</v>
      </c>
      <c r="E83" s="252">
        <v>10973.253296499999</v>
      </c>
      <c r="F83" s="252">
        <v>10686.693969299999</v>
      </c>
      <c r="G83" s="252">
        <f>C83+D83+E83+F83</f>
        <v>45352.651155799991</v>
      </c>
      <c r="H83" s="185">
        <v>11157.050967200001</v>
      </c>
      <c r="I83" s="185">
        <v>11094.3475992</v>
      </c>
      <c r="J83" s="185">
        <v>11047.168775000002</v>
      </c>
      <c r="K83" s="185">
        <v>10730.098052000003</v>
      </c>
      <c r="L83" s="185">
        <f>H83+I83+J83+K83</f>
        <v>44028.665393400006</v>
      </c>
      <c r="M83" s="185">
        <v>10655.176801822998</v>
      </c>
      <c r="N83" s="185">
        <v>11018.624987452999</v>
      </c>
      <c r="O83" s="185">
        <v>10498.847609164</v>
      </c>
      <c r="P83" s="331">
        <v>10038.998879698998</v>
      </c>
      <c r="Q83" s="331">
        <v>42211.648278138993</v>
      </c>
      <c r="R83" s="252"/>
      <c r="S83" s="252"/>
      <c r="T83" s="252"/>
      <c r="U83" s="252"/>
      <c r="V83" s="252"/>
      <c r="W83" s="252"/>
      <c r="X83" s="252"/>
      <c r="Y83" s="252"/>
      <c r="Z83" s="252"/>
      <c r="AA83" s="252"/>
      <c r="AB83" s="331"/>
      <c r="AC83" s="331"/>
      <c r="AD83" s="331"/>
    </row>
    <row r="84" spans="1:31" x14ac:dyDescent="0.35">
      <c r="A84" s="164"/>
      <c r="B84" s="172"/>
      <c r="C84" s="253">
        <f>C83/$C$67</f>
        <v>6.4345074781596748E-2</v>
      </c>
      <c r="D84" s="253">
        <f>D83/$D$67</f>
        <v>6.3025605068841681E-2</v>
      </c>
      <c r="E84" s="253">
        <f>E83/$E$67</f>
        <v>5.7049849471002619E-2</v>
      </c>
      <c r="F84" s="253">
        <f>F83/$F$67</f>
        <v>5.4007297381174976E-2</v>
      </c>
      <c r="G84" s="253">
        <f>+G83/$G$67</f>
        <v>5.949371142422373E-2</v>
      </c>
      <c r="H84" s="258">
        <f>+H83/$H$67</f>
        <v>5.3905828137969687E-2</v>
      </c>
      <c r="I84" s="258">
        <f>+I83/$I$67</f>
        <v>5.2802065561224493E-2</v>
      </c>
      <c r="J84" s="258">
        <f>+J83/$J$67</f>
        <v>4.779758387272634E-2</v>
      </c>
      <c r="K84" s="258">
        <f>+K83/$K$67</f>
        <v>4.567884638340082E-2</v>
      </c>
      <c r="L84" s="258">
        <f>+L83/$L$67</f>
        <v>4.9856264430106267E-2</v>
      </c>
      <c r="M84" s="258">
        <f>+M83/$M$67</f>
        <v>4.4475699689960881E-2</v>
      </c>
      <c r="N84" s="258">
        <f>+N83/$N$67</f>
        <v>4.5249354181787937E-2</v>
      </c>
      <c r="O84" s="258">
        <f>+O83/$O$67</f>
        <v>4.1762854860791114E-2</v>
      </c>
      <c r="P84" s="258">
        <f>+P83/$P$67</f>
        <v>3.9081717274358427E-2</v>
      </c>
      <c r="Q84" s="258">
        <f>+Q83/$Q$67</f>
        <v>4.2580136781849118E-2</v>
      </c>
      <c r="R84" s="253"/>
      <c r="S84" s="253"/>
      <c r="T84" s="253"/>
      <c r="U84" s="253"/>
      <c r="V84" s="253"/>
      <c r="W84" s="253"/>
      <c r="X84" s="253"/>
      <c r="Y84" s="253"/>
      <c r="Z84" s="253"/>
      <c r="AA84" s="253"/>
      <c r="AB84" s="258"/>
      <c r="AC84" s="258"/>
      <c r="AD84" s="258"/>
    </row>
    <row r="85" spans="1:31" x14ac:dyDescent="0.35">
      <c r="A85" s="164"/>
      <c r="B85" s="172" t="s">
        <v>86</v>
      </c>
      <c r="C85" s="252">
        <v>25764.426733570672</v>
      </c>
      <c r="D85" s="252">
        <v>29067.521734920243</v>
      </c>
      <c r="E85" s="252">
        <v>27949.59919703141</v>
      </c>
      <c r="F85" s="252">
        <v>29267.703627641393</v>
      </c>
      <c r="G85" s="252">
        <f>C85+D85+E85+F85</f>
        <v>112049.25129316372</v>
      </c>
      <c r="H85" s="185">
        <v>30705.141506376644</v>
      </c>
      <c r="I85" s="185">
        <v>31008.768678223187</v>
      </c>
      <c r="J85" s="185">
        <v>28940.265280251941</v>
      </c>
      <c r="K85" s="185">
        <v>30278.087631000475</v>
      </c>
      <c r="L85" s="185">
        <f>H85+I85+J85+K85</f>
        <v>120932.26309585225</v>
      </c>
      <c r="M85" s="185">
        <v>31923.459981583557</v>
      </c>
      <c r="N85" s="185">
        <v>32576.653344619222</v>
      </c>
      <c r="O85" s="185">
        <v>33869.986247853667</v>
      </c>
      <c r="P85" s="331">
        <v>35491.337726365215</v>
      </c>
      <c r="Q85" s="331">
        <v>133861.43730042168</v>
      </c>
      <c r="R85" s="252"/>
      <c r="S85" s="252"/>
      <c r="T85" s="252"/>
      <c r="U85" s="252"/>
      <c r="V85" s="252"/>
      <c r="W85" s="252"/>
      <c r="X85" s="252"/>
      <c r="Y85" s="252"/>
      <c r="Z85" s="252"/>
      <c r="AA85" s="252"/>
      <c r="AB85" s="331"/>
      <c r="AC85" s="331"/>
      <c r="AD85" s="331"/>
    </row>
    <row r="86" spans="1:31" x14ac:dyDescent="0.35">
      <c r="A86" s="164"/>
      <c r="B86" s="172"/>
      <c r="C86" s="253">
        <f>C85/$C$67</f>
        <v>0.14076383348123384</v>
      </c>
      <c r="D86" s="253">
        <f>D85/$D$67</f>
        <v>0.15375004223551755</v>
      </c>
      <c r="E86" s="253">
        <f>E85/$E$67</f>
        <v>0.14530972573777021</v>
      </c>
      <c r="F86" s="253">
        <f>F85/$F$67</f>
        <v>0.14791006255283079</v>
      </c>
      <c r="G86" s="253">
        <f>+G85/$G$67</f>
        <v>0.14698646389679226</v>
      </c>
      <c r="H86" s="258">
        <f>+H85/$H$67</f>
        <v>0.14835336737824084</v>
      </c>
      <c r="I86" s="258">
        <f>+I85/$I$67</f>
        <v>0.14758209278015147</v>
      </c>
      <c r="J86" s="258">
        <f>+J85/$J$67</f>
        <v>0.1252153185314028</v>
      </c>
      <c r="K86" s="258">
        <f>+K85/$K$67</f>
        <v>0.12889613002388423</v>
      </c>
      <c r="L86" s="258">
        <f>+L85/$L$67</f>
        <v>0.13693876099051111</v>
      </c>
      <c r="M86" s="258">
        <f>+M85/$M$67</f>
        <v>0.13325149320492524</v>
      </c>
      <c r="N86" s="258">
        <f>+N85/$N$67</f>
        <v>0.13378007935895275</v>
      </c>
      <c r="O86" s="258">
        <f>+O85/$O$67</f>
        <v>0.13472976963409206</v>
      </c>
      <c r="P86" s="258">
        <f>+P85/$P$67</f>
        <v>0.13816740526941518</v>
      </c>
      <c r="Q86" s="258">
        <f>+Q85/$Q$67</f>
        <v>0.1350299868062429</v>
      </c>
      <c r="R86" s="253"/>
      <c r="S86" s="253"/>
      <c r="T86" s="253"/>
      <c r="U86" s="253"/>
      <c r="V86" s="253"/>
      <c r="W86" s="253"/>
      <c r="X86" s="253"/>
      <c r="Y86" s="253"/>
      <c r="Z86" s="253"/>
      <c r="AA86" s="253"/>
      <c r="AB86" s="258"/>
      <c r="AC86" s="258"/>
      <c r="AD86" s="258"/>
    </row>
    <row r="87" spans="1:31" x14ac:dyDescent="0.35">
      <c r="A87" s="164"/>
      <c r="B87" s="172" t="s">
        <v>150</v>
      </c>
      <c r="C87" s="252">
        <v>17410.271742980407</v>
      </c>
      <c r="D87" s="252">
        <v>19372.484825376403</v>
      </c>
      <c r="E87" s="252">
        <v>20196.911081007562</v>
      </c>
      <c r="F87" s="252">
        <v>18979.045773073736</v>
      </c>
      <c r="G87" s="252">
        <f>C87+D87+E87+F87</f>
        <v>75958.713422438115</v>
      </c>
      <c r="H87" s="185">
        <v>18305.315812747518</v>
      </c>
      <c r="I87" s="185">
        <v>20129.601494531445</v>
      </c>
      <c r="J87" s="185">
        <v>19119.021666580204</v>
      </c>
      <c r="K87" s="185">
        <v>18239.227283938799</v>
      </c>
      <c r="L87" s="185">
        <f>H87+I87+J87+K87</f>
        <v>75793.166257797973</v>
      </c>
      <c r="M87" s="185">
        <v>18914.344019143853</v>
      </c>
      <c r="N87" s="185">
        <v>18910.595438868673</v>
      </c>
      <c r="O87" s="185">
        <v>17997.144426475701</v>
      </c>
      <c r="P87" s="331">
        <v>17159.237901694589</v>
      </c>
      <c r="Q87" s="331">
        <v>72981.321786182816</v>
      </c>
      <c r="R87" s="252"/>
      <c r="S87" s="252"/>
      <c r="T87" s="252"/>
      <c r="U87" s="252"/>
      <c r="V87" s="252"/>
      <c r="W87" s="252"/>
      <c r="X87" s="252"/>
      <c r="Y87" s="252"/>
      <c r="Z87" s="252"/>
      <c r="AA87" s="252"/>
      <c r="AB87" s="331"/>
      <c r="AC87" s="331"/>
      <c r="AD87" s="331"/>
    </row>
    <row r="88" spans="1:31" x14ac:dyDescent="0.35">
      <c r="A88" s="164"/>
      <c r="B88" s="172"/>
      <c r="C88" s="253">
        <f>C87/$C$67</f>
        <v>9.5120943999062499E-2</v>
      </c>
      <c r="D88" s="253">
        <f>D87/$D$67</f>
        <v>0.1024690163568469</v>
      </c>
      <c r="E88" s="253">
        <f>E87/$E$67</f>
        <v>0.10500356692925504</v>
      </c>
      <c r="F88" s="253">
        <f>F87/$F$67</f>
        <v>9.5914318499425069E-2</v>
      </c>
      <c r="G88" s="253">
        <f>+G87/$G$67</f>
        <v>9.9642813845336034E-2</v>
      </c>
      <c r="H88" s="258">
        <f>+H87/$H$67</f>
        <v>8.8443013401494491E-2</v>
      </c>
      <c r="I88" s="258">
        <f>+I87/$I$67</f>
        <v>9.5804149665566204E-2</v>
      </c>
      <c r="J88" s="258">
        <f>+J87/$J$67</f>
        <v>8.2721922719320384E-2</v>
      </c>
      <c r="K88" s="258">
        <f>+K87/$K$67</f>
        <v>7.7645782658964754E-2</v>
      </c>
      <c r="L88" s="258">
        <f>+L87/$L$67</f>
        <v>8.5825089295353221E-2</v>
      </c>
      <c r="M88" s="258">
        <f>+M87/$M$67</f>
        <v>7.8950232368187795E-2</v>
      </c>
      <c r="N88" s="258">
        <f>+N87/$N$67</f>
        <v>7.7658712568605973E-2</v>
      </c>
      <c r="O88" s="258">
        <f>+O87/$O$67</f>
        <v>7.158996478199664E-2</v>
      </c>
      <c r="P88" s="258">
        <f>+P87/$P$67</f>
        <v>6.680073305652072E-2</v>
      </c>
      <c r="Q88" s="258">
        <f>+Q87/$Q$67</f>
        <v>7.3618415554390512E-2</v>
      </c>
      <c r="R88" s="253"/>
      <c r="S88" s="253"/>
      <c r="T88" s="253"/>
      <c r="U88" s="253"/>
      <c r="V88" s="253"/>
      <c r="W88" s="253"/>
      <c r="X88" s="253"/>
      <c r="Y88" s="253"/>
      <c r="Z88" s="253"/>
      <c r="AA88" s="253"/>
      <c r="AB88" s="258"/>
      <c r="AC88" s="258"/>
      <c r="AD88" s="258"/>
    </row>
    <row r="89" spans="1:31" x14ac:dyDescent="0.35">
      <c r="A89" s="164"/>
      <c r="B89" s="172" t="s">
        <v>87</v>
      </c>
      <c r="C89" s="252">
        <v>22274.810192991354</v>
      </c>
      <c r="D89" s="252">
        <v>20927.645273326867</v>
      </c>
      <c r="E89" s="252">
        <v>22045.096551340244</v>
      </c>
      <c r="F89" s="252">
        <v>22445.043933137891</v>
      </c>
      <c r="G89" s="252">
        <f>C89+D89+E89+F89</f>
        <v>87692.595950796356</v>
      </c>
      <c r="H89" s="185">
        <v>22041.640142077915</v>
      </c>
      <c r="I89" s="185">
        <v>22544.661708458822</v>
      </c>
      <c r="J89" s="185">
        <v>23756.90679042659</v>
      </c>
      <c r="K89" s="185">
        <v>23380.70133182123</v>
      </c>
      <c r="L89" s="185">
        <f>H89+I89+J89+K89</f>
        <v>91723.909972784561</v>
      </c>
      <c r="M89" s="185">
        <v>23872.89008237336</v>
      </c>
      <c r="N89" s="185">
        <v>23491.633729172969</v>
      </c>
      <c r="O89" s="185">
        <v>23757.629003696387</v>
      </c>
      <c r="P89" s="331">
        <v>24353.12647592483</v>
      </c>
      <c r="Q89" s="331">
        <v>95475.27929116755</v>
      </c>
      <c r="R89" s="252"/>
      <c r="S89" s="252"/>
      <c r="T89" s="252"/>
      <c r="U89" s="252"/>
      <c r="V89" s="252"/>
      <c r="W89" s="252"/>
      <c r="X89" s="252"/>
      <c r="Y89" s="252"/>
      <c r="Z89" s="252"/>
      <c r="AA89" s="252"/>
      <c r="AB89" s="331"/>
      <c r="AC89" s="331"/>
      <c r="AD89" s="331"/>
    </row>
    <row r="90" spans="1:31" x14ac:dyDescent="0.35">
      <c r="A90" s="164"/>
      <c r="B90" s="172"/>
      <c r="C90" s="253">
        <f>C89/$C$67</f>
        <v>0.1216983286783878</v>
      </c>
      <c r="D90" s="253">
        <f>D89/$D$67</f>
        <v>0.11069489769395932</v>
      </c>
      <c r="E90" s="253">
        <f>E89/$E$67</f>
        <v>0.11461226728711557</v>
      </c>
      <c r="F90" s="253">
        <f>F89/$F$67</f>
        <v>0.11343041785540312</v>
      </c>
      <c r="G90" s="253">
        <f>+G89/$G$67</f>
        <v>0.11503534775983046</v>
      </c>
      <c r="H90" s="258">
        <f>+H89/$H$67</f>
        <v>0.10649524402737515</v>
      </c>
      <c r="I90" s="258">
        <f>+I89/$I$67</f>
        <v>0.10729830618174507</v>
      </c>
      <c r="J90" s="258">
        <f>+J89/$J$67</f>
        <v>0.10278857578800379</v>
      </c>
      <c r="K90" s="258">
        <f>+K89/$K$67</f>
        <v>9.9533430104431317E-2</v>
      </c>
      <c r="L90" s="258">
        <f>+L89/$L$67</f>
        <v>0.10386441354299858</v>
      </c>
      <c r="M90" s="182">
        <f>+M89/$M$67</f>
        <v>9.9647665147463857E-2</v>
      </c>
      <c r="N90" s="182">
        <f>+N89/$N$67</f>
        <v>9.6471316169722557E-2</v>
      </c>
      <c r="O90" s="258">
        <f>+O89/$O$67</f>
        <v>9.4504315983390028E-2</v>
      </c>
      <c r="P90" s="258">
        <f>+P89/$P$67</f>
        <v>9.4806465772543633E-2</v>
      </c>
      <c r="Q90" s="258">
        <f>+Q89/$Q$67</f>
        <v>9.6308735084589592E-2</v>
      </c>
      <c r="R90" s="253"/>
      <c r="S90" s="253"/>
      <c r="T90" s="253"/>
      <c r="U90" s="253"/>
      <c r="V90" s="253"/>
      <c r="W90" s="253"/>
      <c r="X90" s="253"/>
      <c r="Y90" s="253"/>
      <c r="Z90" s="253"/>
      <c r="AA90" s="253"/>
      <c r="AB90" s="258"/>
      <c r="AC90" s="258"/>
      <c r="AD90" s="258"/>
    </row>
    <row r="91" spans="1:31" x14ac:dyDescent="0.35">
      <c r="A91" s="164"/>
      <c r="B91" s="172"/>
      <c r="C91" s="239"/>
      <c r="D91" s="245"/>
      <c r="E91" s="245"/>
      <c r="F91" s="245"/>
      <c r="G91" s="245"/>
      <c r="K91" s="163"/>
      <c r="L91" s="163"/>
      <c r="M91" s="163"/>
      <c r="N91" s="163"/>
      <c r="O91" s="163"/>
      <c r="P91" s="163"/>
      <c r="Q91" s="350"/>
      <c r="R91" s="350"/>
      <c r="S91" s="350"/>
      <c r="T91" s="350"/>
      <c r="U91" s="350"/>
      <c r="V91" s="350"/>
      <c r="W91" s="354"/>
      <c r="X91" s="350"/>
      <c r="Y91" s="350"/>
      <c r="Z91" s="350"/>
      <c r="AA91" s="350"/>
      <c r="AB91" s="350"/>
      <c r="AC91" s="350"/>
      <c r="AD91" s="350"/>
    </row>
    <row r="92" spans="1:31" x14ac:dyDescent="0.35">
      <c r="A92" s="169"/>
      <c r="B92" s="170" t="s">
        <v>88</v>
      </c>
      <c r="C92" s="256"/>
      <c r="D92" s="240"/>
      <c r="E92" s="240"/>
      <c r="F92" s="240"/>
      <c r="G92" s="240"/>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row>
    <row r="93" spans="1:31" x14ac:dyDescent="0.35">
      <c r="A93" s="164"/>
      <c r="B93" s="172" t="s">
        <v>89</v>
      </c>
      <c r="C93" s="255">
        <v>0.82105973846635671</v>
      </c>
      <c r="D93" s="255">
        <v>0.81400847363493545</v>
      </c>
      <c r="E93" s="254">
        <v>0.82404533520497025</v>
      </c>
      <c r="F93" s="254">
        <v>0.82643961529096666</v>
      </c>
      <c r="G93" s="254">
        <v>0.82145591153024466</v>
      </c>
      <c r="H93" s="187">
        <v>0.82715136756968299</v>
      </c>
      <c r="I93" s="187">
        <v>0.82854382424611639</v>
      </c>
      <c r="J93" s="187">
        <v>0.82929942368598675</v>
      </c>
      <c r="K93" s="293">
        <v>0.82836862801966649</v>
      </c>
      <c r="L93" s="187">
        <v>0.82955389576860017</v>
      </c>
      <c r="M93" s="187">
        <v>0.81855634816945144</v>
      </c>
      <c r="N93" s="187">
        <v>0.81270507455576591</v>
      </c>
      <c r="O93" s="187">
        <v>0.83038839740325865</v>
      </c>
      <c r="P93" s="187">
        <v>0.83745990220810362</v>
      </c>
      <c r="Q93" s="187">
        <v>0.8250177032035233</v>
      </c>
      <c r="R93" s="187">
        <f>H93</f>
        <v>0.82715136756968299</v>
      </c>
      <c r="S93" s="187">
        <f t="shared" ref="S93:V93" si="104">I93</f>
        <v>0.82854382424611639</v>
      </c>
      <c r="T93" s="187">
        <f t="shared" si="104"/>
        <v>0.82929942368598675</v>
      </c>
      <c r="U93" s="187">
        <f t="shared" si="104"/>
        <v>0.82836862801966649</v>
      </c>
      <c r="V93" s="187">
        <f t="shared" si="104"/>
        <v>0.82955389576860017</v>
      </c>
      <c r="W93" s="187">
        <f>M93</f>
        <v>0.81855634816945144</v>
      </c>
      <c r="X93" s="187">
        <f t="shared" ref="X93:AA93" si="105">N93</f>
        <v>0.81270507455576591</v>
      </c>
      <c r="Y93" s="187">
        <f t="shared" si="105"/>
        <v>0.83038839740325865</v>
      </c>
      <c r="Z93" s="187">
        <f t="shared" si="105"/>
        <v>0.83745990220810362</v>
      </c>
      <c r="AA93" s="187">
        <f t="shared" si="105"/>
        <v>0.8250177032035233</v>
      </c>
      <c r="AB93" s="187">
        <v>0.84507458179113126</v>
      </c>
      <c r="AC93" s="187">
        <v>0.84968513033042214</v>
      </c>
      <c r="AD93" s="363">
        <v>0.84610925274915805</v>
      </c>
    </row>
    <row r="94" spans="1:31" x14ac:dyDescent="0.35">
      <c r="A94" s="164"/>
      <c r="B94" s="172" t="s">
        <v>90</v>
      </c>
      <c r="C94" s="255">
        <v>0.14249703777966138</v>
      </c>
      <c r="D94" s="255">
        <v>0.15313371099721249</v>
      </c>
      <c r="E94" s="254">
        <v>0.1394577451974317</v>
      </c>
      <c r="F94" s="254">
        <v>0.135860522684847</v>
      </c>
      <c r="G94" s="254">
        <v>0.14265249070671021</v>
      </c>
      <c r="H94" s="187">
        <v>0.13536065090615684</v>
      </c>
      <c r="I94" s="187">
        <v>0.13078738958269875</v>
      </c>
      <c r="J94" s="187">
        <v>0.12937211193991105</v>
      </c>
      <c r="K94" s="293">
        <v>0.13174300264266617</v>
      </c>
      <c r="L94" s="187">
        <v>0.12967211406933662</v>
      </c>
      <c r="M94" s="187">
        <v>0.12147028254436018</v>
      </c>
      <c r="N94" s="187">
        <v>0.12383525865573757</v>
      </c>
      <c r="O94" s="187">
        <v>0.11091840631364562</v>
      </c>
      <c r="P94" s="187">
        <v>0.10081285620853966</v>
      </c>
      <c r="Q94" s="187">
        <v>0.114022752903628</v>
      </c>
      <c r="R94" s="187">
        <f t="shared" ref="R94:R95" si="106">H94</f>
        <v>0.13536065090615684</v>
      </c>
      <c r="S94" s="187">
        <f t="shared" ref="S94:S95" si="107">I94</f>
        <v>0.13078738958269875</v>
      </c>
      <c r="T94" s="187">
        <f t="shared" ref="T94:T95" si="108">J94</f>
        <v>0.12937211193991105</v>
      </c>
      <c r="U94" s="187">
        <f t="shared" ref="U94:U95" si="109">K94</f>
        <v>0.13174300264266617</v>
      </c>
      <c r="V94" s="187">
        <f t="shared" ref="V94:V95" si="110">L94</f>
        <v>0.12967211406933662</v>
      </c>
      <c r="W94" s="187">
        <f t="shared" ref="W94:W95" si="111">M94</f>
        <v>0.12147028254436018</v>
      </c>
      <c r="X94" s="187">
        <f t="shared" ref="X94:X95" si="112">N94</f>
        <v>0.12383525865573757</v>
      </c>
      <c r="Y94" s="187">
        <f t="shared" ref="Y94:Y95" si="113">O94</f>
        <v>0.11091840631364562</v>
      </c>
      <c r="Z94" s="187">
        <f t="shared" ref="Z94:Z95" si="114">P94</f>
        <v>0.10081285620853966</v>
      </c>
      <c r="AA94" s="187">
        <f t="shared" ref="AA94:AA95" si="115">Q94</f>
        <v>0.114022752903628</v>
      </c>
      <c r="AB94" s="187">
        <v>9.4629318894951228E-2</v>
      </c>
      <c r="AC94" s="187">
        <v>8.4639484341920146E-2</v>
      </c>
      <c r="AD94" s="363">
        <v>9.5027448940333908E-2</v>
      </c>
    </row>
    <row r="95" spans="1:31" x14ac:dyDescent="0.35">
      <c r="A95" s="164"/>
      <c r="B95" s="172" t="s">
        <v>141</v>
      </c>
      <c r="C95" s="257">
        <v>3.6443223753981881E-2</v>
      </c>
      <c r="D95" s="255">
        <v>3.2857815367852025E-2</v>
      </c>
      <c r="E95" s="254">
        <v>3.6496919597598043E-2</v>
      </c>
      <c r="F95" s="254">
        <v>3.7699862024186348E-2</v>
      </c>
      <c r="G95" s="254">
        <v>3.5891597763045076E-2</v>
      </c>
      <c r="H95" s="204">
        <v>3.7487981524160156E-2</v>
      </c>
      <c r="I95" s="204">
        <v>4.0668786171184891E-2</v>
      </c>
      <c r="J95" s="204">
        <v>4.1328464374102217E-2</v>
      </c>
      <c r="K95" s="294">
        <v>3.9888369337667325E-2</v>
      </c>
      <c r="L95" s="204">
        <v>4.0773990162063248E-2</v>
      </c>
      <c r="M95" s="204">
        <v>5.9973369286188342E-2</v>
      </c>
      <c r="N95" s="204">
        <v>6.345966678849653E-2</v>
      </c>
      <c r="O95" s="187">
        <v>5.8693196283095724E-2</v>
      </c>
      <c r="P95" s="204">
        <v>6.1727241583356691E-2</v>
      </c>
      <c r="Q95" s="204">
        <v>6.095954389284871E-2</v>
      </c>
      <c r="R95" s="187">
        <f t="shared" si="106"/>
        <v>3.7487981524160156E-2</v>
      </c>
      <c r="S95" s="187">
        <f t="shared" si="107"/>
        <v>4.0668786171184891E-2</v>
      </c>
      <c r="T95" s="187">
        <f t="shared" si="108"/>
        <v>4.1328464374102217E-2</v>
      </c>
      <c r="U95" s="187">
        <f t="shared" si="109"/>
        <v>3.9888369337667325E-2</v>
      </c>
      <c r="V95" s="187">
        <f t="shared" si="110"/>
        <v>4.0773990162063248E-2</v>
      </c>
      <c r="W95" s="187">
        <f t="shared" si="111"/>
        <v>5.9973369286188342E-2</v>
      </c>
      <c r="X95" s="187">
        <f t="shared" si="112"/>
        <v>6.345966678849653E-2</v>
      </c>
      <c r="Y95" s="187">
        <f t="shared" si="113"/>
        <v>5.8693196283095724E-2</v>
      </c>
      <c r="Z95" s="187">
        <f t="shared" si="114"/>
        <v>6.1727241583356691E-2</v>
      </c>
      <c r="AA95" s="187">
        <f t="shared" si="115"/>
        <v>6.095954389284871E-2</v>
      </c>
      <c r="AB95" s="204">
        <v>6.0296099313917398E-2</v>
      </c>
      <c r="AC95" s="204">
        <v>6.5675385327657737E-2</v>
      </c>
      <c r="AD95" s="364">
        <v>5.8863298310508079E-2</v>
      </c>
    </row>
    <row r="96" spans="1:31" x14ac:dyDescent="0.35">
      <c r="A96" s="164"/>
      <c r="B96" s="165"/>
      <c r="C96" s="168"/>
      <c r="K96" s="163"/>
      <c r="L96" s="163"/>
      <c r="M96" s="163"/>
      <c r="N96" s="163"/>
      <c r="O96" s="163"/>
    </row>
    <row r="97" spans="2:30" x14ac:dyDescent="0.35">
      <c r="B97" s="188"/>
      <c r="K97" s="163"/>
      <c r="L97" s="163"/>
      <c r="M97" s="163"/>
      <c r="N97" s="163"/>
      <c r="O97" s="163"/>
    </row>
    <row r="98" spans="2:30" x14ac:dyDescent="0.35">
      <c r="B98" s="176" t="s">
        <v>247</v>
      </c>
      <c r="K98" s="163"/>
      <c r="L98" s="163"/>
      <c r="M98" s="163"/>
      <c r="N98" s="163"/>
      <c r="O98" s="163"/>
    </row>
    <row r="99" spans="2:30" x14ac:dyDescent="0.35">
      <c r="B99" s="176" t="s">
        <v>173</v>
      </c>
      <c r="K99" s="163"/>
      <c r="L99" s="163"/>
      <c r="M99" s="163"/>
      <c r="N99" s="163"/>
      <c r="O99" s="163"/>
    </row>
    <row r="100" spans="2:30" x14ac:dyDescent="0.35">
      <c r="K100" s="283"/>
      <c r="L100" s="163"/>
      <c r="M100" s="163"/>
      <c r="N100" s="163"/>
      <c r="O100" s="163"/>
    </row>
    <row r="101" spans="2:30" x14ac:dyDescent="0.35">
      <c r="K101" s="163"/>
      <c r="L101" s="163"/>
      <c r="M101" s="163"/>
      <c r="N101" s="163"/>
      <c r="O101" s="163"/>
    </row>
    <row r="102" spans="2:30" x14ac:dyDescent="0.35">
      <c r="C102" s="263">
        <f>C20+C64-'Income Statement'!B13</f>
        <v>0</v>
      </c>
      <c r="D102" s="263">
        <f>D20+D64-'Income Statement'!C13</f>
        <v>0</v>
      </c>
      <c r="E102" s="263">
        <f>E20+E64-'Income Statement'!D13</f>
        <v>0</v>
      </c>
      <c r="F102" s="263">
        <f>F20+F64-'Income Statement'!E13</f>
        <v>0</v>
      </c>
      <c r="G102" s="263">
        <f>G20+G64-'Income Statement'!F13</f>
        <v>0</v>
      </c>
      <c r="H102" s="263"/>
      <c r="I102" s="263">
        <f>I20+I64-'Income Statement'!H13</f>
        <v>0</v>
      </c>
      <c r="J102" s="263">
        <f>J20+J64-'Income Statement'!I13</f>
        <v>0</v>
      </c>
      <c r="K102" s="292">
        <f>K20+K64-'Income Statement'!J13</f>
        <v>0</v>
      </c>
      <c r="L102" s="292">
        <f>L20+L64-'Income Statement'!K13</f>
        <v>0</v>
      </c>
      <c r="M102" s="292">
        <f>M20+M64-'Income Statement'!L13</f>
        <v>0</v>
      </c>
      <c r="N102" s="292">
        <f>N20+N64-'Income Statement'!M13</f>
        <v>0</v>
      </c>
      <c r="O102" s="292">
        <f>O20+O64-'Income Statement'!N13</f>
        <v>0</v>
      </c>
      <c r="P102" s="292">
        <f>P20+P64-'Income Statement'!O13</f>
        <v>0</v>
      </c>
      <c r="Q102" s="292">
        <f>Q20+Q64-'Income Statement'!P13</f>
        <v>0</v>
      </c>
      <c r="R102" s="292">
        <f>R20+R64-'Income Statement'!G13</f>
        <v>0</v>
      </c>
      <c r="S102" s="292">
        <f>S20+S64-'Income Statement'!H13</f>
        <v>0</v>
      </c>
      <c r="T102" s="292">
        <f>T20+T64-'Income Statement'!I13</f>
        <v>0</v>
      </c>
      <c r="U102" s="292">
        <f>U20+U64-'Income Statement'!J13</f>
        <v>0</v>
      </c>
      <c r="V102" s="292">
        <f>V20+V64-'Income Statement'!K13</f>
        <v>0</v>
      </c>
      <c r="W102" s="292">
        <f>W20+W64-'Income Statement'!L13</f>
        <v>0</v>
      </c>
      <c r="X102" s="292">
        <f>X20+X64-'Income Statement'!M13</f>
        <v>0</v>
      </c>
      <c r="Y102" s="292">
        <f>Y20+Y64-'Income Statement'!N13</f>
        <v>0</v>
      </c>
      <c r="Z102" s="292">
        <f>Z20+Z64-'Income Statement'!O13</f>
        <v>0</v>
      </c>
      <c r="AA102" s="292">
        <f>AA20+AA64-'Income Statement'!P13</f>
        <v>0</v>
      </c>
      <c r="AB102" s="292">
        <f>AB20+AB64-'Income Statement'!Q13</f>
        <v>0</v>
      </c>
      <c r="AC102" s="292">
        <f>AC20+AC64-'Income Statement'!R13</f>
        <v>0</v>
      </c>
      <c r="AD102" s="292">
        <f>ROUND(AD20+AD64-'Income Statement'!S13,0)</f>
        <v>0</v>
      </c>
    </row>
    <row r="104" spans="2:30" x14ac:dyDescent="0.35">
      <c r="N104" s="317"/>
      <c r="O104" s="317"/>
    </row>
  </sheetData>
  <mergeCells count="5">
    <mergeCell ref="W2:AA2"/>
    <mergeCell ref="M3:Q3"/>
    <mergeCell ref="C2:G2"/>
    <mergeCell ref="H3:L3"/>
    <mergeCell ref="R2:V2"/>
  </mergeCells>
  <pageMargins left="0.7" right="0.7" top="0.35" bottom="0.35" header="0.3" footer="0.3"/>
  <pageSetup paperSize="5" scale="38" fitToHeight="2" orientation="landscape" r:id="rId1"/>
  <ignoredErrors>
    <ignoredError sqref="L88 L86 L84 L80 L7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GY45"/>
  <sheetViews>
    <sheetView showGridLines="0" tabSelected="1" zoomScale="85" zoomScaleNormal="85" zoomScaleSheetLayoutView="85" workbookViewId="0">
      <pane xSplit="2" ySplit="4" topLeftCell="C6" activePane="bottomRight" state="frozen"/>
      <selection activeCell="I106" sqref="I106"/>
      <selection pane="topRight" activeCell="I106" sqref="I106"/>
      <selection pane="bottomLeft" activeCell="I106" sqref="I106"/>
      <selection pane="bottomRight" activeCell="G11" sqref="G11"/>
    </sheetView>
  </sheetViews>
  <sheetFormatPr defaultColWidth="9.140625" defaultRowHeight="12.75" outlineLevelCol="1" x14ac:dyDescent="0.2"/>
  <cols>
    <col min="1" max="1" width="2.42578125" style="7" customWidth="1"/>
    <col min="2" max="2" width="30.5703125" style="2" customWidth="1"/>
    <col min="3" max="3" width="10" style="24" customWidth="1" outlineLevel="1"/>
    <col min="4" max="4" width="10.28515625" style="2" customWidth="1" outlineLevel="1"/>
    <col min="5" max="5" width="10.7109375" style="2" customWidth="1" outlineLevel="1"/>
    <col min="6" max="6" width="9.140625" style="2" customWidth="1" outlineLevel="1"/>
    <col min="7" max="7" width="9.140625" style="2" customWidth="1"/>
    <col min="8" max="11" width="9.140625" style="2"/>
    <col min="12" max="17" width="9.140625" style="2" customWidth="1"/>
    <col min="18" max="16384" width="9.140625" style="2"/>
  </cols>
  <sheetData>
    <row r="2" spans="1:207" x14ac:dyDescent="0.2">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row>
    <row r="3" spans="1:207" ht="23.25" customHeight="1" x14ac:dyDescent="0.2">
      <c r="A3" s="57"/>
      <c r="B3" s="56"/>
      <c r="D3" s="56"/>
      <c r="G3" s="152">
        <v>2017</v>
      </c>
      <c r="H3" s="152">
        <v>2018</v>
      </c>
      <c r="I3" s="152">
        <v>2018</v>
      </c>
      <c r="J3" s="152">
        <v>2018</v>
      </c>
      <c r="K3" s="152">
        <v>2018</v>
      </c>
      <c r="L3" s="152">
        <v>2018</v>
      </c>
      <c r="M3" s="152">
        <v>2019</v>
      </c>
      <c r="N3" s="152">
        <v>2019</v>
      </c>
      <c r="O3" s="152">
        <v>2019</v>
      </c>
      <c r="P3" s="152">
        <v>2019</v>
      </c>
      <c r="Q3" s="152">
        <v>2019</v>
      </c>
      <c r="R3" s="152">
        <v>2020</v>
      </c>
      <c r="S3" s="152">
        <v>2020</v>
      </c>
      <c r="T3" s="152">
        <v>2020</v>
      </c>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row>
    <row r="4" spans="1:207" ht="15.75" customHeight="1" x14ac:dyDescent="0.2">
      <c r="A4" s="57"/>
      <c r="B4" s="56"/>
      <c r="C4" s="159" t="s">
        <v>9</v>
      </c>
      <c r="D4" s="159" t="s">
        <v>10</v>
      </c>
      <c r="E4" s="159" t="s">
        <v>11</v>
      </c>
      <c r="F4" s="159" t="s">
        <v>12</v>
      </c>
      <c r="G4" s="151" t="s">
        <v>13</v>
      </c>
      <c r="H4" s="151" t="s">
        <v>9</v>
      </c>
      <c r="I4" s="151" t="s">
        <v>10</v>
      </c>
      <c r="J4" s="151" t="s">
        <v>11</v>
      </c>
      <c r="K4" s="151" t="s">
        <v>12</v>
      </c>
      <c r="L4" s="151" t="s">
        <v>13</v>
      </c>
      <c r="M4" s="151" t="s">
        <v>9</v>
      </c>
      <c r="N4" s="151" t="s">
        <v>10</v>
      </c>
      <c r="O4" s="151" t="s">
        <v>11</v>
      </c>
      <c r="P4" s="151" t="s">
        <v>12</v>
      </c>
      <c r="Q4" s="151" t="s">
        <v>13</v>
      </c>
      <c r="R4" s="151" t="s">
        <v>9</v>
      </c>
      <c r="S4" s="151" t="s">
        <v>10</v>
      </c>
      <c r="T4" s="151" t="s">
        <v>11</v>
      </c>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row>
    <row r="5" spans="1:207" x14ac:dyDescent="0.2">
      <c r="A5" s="57"/>
      <c r="B5" s="56"/>
      <c r="C5" s="94"/>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row>
    <row r="6" spans="1:207" s="74" customFormat="1" x14ac:dyDescent="0.2">
      <c r="A6" s="84"/>
      <c r="B6" s="74" t="s">
        <v>0</v>
      </c>
      <c r="C6" s="80">
        <v>26428</v>
      </c>
      <c r="D6" s="80">
        <v>26317</v>
      </c>
      <c r="E6" s="80">
        <v>27358</v>
      </c>
      <c r="F6" s="80">
        <v>27756</v>
      </c>
      <c r="G6" s="80">
        <v>27756</v>
      </c>
      <c r="H6" s="80">
        <v>27095</v>
      </c>
      <c r="I6" s="80">
        <v>27094</v>
      </c>
      <c r="J6" s="80">
        <v>28812</v>
      </c>
      <c r="K6" s="80">
        <v>29152</v>
      </c>
      <c r="L6" s="80">
        <v>29152</v>
      </c>
      <c r="M6" s="80">
        <v>29122</v>
      </c>
      <c r="N6" s="80">
        <v>30019</v>
      </c>
      <c r="O6" s="80">
        <v>31496</v>
      </c>
      <c r="P6" s="80">
        <v>31728</v>
      </c>
      <c r="Q6" s="80">
        <f>P6</f>
        <v>31728</v>
      </c>
      <c r="R6" s="80">
        <v>32780</v>
      </c>
      <c r="S6" s="80">
        <v>31622</v>
      </c>
      <c r="T6" s="80">
        <v>31816</v>
      </c>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row>
    <row r="7" spans="1:207" s="8" customFormat="1" x14ac:dyDescent="0.2">
      <c r="A7" s="6"/>
      <c r="B7" s="1"/>
      <c r="C7" s="143"/>
      <c r="D7" s="143"/>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row>
    <row r="8" spans="1:207" s="75" customFormat="1" ht="14.25" x14ac:dyDescent="0.2">
      <c r="A8" s="84"/>
      <c r="B8" s="74" t="s">
        <v>82</v>
      </c>
      <c r="C8" s="80">
        <v>22394</v>
      </c>
      <c r="D8" s="80">
        <v>23293</v>
      </c>
      <c r="E8" s="80">
        <v>22775</v>
      </c>
      <c r="F8" s="80">
        <v>24215</v>
      </c>
      <c r="G8" s="80">
        <f>F8</f>
        <v>24215</v>
      </c>
      <c r="H8" s="80">
        <v>24849</v>
      </c>
      <c r="I8" s="80">
        <v>24617</v>
      </c>
      <c r="J8" s="80">
        <v>25488</v>
      </c>
      <c r="K8" s="80">
        <v>25931</v>
      </c>
      <c r="L8" s="80">
        <f>K8</f>
        <v>25931</v>
      </c>
      <c r="M8" s="80">
        <v>26024</v>
      </c>
      <c r="N8" s="80">
        <v>27124</v>
      </c>
      <c r="O8" s="80">
        <v>27469</v>
      </c>
      <c r="P8" s="80">
        <v>27738</v>
      </c>
      <c r="Q8" s="80">
        <f>P8</f>
        <v>27738</v>
      </c>
      <c r="R8" s="80">
        <v>29116</v>
      </c>
      <c r="S8" s="361" t="s">
        <v>264</v>
      </c>
      <c r="T8" s="361" t="s">
        <v>264</v>
      </c>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row>
    <row r="9" spans="1:207" x14ac:dyDescent="0.2">
      <c r="A9" s="6"/>
      <c r="B9" s="56"/>
      <c r="C9" s="94"/>
      <c r="D9" s="94"/>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row>
    <row r="10" spans="1:207" s="75" customFormat="1" ht="14.25" x14ac:dyDescent="0.2">
      <c r="A10" s="84"/>
      <c r="B10" s="74" t="s">
        <v>236</v>
      </c>
      <c r="C10" s="95">
        <v>1.1094043047244797</v>
      </c>
      <c r="D10" s="95">
        <v>1.0632378826256816</v>
      </c>
      <c r="E10" s="95">
        <v>1.1343578485181121</v>
      </c>
      <c r="F10" s="95">
        <v>1.0824282469543671</v>
      </c>
      <c r="G10" s="95">
        <v>1.0824282469543671</v>
      </c>
      <c r="H10" s="95">
        <v>1.0272043140569036</v>
      </c>
      <c r="I10" s="95">
        <v>1.032416622659138</v>
      </c>
      <c r="J10" s="95">
        <v>1.0606167608286252</v>
      </c>
      <c r="K10" s="95">
        <v>1.0550306582854498</v>
      </c>
      <c r="L10" s="95">
        <v>1.0550306582854498</v>
      </c>
      <c r="M10" s="95">
        <v>1.0547908930218257</v>
      </c>
      <c r="N10" s="95">
        <v>1.0407279531042619</v>
      </c>
      <c r="O10" s="95">
        <v>1.08</v>
      </c>
      <c r="P10" s="95">
        <v>1.0774978729540701</v>
      </c>
      <c r="Q10" s="95">
        <f>P10</f>
        <v>1.0774978729540701</v>
      </c>
      <c r="R10" s="95">
        <v>1.06</v>
      </c>
      <c r="S10" s="361" t="s">
        <v>264</v>
      </c>
      <c r="T10" s="361" t="s">
        <v>264</v>
      </c>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row>
    <row r="11" spans="1:207" x14ac:dyDescent="0.2">
      <c r="A11" s="6"/>
      <c r="B11" s="56"/>
      <c r="C11" s="94"/>
      <c r="D11" s="94"/>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row>
    <row r="12" spans="1:207" s="75" customFormat="1" x14ac:dyDescent="0.2">
      <c r="A12" s="84"/>
      <c r="B12" s="74" t="s">
        <v>237</v>
      </c>
      <c r="C12" s="96"/>
      <c r="D12" s="96"/>
      <c r="E12" s="96"/>
      <c r="F12" s="96"/>
      <c r="G12" s="96"/>
      <c r="H12" s="96"/>
      <c r="I12" s="96"/>
      <c r="J12" s="96"/>
      <c r="K12" s="96"/>
      <c r="L12" s="96"/>
      <c r="M12" s="96"/>
      <c r="N12" s="96"/>
      <c r="O12" s="96"/>
      <c r="P12" s="96"/>
      <c r="Q12" s="96"/>
      <c r="R12" s="96"/>
      <c r="S12" s="96"/>
      <c r="T12" s="9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row>
    <row r="13" spans="1:207" x14ac:dyDescent="0.2">
      <c r="A13" s="6"/>
      <c r="B13" s="81" t="s">
        <v>50</v>
      </c>
      <c r="C13" s="10">
        <v>7.0543868104712068E-2</v>
      </c>
      <c r="D13" s="10">
        <v>6.8413258321300074E-2</v>
      </c>
      <c r="E13" s="10">
        <v>7.8682951663760131E-2</v>
      </c>
      <c r="F13" s="261">
        <v>9.0865388386000639E-2</v>
      </c>
      <c r="G13" s="261">
        <v>7.7344020427689564E-2</v>
      </c>
      <c r="H13" s="280">
        <v>8.0392074175461611E-2</v>
      </c>
      <c r="I13" s="280">
        <v>8.3199807659539757E-2</v>
      </c>
      <c r="J13" s="280">
        <v>7.85834865138509E-2</v>
      </c>
      <c r="K13" s="97">
        <v>8.6041315523410405E-2</v>
      </c>
      <c r="L13" s="261">
        <v>8.2089428257938343E-2</v>
      </c>
      <c r="M13" s="148">
        <v>7.9081549855751734E-2</v>
      </c>
      <c r="N13" s="148">
        <v>8.4175051580166541E-2</v>
      </c>
      <c r="O13" s="148">
        <v>7.5242799743906075E-2</v>
      </c>
      <c r="P13" s="148">
        <v>8.1402448811873057E-2</v>
      </c>
      <c r="Q13" s="148">
        <v>7.996062015913441E-2</v>
      </c>
      <c r="R13" s="148">
        <v>8.0666291683971769E-2</v>
      </c>
      <c r="S13" s="148">
        <v>8.9891554169399771E-2</v>
      </c>
      <c r="T13" s="366">
        <v>8.4717007371973033E-2</v>
      </c>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row>
    <row r="14" spans="1:207" x14ac:dyDescent="0.2">
      <c r="A14" s="6"/>
      <c r="B14" s="81" t="s">
        <v>47</v>
      </c>
      <c r="C14" s="10">
        <v>0.16718845169265559</v>
      </c>
      <c r="D14" s="10">
        <v>0.16609294905650634</v>
      </c>
      <c r="E14" s="10">
        <v>0.17151675219019799</v>
      </c>
      <c r="F14" s="261">
        <v>0.18004267933978224</v>
      </c>
      <c r="G14" s="261">
        <v>0.17074782349225345</v>
      </c>
      <c r="H14" s="280">
        <v>0.16875311796250148</v>
      </c>
      <c r="I14" s="280">
        <v>0.17246104394198541</v>
      </c>
      <c r="J14" s="280">
        <v>0.15646660865059261</v>
      </c>
      <c r="K14" s="97">
        <v>0.16347290863176006</v>
      </c>
      <c r="L14" s="261">
        <v>0.16387840170410725</v>
      </c>
      <c r="M14" s="148">
        <v>0.15658657950420171</v>
      </c>
      <c r="N14" s="148">
        <v>0.15782506406378663</v>
      </c>
      <c r="O14" s="148">
        <v>0.14878314416660995</v>
      </c>
      <c r="P14" s="148">
        <v>0.16350984859168816</v>
      </c>
      <c r="Q14" s="148">
        <v>0.15225578197830744</v>
      </c>
      <c r="R14" s="148">
        <v>0.17756147197119954</v>
      </c>
      <c r="S14" s="148">
        <v>0.1974545126171123</v>
      </c>
      <c r="T14" s="366">
        <v>0.19667141217386097</v>
      </c>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row>
    <row r="15" spans="1:207" x14ac:dyDescent="0.2">
      <c r="A15" s="6"/>
      <c r="B15" s="81" t="s">
        <v>48</v>
      </c>
      <c r="C15" s="10">
        <v>0.24154938838377771</v>
      </c>
      <c r="D15" s="10">
        <v>0.2470451552352449</v>
      </c>
      <c r="E15" s="10">
        <v>0.24654080328190808</v>
      </c>
      <c r="F15" s="261">
        <v>0.25623991335447316</v>
      </c>
      <c r="G15" s="261">
        <v>0.24560333276201043</v>
      </c>
      <c r="H15" s="280">
        <v>0.24735224929156971</v>
      </c>
      <c r="I15" s="280">
        <v>0.24907263736585927</v>
      </c>
      <c r="J15" s="280">
        <v>0.22620406291789719</v>
      </c>
      <c r="K15" s="97">
        <v>0.23435108111157243</v>
      </c>
      <c r="L15" s="261">
        <v>0.23670661738731769</v>
      </c>
      <c r="M15" s="148">
        <v>0.22627728301993461</v>
      </c>
      <c r="N15" s="148">
        <v>0.22404913040086827</v>
      </c>
      <c r="O15" s="148">
        <v>0.21674863331481722</v>
      </c>
      <c r="P15" s="148">
        <v>0.22833874714387031</v>
      </c>
      <c r="Q15" s="148">
        <v>0.21954984667495586</v>
      </c>
      <c r="R15" s="148">
        <v>0.24349506187494788</v>
      </c>
      <c r="S15" s="148">
        <v>0.26353252217925593</v>
      </c>
      <c r="T15" s="366">
        <v>0.25893702285417286</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row>
    <row r="16" spans="1:207" x14ac:dyDescent="0.2">
      <c r="A16" s="6"/>
      <c r="B16" s="81" t="s">
        <v>49</v>
      </c>
      <c r="C16" s="281">
        <v>0.38800000000000001</v>
      </c>
      <c r="D16" s="97">
        <v>0.39117560568524334</v>
      </c>
      <c r="E16" s="10">
        <v>0.38341186844162889</v>
      </c>
      <c r="F16" s="261">
        <v>0.38267699470046296</v>
      </c>
      <c r="G16" s="261">
        <v>0.38605801267864925</v>
      </c>
      <c r="H16" s="261">
        <v>0.39566771616851942</v>
      </c>
      <c r="I16" s="261">
        <v>0.38953687892037764</v>
      </c>
      <c r="J16" s="261">
        <v>0.36698213657314627</v>
      </c>
      <c r="K16" s="148">
        <v>0.37112622445702192</v>
      </c>
      <c r="L16" s="261">
        <v>0.372235222510376</v>
      </c>
      <c r="M16" s="148">
        <v>0.36560196961153252</v>
      </c>
      <c r="N16" s="148">
        <v>0.36501842011120145</v>
      </c>
      <c r="O16" s="148">
        <v>0.35706193682575654</v>
      </c>
      <c r="P16" s="148">
        <v>0.36199840679369394</v>
      </c>
      <c r="Q16" s="148">
        <v>0.36146546649661448</v>
      </c>
      <c r="R16" s="148">
        <v>0.37293535284921092</v>
      </c>
      <c r="S16" s="148">
        <v>0.38745042926556528</v>
      </c>
      <c r="T16" s="366">
        <v>0.38677134006324027</v>
      </c>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row>
    <row r="17" spans="1:207" x14ac:dyDescent="0.2">
      <c r="A17" s="6"/>
      <c r="B17" s="56"/>
      <c r="C17" s="94"/>
      <c r="D17" s="94"/>
      <c r="E17" s="56"/>
      <c r="F17" s="56"/>
      <c r="G17" s="56"/>
      <c r="H17" s="56"/>
      <c r="I17" s="56"/>
      <c r="J17" s="56"/>
      <c r="K17" s="28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row>
    <row r="18" spans="1:207" s="75" customFormat="1" x14ac:dyDescent="0.2">
      <c r="A18" s="84"/>
      <c r="B18" s="85" t="s">
        <v>172</v>
      </c>
      <c r="C18" s="98">
        <v>0.309</v>
      </c>
      <c r="D18" s="98">
        <v>0.35313642061404282</v>
      </c>
      <c r="E18" s="98">
        <v>0.315</v>
      </c>
      <c r="F18" s="98">
        <v>0.308</v>
      </c>
      <c r="G18" s="98">
        <v>0.32</v>
      </c>
      <c r="H18" s="98">
        <v>0.34771793917908539</v>
      </c>
      <c r="I18" s="98">
        <v>0.32887684750491686</v>
      </c>
      <c r="J18" s="98">
        <v>0.32664985108232508</v>
      </c>
      <c r="K18" s="98">
        <v>0.29138218163140767</v>
      </c>
      <c r="L18" s="98">
        <v>0.3182750662449782</v>
      </c>
      <c r="M18" s="98">
        <v>0.31946164643712327</v>
      </c>
      <c r="N18" s="98">
        <v>0.37242299219705011</v>
      </c>
      <c r="O18" s="98">
        <v>0.34489076991892847</v>
      </c>
      <c r="P18" s="98">
        <v>0.30887759596046266</v>
      </c>
      <c r="Q18" s="98">
        <v>0.33160055826371893</v>
      </c>
      <c r="R18" s="98">
        <v>0.31995558781720007</v>
      </c>
      <c r="S18" s="98">
        <v>0.14480475861212913</v>
      </c>
      <c r="T18" s="98">
        <v>0.2187065381701101</v>
      </c>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row>
    <row r="19" spans="1:207" s="38" customFormat="1" x14ac:dyDescent="0.2">
      <c r="A19" s="82"/>
      <c r="B19" s="83"/>
      <c r="C19" s="99"/>
      <c r="D19" s="99"/>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row>
    <row r="20" spans="1:207" x14ac:dyDescent="0.2">
      <c r="B20" s="141" t="s">
        <v>145</v>
      </c>
      <c r="D20" s="24"/>
      <c r="AK20" s="56"/>
      <c r="AL20" s="56"/>
      <c r="AM20" s="56"/>
      <c r="AN20" s="56"/>
      <c r="AO20" s="56"/>
      <c r="AP20" s="56"/>
      <c r="AQ20" s="56"/>
      <c r="AR20" s="56"/>
      <c r="AS20" s="56"/>
      <c r="AT20" s="56"/>
      <c r="AU20" s="56"/>
      <c r="AV20" s="56"/>
      <c r="AW20" s="56"/>
      <c r="AX20" s="56"/>
      <c r="AY20" s="56"/>
      <c r="AZ20" s="56"/>
    </row>
    <row r="21" spans="1:207" x14ac:dyDescent="0.2">
      <c r="B21" s="139" t="s">
        <v>144</v>
      </c>
      <c r="C21" s="142">
        <f>(64.85+66.69+67.85)/3</f>
        <v>66.463333333333324</v>
      </c>
      <c r="D21" s="142">
        <v>64.45</v>
      </c>
      <c r="E21" s="142">
        <f>+(64.18+63.9+65.28)/3</f>
        <v>64.453333333333333</v>
      </c>
      <c r="F21" s="142">
        <f>+(64.74+64.46+63.87)/3</f>
        <v>64.356666666666669</v>
      </c>
      <c r="G21" s="307">
        <f>AVERAGE(C21:F21)</f>
        <v>64.930833333333339</v>
      </c>
      <c r="H21" s="307">
        <v>64.64</v>
      </c>
      <c r="I21" s="307">
        <v>67.510000000000005</v>
      </c>
      <c r="J21" s="307">
        <v>70.67</v>
      </c>
      <c r="K21" s="307">
        <v>71.099999999999994</v>
      </c>
      <c r="L21" s="307">
        <f>AVERAGE(H21:K21)</f>
        <v>68.47999999999999</v>
      </c>
      <c r="M21" s="307">
        <v>70.316666666666677</v>
      </c>
      <c r="N21" s="307">
        <v>69.416666666666671</v>
      </c>
      <c r="O21" s="307">
        <v>70.353333333333339</v>
      </c>
      <c r="P21" s="307">
        <v>71.346666666666664</v>
      </c>
      <c r="Q21" s="307">
        <v>70.358333333333348</v>
      </c>
      <c r="R21" s="332">
        <v>73.081666666666663</v>
      </c>
      <c r="S21" s="332">
        <v>75.408333333333331</v>
      </c>
      <c r="T21" s="362">
        <v>74.061666666666667</v>
      </c>
      <c r="AK21" s="56"/>
      <c r="AL21" s="56"/>
      <c r="AM21" s="56"/>
      <c r="AN21" s="56"/>
      <c r="AO21" s="56"/>
      <c r="AP21" s="56"/>
      <c r="AQ21" s="56"/>
      <c r="AR21" s="56"/>
      <c r="AS21" s="56"/>
      <c r="AT21" s="56"/>
      <c r="AU21" s="56"/>
      <c r="AV21" s="56"/>
      <c r="AW21" s="56"/>
      <c r="AX21" s="56"/>
      <c r="AY21" s="56"/>
      <c r="AZ21" s="56"/>
    </row>
    <row r="22" spans="1:207" x14ac:dyDescent="0.2">
      <c r="B22" s="34" t="s">
        <v>146</v>
      </c>
      <c r="C22" s="102">
        <v>1.1734384099723827E-2</v>
      </c>
      <c r="D22" s="102">
        <v>3.0292391794974449E-2</v>
      </c>
      <c r="E22" s="102">
        <v>-5.1719679337924873E-5</v>
      </c>
      <c r="F22" s="102">
        <v>1.4997931319817859E-3</v>
      </c>
      <c r="G22" s="260"/>
      <c r="H22" s="308">
        <f>-(H21/F21-1)</f>
        <v>-4.4025482985445841E-3</v>
      </c>
      <c r="I22" s="308">
        <f>-(I21/H21-1)</f>
        <v>-4.4399752475247523E-2</v>
      </c>
      <c r="J22" s="308">
        <f>-(J21/I21-1)</f>
        <v>-4.6807880314027495E-2</v>
      </c>
      <c r="K22" s="309">
        <f>-(K21/J21-1)</f>
        <v>-6.0846186500636001E-3</v>
      </c>
      <c r="L22" s="260"/>
      <c r="M22" s="308">
        <f>-(M21/K21-1)</f>
        <v>1.1017346460384214E-2</v>
      </c>
      <c r="N22" s="308">
        <f>-(N21/M21-1)</f>
        <v>1.2799241526428196E-2</v>
      </c>
      <c r="O22" s="308">
        <f>-(O21/N21-1)</f>
        <v>-1.3493397358943504E-2</v>
      </c>
      <c r="P22" s="308">
        <f>-(P21/O21-1)</f>
        <v>-1.4119207808206191E-2</v>
      </c>
      <c r="Q22" s="308"/>
      <c r="R22" s="308">
        <f>-(R21/P21-1)</f>
        <v>-2.4317884507568666E-2</v>
      </c>
      <c r="S22" s="308">
        <f>-(S21/R21-1)</f>
        <v>-3.1836529909462064E-2</v>
      </c>
      <c r="T22" s="308">
        <f>-(T21/S21-1)</f>
        <v>1.7858326886948772E-2</v>
      </c>
      <c r="AK22" s="56"/>
      <c r="AL22" s="56"/>
      <c r="AM22" s="56"/>
      <c r="AN22" s="56"/>
      <c r="AO22" s="56"/>
      <c r="AP22" s="56"/>
      <c r="AQ22" s="56"/>
      <c r="AR22" s="56"/>
      <c r="AS22" s="56"/>
      <c r="AT22" s="56"/>
      <c r="AU22" s="56"/>
      <c r="AV22" s="56"/>
      <c r="AW22" s="56"/>
      <c r="AX22" s="56"/>
      <c r="AY22" s="56"/>
      <c r="AZ22" s="56"/>
    </row>
    <row r="23" spans="1:207" x14ac:dyDescent="0.2">
      <c r="B23" s="34" t="s">
        <v>147</v>
      </c>
      <c r="C23" s="102">
        <v>1.5503875968992498E-2</v>
      </c>
      <c r="D23" s="102">
        <v>3.8968139569561022E-2</v>
      </c>
      <c r="E23" s="102">
        <v>3.4165834165834186E-2</v>
      </c>
      <c r="F23" s="102">
        <v>4.9431342622224372E-2</v>
      </c>
      <c r="G23" s="309">
        <v>3.4521641079018006E-2</v>
      </c>
      <c r="H23" s="309">
        <f t="shared" ref="H23" si="0">-(H21/C21-1)</f>
        <v>2.7433672701740131E-2</v>
      </c>
      <c r="I23" s="309">
        <f>-(I21/D21-1)</f>
        <v>-4.7478665632273209E-2</v>
      </c>
      <c r="J23" s="309">
        <f>-(J21/E21-1)</f>
        <v>-9.6452213487794758E-2</v>
      </c>
      <c r="K23" s="309">
        <f>-(K21/F21-1)</f>
        <v>-0.1047806495053607</v>
      </c>
      <c r="L23" s="309">
        <f t="shared" ref="L23:P23" si="1">-(L21/G21-1)</f>
        <v>-5.466072872415495E-2</v>
      </c>
      <c r="M23" s="309">
        <f t="shared" si="1"/>
        <v>-8.7819719471947444E-2</v>
      </c>
      <c r="N23" s="309">
        <f t="shared" si="1"/>
        <v>-2.8242729472176986E-2</v>
      </c>
      <c r="O23" s="309">
        <f t="shared" si="1"/>
        <v>4.4809207112871396E-3</v>
      </c>
      <c r="P23" s="309">
        <f t="shared" si="1"/>
        <v>-3.469292076887065E-3</v>
      </c>
      <c r="Q23" s="309">
        <f>-(Q21/L21-1)</f>
        <v>-2.7428933021807156E-2</v>
      </c>
      <c r="R23" s="309">
        <f t="shared" ref="R23:T23" si="2">-(R21/M21-1)</f>
        <v>-3.9322114245081474E-2</v>
      </c>
      <c r="S23" s="309">
        <f t="shared" si="2"/>
        <v>-8.631452581032395E-2</v>
      </c>
      <c r="T23" s="309">
        <f t="shared" si="2"/>
        <v>-5.2710129820903839E-2</v>
      </c>
      <c r="AK23" s="56"/>
      <c r="AL23" s="56"/>
      <c r="AM23" s="56"/>
      <c r="AN23" s="56"/>
      <c r="AO23" s="56"/>
      <c r="AP23" s="56"/>
      <c r="AQ23" s="56"/>
      <c r="AR23" s="56"/>
      <c r="AS23" s="56"/>
      <c r="AT23" s="56"/>
      <c r="AU23" s="56"/>
      <c r="AV23" s="56"/>
      <c r="AW23" s="56"/>
      <c r="AX23" s="56"/>
      <c r="AY23" s="56"/>
      <c r="AZ23" s="56"/>
    </row>
    <row r="24" spans="1:207" x14ac:dyDescent="0.2">
      <c r="B24" s="34"/>
      <c r="C24" s="102"/>
      <c r="D24" s="102"/>
      <c r="G24" s="260"/>
      <c r="H24" s="260"/>
      <c r="I24" s="260"/>
      <c r="J24" s="260"/>
      <c r="K24" s="31"/>
      <c r="L24" s="260"/>
      <c r="M24" s="260"/>
      <c r="N24" s="260"/>
      <c r="O24" s="260"/>
      <c r="P24" s="260"/>
      <c r="Q24" s="260"/>
      <c r="AK24" s="56"/>
      <c r="AL24" s="56"/>
      <c r="AM24" s="56"/>
      <c r="AN24" s="56"/>
      <c r="AO24" s="56"/>
      <c r="AP24" s="56"/>
      <c r="AQ24" s="56"/>
      <c r="AR24" s="56"/>
      <c r="AS24" s="56"/>
      <c r="AT24" s="56"/>
      <c r="AU24" s="56"/>
      <c r="AV24" s="56"/>
      <c r="AW24" s="56"/>
      <c r="AX24" s="56"/>
      <c r="AY24" s="56"/>
      <c r="AZ24" s="56"/>
    </row>
    <row r="25" spans="1:207" x14ac:dyDescent="0.2">
      <c r="B25" s="142" t="s">
        <v>142</v>
      </c>
      <c r="C25" s="142">
        <f>+ROUND((1.24+1.25+1.24)/3,2)</f>
        <v>1.24</v>
      </c>
      <c r="D25" s="142">
        <v>1.29</v>
      </c>
      <c r="E25" s="142">
        <f>+(1.31+1.29+1.34)/3</f>
        <v>1.3133333333333335</v>
      </c>
      <c r="F25" s="142">
        <f>+(1.32+1.34+1.35)/3</f>
        <v>1.3366666666666667</v>
      </c>
      <c r="G25" s="307">
        <f>AVERAGE(C25:F25)</f>
        <v>1.2950000000000002</v>
      </c>
      <c r="H25" s="307">
        <v>1.4</v>
      </c>
      <c r="I25" s="307">
        <v>1.34</v>
      </c>
      <c r="J25" s="307">
        <v>1.31</v>
      </c>
      <c r="K25" s="307">
        <v>1.28</v>
      </c>
      <c r="L25" s="307">
        <f>AVERAGE(H25:K25)</f>
        <v>1.3325000000000002</v>
      </c>
      <c r="M25" s="307">
        <v>1.3152666666666666</v>
      </c>
      <c r="N25" s="307">
        <v>1.2756666666666667</v>
      </c>
      <c r="O25" s="307">
        <v>1.2212333333333334</v>
      </c>
      <c r="P25" s="307">
        <v>1.3024</v>
      </c>
      <c r="Q25" s="307">
        <v>1.2786416666666667</v>
      </c>
      <c r="R25" s="332">
        <v>1.2763666666666669</v>
      </c>
      <c r="S25" s="332">
        <v>1.2370666666666665</v>
      </c>
      <c r="T25" s="362">
        <v>1.3096333333333332</v>
      </c>
      <c r="AK25" s="56"/>
      <c r="AL25" s="56"/>
      <c r="AM25" s="56"/>
      <c r="AN25" s="56"/>
      <c r="AO25" s="56"/>
      <c r="AP25" s="56"/>
      <c r="AQ25" s="56"/>
      <c r="AR25" s="56"/>
      <c r="AS25" s="56"/>
      <c r="AT25" s="56"/>
      <c r="AU25" s="56"/>
      <c r="AV25" s="56"/>
      <c r="AW25" s="56"/>
      <c r="AX25" s="56"/>
      <c r="AY25" s="56"/>
      <c r="AZ25" s="56"/>
    </row>
    <row r="26" spans="1:207" x14ac:dyDescent="0.2">
      <c r="B26" s="34" t="s">
        <v>166</v>
      </c>
      <c r="C26" s="102">
        <v>7.8066914498141071E-2</v>
      </c>
      <c r="D26" s="102">
        <v>-4.0322580645161255E-2</v>
      </c>
      <c r="E26" s="102">
        <v>-1.8087855297157729E-2</v>
      </c>
      <c r="F26" s="102">
        <v>-1.7766497461928932E-2</v>
      </c>
      <c r="H26" s="262">
        <f>-(H25/F25-1)</f>
        <v>-4.7381546134663166E-2</v>
      </c>
      <c r="I26" s="262">
        <f>-(I25/H25-1)</f>
        <v>4.2857142857142705E-2</v>
      </c>
      <c r="J26" s="262">
        <f>-(J25/I25-1)</f>
        <v>2.2388059701492602E-2</v>
      </c>
      <c r="K26" s="102">
        <f>-(K25/J25-1)</f>
        <v>2.2900763358778664E-2</v>
      </c>
      <c r="M26" s="262">
        <f>-(M25/K25-1)</f>
        <v>-2.7552083333333144E-2</v>
      </c>
      <c r="N26" s="308">
        <f>-(N25/M25-1)</f>
        <v>3.0107962897257701E-2</v>
      </c>
      <c r="O26" s="308">
        <f>-(O25/N25-1)</f>
        <v>4.2670499085445512E-2</v>
      </c>
      <c r="P26" s="308">
        <f>-(P25/O25-1)</f>
        <v>-6.6462865409285588E-2</v>
      </c>
      <c r="Q26" s="308"/>
      <c r="R26" s="262">
        <f>-(R25/P25-1)</f>
        <v>1.9988738738738632E-2</v>
      </c>
      <c r="S26" s="308">
        <f>-(S25/R25-1)</f>
        <v>3.0790525188686857E-2</v>
      </c>
      <c r="T26" s="308">
        <f>-(T25/S25-1)</f>
        <v>-5.8660271610260883E-2</v>
      </c>
      <c r="AK26" s="56"/>
      <c r="AL26" s="56"/>
      <c r="AM26" s="56"/>
      <c r="AN26" s="56"/>
      <c r="AO26" s="56"/>
      <c r="AP26" s="56"/>
      <c r="AQ26" s="56"/>
      <c r="AR26" s="56"/>
      <c r="AS26" s="56"/>
      <c r="AT26" s="56"/>
      <c r="AU26" s="56"/>
      <c r="AV26" s="56"/>
      <c r="AW26" s="56"/>
      <c r="AX26" s="56"/>
      <c r="AY26" s="56"/>
      <c r="AZ26" s="56"/>
    </row>
    <row r="27" spans="1:207" x14ac:dyDescent="0.2">
      <c r="B27" s="34" t="s">
        <v>167</v>
      </c>
      <c r="C27" s="102">
        <v>0.12470588235294122</v>
      </c>
      <c r="D27" s="102">
        <v>9.367681498829028E-2</v>
      </c>
      <c r="E27" s="102">
        <v>-2.5445292620867033E-3</v>
      </c>
      <c r="F27" s="102">
        <v>-8.6720867208672114E-2</v>
      </c>
      <c r="G27" s="102">
        <v>3.7174721189590754E-2</v>
      </c>
      <c r="H27" s="102">
        <f t="shared" ref="H27" si="3">-(H25/C25-1)</f>
        <v>-0.12903225806451601</v>
      </c>
      <c r="I27" s="102">
        <f>-(I25/D25-1)</f>
        <v>-3.8759689922480689E-2</v>
      </c>
      <c r="J27" s="102">
        <f>-(J25/E25-1)</f>
        <v>2.5380710659899108E-3</v>
      </c>
      <c r="K27" s="102">
        <f>-(K25/F25-1)</f>
        <v>4.239401496259354E-2</v>
      </c>
      <c r="L27" s="102">
        <f t="shared" ref="L27:P27" si="4">-(L25/G25-1)</f>
        <v>-2.8957528957529011E-2</v>
      </c>
      <c r="M27" s="102">
        <f t="shared" si="4"/>
        <v>6.0523809523809535E-2</v>
      </c>
      <c r="N27" s="102">
        <f t="shared" si="4"/>
        <v>4.8009950248756206E-2</v>
      </c>
      <c r="O27" s="102">
        <f t="shared" si="4"/>
        <v>6.7760814249363865E-2</v>
      </c>
      <c r="P27" s="102">
        <f t="shared" si="4"/>
        <v>-1.7500000000000071E-2</v>
      </c>
      <c r="Q27" s="102">
        <f>-(Q25/L25-1)</f>
        <v>4.0419011882426692E-2</v>
      </c>
      <c r="R27" s="102">
        <f t="shared" ref="R27:T27" si="5">-(R25/M25-1)</f>
        <v>2.9575751431902053E-2</v>
      </c>
      <c r="S27" s="102">
        <f t="shared" si="5"/>
        <v>3.0258688267572609E-2</v>
      </c>
      <c r="T27" s="102">
        <f t="shared" si="5"/>
        <v>-7.238583945192012E-2</v>
      </c>
      <c r="AK27" s="56"/>
      <c r="AL27" s="56"/>
      <c r="AM27" s="56"/>
      <c r="AN27" s="56"/>
      <c r="AO27" s="56"/>
      <c r="AP27" s="56"/>
      <c r="AQ27" s="56"/>
      <c r="AR27" s="56"/>
      <c r="AS27" s="56"/>
      <c r="AT27" s="56"/>
      <c r="AU27" s="56"/>
      <c r="AV27" s="56"/>
      <c r="AW27" s="56"/>
      <c r="AX27" s="56"/>
      <c r="AY27" s="56"/>
      <c r="AZ27" s="56"/>
    </row>
    <row r="28" spans="1:207" x14ac:dyDescent="0.2">
      <c r="B28" s="140"/>
      <c r="D28" s="24"/>
      <c r="K28" s="24"/>
      <c r="AK28" s="56"/>
      <c r="AL28" s="56"/>
      <c r="AM28" s="56"/>
      <c r="AN28" s="56"/>
      <c r="AO28" s="56"/>
      <c r="AP28" s="56"/>
      <c r="AQ28" s="56"/>
      <c r="AR28" s="56"/>
      <c r="AS28" s="56"/>
      <c r="AT28" s="56"/>
      <c r="AU28" s="56"/>
      <c r="AV28" s="56"/>
      <c r="AW28" s="56"/>
      <c r="AX28" s="56"/>
      <c r="AY28" s="56"/>
      <c r="AZ28" s="56"/>
    </row>
    <row r="29" spans="1:207" x14ac:dyDescent="0.2">
      <c r="B29" s="139" t="s">
        <v>143</v>
      </c>
      <c r="C29" s="142">
        <f>+(50.21+50.16+49.77)/3</f>
        <v>50.046666666666674</v>
      </c>
      <c r="D29" s="142">
        <v>50.061999999999998</v>
      </c>
      <c r="E29" s="142">
        <f>+(50.46+51.17+50.815)/3</f>
        <v>50.814999999999998</v>
      </c>
      <c r="F29" s="142">
        <f>+(51.61+50.27+49.93)/3</f>
        <v>50.603333333333332</v>
      </c>
      <c r="G29" s="142">
        <f>AVERAGE(C29:F29)</f>
        <v>50.381749999999997</v>
      </c>
      <c r="H29" s="142">
        <v>51.85</v>
      </c>
      <c r="I29" s="142">
        <v>52.53</v>
      </c>
      <c r="J29" s="142">
        <v>53.53</v>
      </c>
      <c r="K29" s="142">
        <v>52.86</v>
      </c>
      <c r="L29" s="142">
        <f>AVERAGE(H29:K29)</f>
        <v>52.692499999999995</v>
      </c>
      <c r="M29" s="142">
        <v>52.106666666666662</v>
      </c>
      <c r="N29" s="142">
        <v>51.835000000000001</v>
      </c>
      <c r="O29" s="142">
        <v>51.589999999999996</v>
      </c>
      <c r="P29" s="142">
        <v>50.728333333333332</v>
      </c>
      <c r="Q29" s="142">
        <v>51.565000000000005</v>
      </c>
      <c r="R29" s="332">
        <v>50.826666666666661</v>
      </c>
      <c r="S29" s="332">
        <v>50.279999999999994</v>
      </c>
      <c r="T29" s="362">
        <v>48.71</v>
      </c>
      <c r="AK29" s="56"/>
      <c r="AL29" s="56"/>
      <c r="AM29" s="56"/>
      <c r="AN29" s="56"/>
      <c r="AO29" s="56"/>
      <c r="AP29" s="56"/>
      <c r="AQ29" s="56"/>
      <c r="AR29" s="56"/>
      <c r="AS29" s="56"/>
      <c r="AT29" s="56"/>
      <c r="AU29" s="56"/>
      <c r="AV29" s="56"/>
      <c r="AW29" s="56"/>
      <c r="AX29" s="56"/>
      <c r="AY29" s="56"/>
      <c r="AZ29" s="56"/>
    </row>
    <row r="30" spans="1:207" x14ac:dyDescent="0.2">
      <c r="B30" s="34" t="s">
        <v>146</v>
      </c>
      <c r="C30" s="102">
        <v>-4.9884183383593461E-2</v>
      </c>
      <c r="D30" s="102">
        <v>-3.0638071133592959E-4</v>
      </c>
      <c r="E30" s="102">
        <v>-1.5041348727577786E-2</v>
      </c>
      <c r="F30" s="102">
        <v>4.165436714880788E-3</v>
      </c>
      <c r="H30" s="262">
        <f>-(H29/F29-1)</f>
        <v>-2.4636058230683044E-2</v>
      </c>
      <c r="I30" s="262">
        <f>-(I29/H29-1)</f>
        <v>-1.3114754098360715E-2</v>
      </c>
      <c r="J30" s="262">
        <f>-(J29/I29-1)</f>
        <v>-1.9036740909956107E-2</v>
      </c>
      <c r="K30" s="102">
        <f>-(K29/J29-1)</f>
        <v>1.2516345974220133E-2</v>
      </c>
      <c r="M30" s="262">
        <f>-(M29/K29-1)</f>
        <v>1.4251481901879304E-2</v>
      </c>
      <c r="N30" s="308">
        <f>-(N29/M29-1)</f>
        <v>5.2136642784031961E-3</v>
      </c>
      <c r="O30" s="308">
        <f>-(O29/N29-1)</f>
        <v>4.7265361242404547E-3</v>
      </c>
      <c r="P30" s="308">
        <f>-(P29/O29-1)</f>
        <v>1.6702203269367444E-2</v>
      </c>
      <c r="Q30" s="308"/>
      <c r="R30" s="262">
        <f>-(R29/P29-1)</f>
        <v>-1.9384302000853282E-3</v>
      </c>
      <c r="S30" s="308">
        <f>-(S29/R29-1)</f>
        <v>1.0755508919202517E-2</v>
      </c>
      <c r="T30" s="308">
        <f>-(T29/S29-1)</f>
        <v>3.122513922036585E-2</v>
      </c>
      <c r="AK30" s="56"/>
      <c r="AL30" s="56"/>
      <c r="AM30" s="56"/>
      <c r="AN30" s="56"/>
      <c r="AO30" s="56"/>
      <c r="AP30" s="56"/>
      <c r="AQ30" s="56"/>
      <c r="AR30" s="56"/>
      <c r="AS30" s="56"/>
      <c r="AT30" s="56"/>
      <c r="AU30" s="56"/>
      <c r="AV30" s="56"/>
      <c r="AW30" s="56"/>
      <c r="AX30" s="56"/>
      <c r="AY30" s="56"/>
      <c r="AZ30" s="56"/>
    </row>
    <row r="31" spans="1:207" x14ac:dyDescent="0.2">
      <c r="B31" s="34" t="s">
        <v>147</v>
      </c>
      <c r="C31" s="102">
        <v>-6.2787569901607165E-2</v>
      </c>
      <c r="D31" s="102">
        <v>-6.7382111509896481E-2</v>
      </c>
      <c r="E31" s="102">
        <v>-7.2121808847316782E-2</v>
      </c>
      <c r="F31" s="102">
        <v>-2.6714459623968789E-2</v>
      </c>
      <c r="G31" s="102">
        <v>-5.691359643372218E-2</v>
      </c>
      <c r="H31" s="102">
        <f t="shared" ref="H31" si="6">-(H29/C29-1)</f>
        <v>-3.6033035833222149E-2</v>
      </c>
      <c r="I31" s="102">
        <f>-(I29/D29-1)</f>
        <v>-4.9298869401941614E-2</v>
      </c>
      <c r="J31" s="102">
        <f>-(J29/E29-1)</f>
        <v>-5.3429105579061442E-2</v>
      </c>
      <c r="K31" s="102">
        <f>-(K29/F29-1)</f>
        <v>-4.459521770634356E-2</v>
      </c>
      <c r="L31" s="102">
        <f t="shared" ref="L31:P31" si="7">-(L29/G29-1)</f>
        <v>-4.5864822083393264E-2</v>
      </c>
      <c r="M31" s="102">
        <f t="shared" si="7"/>
        <v>-4.9501767920281381E-3</v>
      </c>
      <c r="N31" s="102">
        <f t="shared" si="7"/>
        <v>1.3230534932419546E-2</v>
      </c>
      <c r="O31" s="102">
        <f t="shared" si="7"/>
        <v>3.6241359985055177E-2</v>
      </c>
      <c r="P31" s="102">
        <f t="shared" si="7"/>
        <v>4.0326649009963411E-2</v>
      </c>
      <c r="Q31" s="102">
        <f>-(Q29/L29-1)</f>
        <v>2.1397732125065017E-2</v>
      </c>
      <c r="R31" s="102">
        <f t="shared" ref="R31:T31" si="8">-(R29/M29-1)</f>
        <v>2.4564994882292801E-2</v>
      </c>
      <c r="S31" s="102">
        <f t="shared" si="8"/>
        <v>2.9999035400791074E-2</v>
      </c>
      <c r="T31" s="102">
        <f t="shared" si="8"/>
        <v>5.5824772242682563E-2</v>
      </c>
      <c r="AK31" s="56"/>
      <c r="AL31" s="56"/>
      <c r="AM31" s="56"/>
      <c r="AN31" s="56"/>
      <c r="AO31" s="56"/>
      <c r="AP31" s="56"/>
      <c r="AQ31" s="56"/>
      <c r="AR31" s="56"/>
      <c r="AS31" s="56"/>
      <c r="AT31" s="56"/>
      <c r="AU31" s="56"/>
      <c r="AV31" s="56"/>
      <c r="AW31" s="56"/>
      <c r="AX31" s="56"/>
      <c r="AY31" s="56"/>
      <c r="AZ31" s="56"/>
    </row>
    <row r="33" spans="1:19" x14ac:dyDescent="0.2">
      <c r="A33" s="138"/>
      <c r="C33" s="102"/>
    </row>
    <row r="34" spans="1:19" x14ac:dyDescent="0.2">
      <c r="A34" s="138"/>
      <c r="B34" s="381" t="s">
        <v>265</v>
      </c>
      <c r="C34" s="381"/>
      <c r="D34" s="381"/>
      <c r="E34" s="381"/>
      <c r="F34" s="381"/>
      <c r="G34" s="381"/>
      <c r="H34" s="381"/>
      <c r="I34" s="381"/>
      <c r="J34" s="381"/>
      <c r="K34" s="381"/>
      <c r="L34" s="381"/>
      <c r="M34" s="381"/>
      <c r="N34" s="381"/>
      <c r="O34" s="381"/>
      <c r="P34" s="381"/>
      <c r="Q34" s="381"/>
      <c r="R34" s="381"/>
      <c r="S34" s="381"/>
    </row>
    <row r="35" spans="1:19" x14ac:dyDescent="0.2">
      <c r="C35" s="28"/>
    </row>
    <row r="36" spans="1:19" x14ac:dyDescent="0.2">
      <c r="C36" s="66"/>
    </row>
    <row r="38" spans="1:19" x14ac:dyDescent="0.2">
      <c r="C38" s="66"/>
    </row>
    <row r="42" spans="1:19" x14ac:dyDescent="0.2">
      <c r="C42" s="66"/>
    </row>
    <row r="44" spans="1:19" x14ac:dyDescent="0.2">
      <c r="C44" s="66"/>
    </row>
    <row r="45" spans="1:19" x14ac:dyDescent="0.2">
      <c r="C45" s="102"/>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mergeCells count="1">
    <mergeCell ref="B34:S34"/>
  </mergeCells>
  <phoneticPr fontId="0" type="noConversion"/>
  <pageMargins left="0.25" right="0.25" top="0.5" bottom="0.25" header="0.3" footer="0.3"/>
  <pageSetup paperSize="5" scale="8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Steven Barlow</cp:lastModifiedBy>
  <cp:lastPrinted>2019-07-23T06:07:39Z</cp:lastPrinted>
  <dcterms:created xsi:type="dcterms:W3CDTF">2009-03-23T17:27:54Z</dcterms:created>
  <dcterms:modified xsi:type="dcterms:W3CDTF">2020-10-28T11:29:56Z</dcterms:modified>
</cp:coreProperties>
</file>